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_Uzay-le-Venon (18)\Dossier d_instruction\"/>
    </mc:Choice>
  </mc:AlternateContent>
  <xr:revisionPtr revIDLastSave="0" documentId="13_ncr:1_{E9FB3792-FA21-4DD9-AF20-98413D86A4C3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<sst xmlns="http://schemas.openxmlformats.org/spreadsheetml/2006/main" count="1177" uniqueCount="327">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</sst>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3" t="s">
        <v>291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2:13" ht="15" customHeight="1" x14ac:dyDescent="0.3"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</row>
    <row r="14" spans="2:13" ht="15" customHeight="1" x14ac:dyDescent="0.3"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</row>
    <row r="15" spans="2:13" ht="18.75" customHeight="1" x14ac:dyDescent="0.3"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13" ht="18.75" customHeight="1" x14ac:dyDescent="0.3"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</row>
    <row r="18" spans="2:13" ht="12" customHeight="1" x14ac:dyDescent="0.3">
      <c r="B18" s="263" t="s">
        <v>292</v>
      </c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</row>
    <row r="19" spans="2:13" ht="12" customHeight="1" x14ac:dyDescent="0.3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</row>
    <row r="20" spans="2:13" ht="12" customHeight="1" x14ac:dyDescent="0.3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2:13" ht="12" customHeight="1" x14ac:dyDescent="0.3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</row>
    <row r="22" spans="2:13" ht="12" customHeight="1" x14ac:dyDescent="0.3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</row>
    <row r="23" spans="2:13" ht="12" customHeight="1" x14ac:dyDescent="0.3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</row>
    <row r="24" spans="2:13" ht="12" customHeight="1" x14ac:dyDescent="0.3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</row>
    <row r="25" spans="2:13" ht="12" customHeight="1" x14ac:dyDescent="0.3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</row>
    <row r="26" spans="2:13" ht="12" customHeight="1" x14ac:dyDescent="0.3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</row>
    <row r="27" spans="2:13" ht="12" customHeight="1" x14ac:dyDescent="0.3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2:13" ht="12" customHeight="1" x14ac:dyDescent="0.3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2:13" ht="12" customHeight="1" x14ac:dyDescent="0.3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  <row r="30" spans="2:13" ht="12" customHeight="1" x14ac:dyDescent="0.3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ht="12" customHeight="1" x14ac:dyDescent="0.3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J23" sqref="J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9" t="s">
        <v>192</v>
      </c>
      <c r="C3" s="270"/>
      <c r="D3" s="270"/>
      <c r="E3" s="270"/>
      <c r="F3" s="271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4" t="s">
        <v>231</v>
      </c>
      <c r="B5" s="274"/>
      <c r="C5" s="24">
        <v>3.88</v>
      </c>
      <c r="D5" s="275" t="s">
        <v>229</v>
      </c>
      <c r="E5" s="276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3" t="s">
        <v>226</v>
      </c>
      <c r="B7" s="273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326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0" t="s">
        <v>35</v>
      </c>
      <c r="C9" s="261">
        <v>0.25</v>
      </c>
      <c r="D9" s="33">
        <f t="shared" ref="D9:D18" si="0">C9*$C$5</f>
        <v>0.97</v>
      </c>
      <c r="E9" s="262">
        <v>80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0" t="s">
        <v>36</v>
      </c>
      <c r="C10" s="261">
        <v>0.25</v>
      </c>
      <c r="D10" s="33">
        <f t="shared" si="0"/>
        <v>0.97</v>
      </c>
      <c r="E10" s="262">
        <v>30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0" t="s">
        <v>138</v>
      </c>
      <c r="C11" s="261">
        <v>0.25</v>
      </c>
      <c r="D11" s="33">
        <f t="shared" si="0"/>
        <v>0.97</v>
      </c>
      <c r="E11" s="262">
        <v>30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0" t="s">
        <v>14</v>
      </c>
      <c r="C12" s="261">
        <v>0.25</v>
      </c>
      <c r="D12" s="33">
        <f t="shared" si="0"/>
        <v>0.97</v>
      </c>
      <c r="E12" s="262">
        <v>115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3.88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2" t="s">
        <v>232</v>
      </c>
      <c r="B22" s="27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3" t="s">
        <v>227</v>
      </c>
      <c r="B30" s="273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6">
        <v>15</v>
      </c>
      <c r="B36" s="256">
        <f>108+21</f>
        <v>129</v>
      </c>
      <c r="C36" s="256">
        <v>1</v>
      </c>
      <c r="D36" s="256">
        <v>21</v>
      </c>
      <c r="E36" s="257"/>
      <c r="F36" s="257"/>
      <c r="G36" s="257">
        <v>1</v>
      </c>
      <c r="H36" s="257"/>
      <c r="I36" s="49">
        <f>IFERROR(B36/A36,"")</f>
        <v>8.6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6">
        <v>20</v>
      </c>
      <c r="B37" s="256">
        <f>156+70</f>
        <v>226</v>
      </c>
      <c r="C37" s="256">
        <v>2</v>
      </c>
      <c r="D37" s="256">
        <v>70</v>
      </c>
      <c r="E37" s="257"/>
      <c r="F37" s="257">
        <v>1</v>
      </c>
      <c r="G37" s="257"/>
      <c r="H37" s="257"/>
      <c r="I37" s="53">
        <f t="shared" ref="I37:I55" si="1">IF(A37&lt;&gt;0,(B37-(B36-D36))/(A37-A36),"")</f>
        <v>23.6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6">
        <v>25</v>
      </c>
      <c r="B38" s="256">
        <f>211+70</f>
        <v>281</v>
      </c>
      <c r="C38" s="256">
        <v>3</v>
      </c>
      <c r="D38" s="256">
        <v>70</v>
      </c>
      <c r="E38" s="257"/>
      <c r="F38" s="257">
        <v>1</v>
      </c>
      <c r="G38" s="257"/>
      <c r="H38" s="257"/>
      <c r="I38" s="53">
        <f t="shared" si="1"/>
        <v>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6">
        <v>30</v>
      </c>
      <c r="B39" s="256">
        <f>274+70</f>
        <v>344</v>
      </c>
      <c r="C39" s="256">
        <v>4</v>
      </c>
      <c r="D39" s="256">
        <v>70</v>
      </c>
      <c r="E39" s="257"/>
      <c r="F39" s="257">
        <v>1</v>
      </c>
      <c r="G39" s="257"/>
      <c r="H39" s="257"/>
      <c r="I39" s="49">
        <f t="shared" si="1"/>
        <v>26.6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6">
        <v>35</v>
      </c>
      <c r="B40" s="256">
        <f>338+70</f>
        <v>408</v>
      </c>
      <c r="C40" s="256">
        <v>5</v>
      </c>
      <c r="D40" s="256">
        <v>70</v>
      </c>
      <c r="E40" s="257">
        <v>1</v>
      </c>
      <c r="F40" s="257"/>
      <c r="G40" s="257"/>
      <c r="H40" s="257"/>
      <c r="I40" s="49">
        <f t="shared" si="1"/>
        <v>26.8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6">
        <v>40</v>
      </c>
      <c r="B41" s="256">
        <f>397+70</f>
        <v>467</v>
      </c>
      <c r="C41" s="256">
        <v>6</v>
      </c>
      <c r="D41" s="256">
        <v>70</v>
      </c>
      <c r="E41" s="257">
        <v>1</v>
      </c>
      <c r="F41" s="257"/>
      <c r="G41" s="257"/>
      <c r="H41" s="257"/>
      <c r="I41" s="53">
        <f t="shared" si="1"/>
        <v>25.8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6">
        <v>45</v>
      </c>
      <c r="B42" s="256">
        <f>454+64</f>
        <v>518</v>
      </c>
      <c r="C42" s="256">
        <v>7</v>
      </c>
      <c r="D42" s="256">
        <v>64</v>
      </c>
      <c r="E42" s="257">
        <v>1</v>
      </c>
      <c r="F42" s="257"/>
      <c r="G42" s="257"/>
      <c r="H42" s="257"/>
      <c r="I42" s="53">
        <f t="shared" si="1"/>
        <v>24.2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6">
        <v>50</v>
      </c>
      <c r="B43" s="256">
        <f>507+56</f>
        <v>563</v>
      </c>
      <c r="C43" s="256">
        <v>8</v>
      </c>
      <c r="D43" s="256">
        <v>56</v>
      </c>
      <c r="E43" s="257">
        <v>1</v>
      </c>
      <c r="F43" s="257"/>
      <c r="G43" s="257"/>
      <c r="H43" s="257"/>
      <c r="I43" s="49">
        <f t="shared" si="1"/>
        <v>21.8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6">
        <v>55</v>
      </c>
      <c r="B44" s="256">
        <f>560+48</f>
        <v>608</v>
      </c>
      <c r="C44" s="256">
        <v>9</v>
      </c>
      <c r="D44" s="256">
        <v>48</v>
      </c>
      <c r="E44" s="257">
        <v>1</v>
      </c>
      <c r="F44" s="257"/>
      <c r="G44" s="257"/>
      <c r="H44" s="257"/>
      <c r="I44" s="49">
        <f t="shared" si="1"/>
        <v>20.2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6">
        <v>60</v>
      </c>
      <c r="B45" s="258">
        <f>611+42</f>
        <v>653</v>
      </c>
      <c r="C45" s="256">
        <v>10</v>
      </c>
      <c r="D45" s="258">
        <v>42</v>
      </c>
      <c r="E45" s="257">
        <v>1</v>
      </c>
      <c r="F45" s="257"/>
      <c r="G45" s="257"/>
      <c r="H45" s="257"/>
      <c r="I45" s="49">
        <f t="shared" si="1"/>
        <v>18.600000000000001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6">
        <v>65</v>
      </c>
      <c r="B46" s="259">
        <f>658+37</f>
        <v>695</v>
      </c>
      <c r="C46" s="256">
        <v>11</v>
      </c>
      <c r="D46" s="259">
        <v>37</v>
      </c>
      <c r="E46" s="257">
        <v>1</v>
      </c>
      <c r="F46" s="257"/>
      <c r="G46" s="257"/>
      <c r="H46" s="257"/>
      <c r="I46" s="49">
        <f t="shared" si="1"/>
        <v>16.8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6">
        <v>70</v>
      </c>
      <c r="B47" s="258">
        <f>699+34</f>
        <v>733</v>
      </c>
      <c r="C47" s="256">
        <v>12</v>
      </c>
      <c r="D47" s="258">
        <v>34</v>
      </c>
      <c r="E47" s="257">
        <v>1</v>
      </c>
      <c r="F47" s="257"/>
      <c r="G47" s="257"/>
      <c r="H47" s="257"/>
      <c r="I47" s="49">
        <f t="shared" si="1"/>
        <v>15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6">
        <v>75</v>
      </c>
      <c r="B48" s="258">
        <f>734+33</f>
        <v>767</v>
      </c>
      <c r="C48" s="256">
        <v>13</v>
      </c>
      <c r="D48" s="258">
        <v>33</v>
      </c>
      <c r="E48" s="257">
        <v>1</v>
      </c>
      <c r="F48" s="257"/>
      <c r="G48" s="257"/>
      <c r="H48" s="257"/>
      <c r="I48" s="49">
        <f t="shared" si="1"/>
        <v>13.6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6">
        <v>80</v>
      </c>
      <c r="B49" s="258">
        <f>763+32</f>
        <v>795</v>
      </c>
      <c r="C49" s="256">
        <v>14</v>
      </c>
      <c r="D49" s="258">
        <v>32</v>
      </c>
      <c r="E49" s="257">
        <v>1</v>
      </c>
      <c r="F49" s="257"/>
      <c r="G49" s="257"/>
      <c r="H49" s="257"/>
      <c r="I49" s="49">
        <f t="shared" si="1"/>
        <v>12.2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8"/>
      <c r="B50" s="258"/>
      <c r="C50" s="258"/>
      <c r="D50" s="258"/>
      <c r="E50" s="257"/>
      <c r="F50" s="257"/>
      <c r="G50" s="257"/>
      <c r="H50" s="257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8"/>
      <c r="B51" s="258"/>
      <c r="C51" s="258"/>
      <c r="D51" s="258"/>
      <c r="E51" s="257"/>
      <c r="F51" s="257"/>
      <c r="G51" s="257"/>
      <c r="H51" s="257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8"/>
      <c r="B52" s="258"/>
      <c r="C52" s="258"/>
      <c r="D52" s="258"/>
      <c r="E52" s="257"/>
      <c r="F52" s="257"/>
      <c r="G52" s="257"/>
      <c r="H52" s="257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8"/>
      <c r="B53" s="258"/>
      <c r="C53" s="258"/>
      <c r="D53" s="258"/>
      <c r="E53" s="257"/>
      <c r="F53" s="257"/>
      <c r="G53" s="257"/>
      <c r="H53" s="257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8"/>
      <c r="B54" s="258"/>
      <c r="C54" s="258"/>
      <c r="D54" s="258"/>
      <c r="E54" s="257"/>
      <c r="F54" s="257"/>
      <c r="G54" s="257"/>
      <c r="H54" s="257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8"/>
      <c r="B55" s="258"/>
      <c r="C55" s="258"/>
      <c r="D55" s="258"/>
      <c r="E55" s="257"/>
      <c r="F55" s="257"/>
      <c r="G55" s="257"/>
      <c r="H55" s="257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maritime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6">
        <v>11</v>
      </c>
      <c r="B62" s="256">
        <v>83</v>
      </c>
      <c r="C62" s="256"/>
      <c r="D62" s="256"/>
      <c r="E62" s="257"/>
      <c r="F62" s="257"/>
      <c r="G62" s="257"/>
      <c r="H62" s="257"/>
      <c r="I62" s="53">
        <f>IFERROR(B62/A62,"")</f>
        <v>7.5454545454545459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6">
        <v>12</v>
      </c>
      <c r="B63" s="256">
        <v>106</v>
      </c>
      <c r="C63" s="256">
        <v>1</v>
      </c>
      <c r="D63" s="256">
        <v>34</v>
      </c>
      <c r="E63" s="257"/>
      <c r="F63" s="257"/>
      <c r="G63" s="257">
        <v>1</v>
      </c>
      <c r="H63" s="257"/>
      <c r="I63" s="49">
        <f>IF(A63&lt;&gt;0,(B63-(B62-D62))/(A63-A62),"")</f>
        <v>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6">
        <v>13</v>
      </c>
      <c r="B64" s="256">
        <v>89</v>
      </c>
      <c r="C64" s="256"/>
      <c r="D64" s="256"/>
      <c r="E64" s="257"/>
      <c r="F64" s="257"/>
      <c r="G64" s="257"/>
      <c r="H64" s="257"/>
      <c r="I64" s="49">
        <f>IF(A64&lt;&gt;0,(B64-(B63-D63))/(A64-A63),"")</f>
        <v>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6">
        <v>14</v>
      </c>
      <c r="B65" s="256">
        <v>110</v>
      </c>
      <c r="C65" s="256"/>
      <c r="D65" s="256"/>
      <c r="E65" s="257"/>
      <c r="F65" s="257"/>
      <c r="G65" s="257"/>
      <c r="H65" s="257"/>
      <c r="I65" s="49">
        <f>IF(A65&lt;&gt;0,(B65-(B64-D64))/(A65-A64),"")</f>
        <v>21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6">
        <v>15</v>
      </c>
      <c r="B66" s="256">
        <v>131</v>
      </c>
      <c r="C66" s="256"/>
      <c r="D66" s="256"/>
      <c r="E66" s="257"/>
      <c r="F66" s="257"/>
      <c r="G66" s="257"/>
      <c r="H66" s="257"/>
      <c r="I66" s="49">
        <f t="shared" ref="I66:I81" si="2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6">
        <v>16</v>
      </c>
      <c r="B67" s="256">
        <v>153</v>
      </c>
      <c r="C67" s="256"/>
      <c r="D67" s="256"/>
      <c r="E67" s="257"/>
      <c r="F67" s="257"/>
      <c r="G67" s="257"/>
      <c r="H67" s="257"/>
      <c r="I67" s="49">
        <f t="shared" si="2"/>
        <v>22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6">
        <v>17</v>
      </c>
      <c r="B68" s="256">
        <v>176</v>
      </c>
      <c r="C68" s="256">
        <v>2</v>
      </c>
      <c r="D68" s="256">
        <v>43</v>
      </c>
      <c r="E68" s="257">
        <v>0.25</v>
      </c>
      <c r="F68" s="257">
        <v>0.75</v>
      </c>
      <c r="G68" s="257"/>
      <c r="H68" s="257"/>
      <c r="I68" s="49">
        <f t="shared" si="2"/>
        <v>23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6">
        <v>18</v>
      </c>
      <c r="B69" s="256">
        <v>151</v>
      </c>
      <c r="C69" s="256"/>
      <c r="D69" s="256"/>
      <c r="E69" s="257"/>
      <c r="F69" s="257"/>
      <c r="G69" s="257"/>
      <c r="H69" s="257"/>
      <c r="I69" s="49">
        <f t="shared" si="2"/>
        <v>18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6">
        <v>19</v>
      </c>
      <c r="B70" s="256">
        <v>171</v>
      </c>
      <c r="C70" s="256"/>
      <c r="D70" s="256"/>
      <c r="E70" s="257"/>
      <c r="F70" s="257"/>
      <c r="G70" s="257"/>
      <c r="H70" s="257"/>
      <c r="I70" s="49">
        <f t="shared" si="2"/>
        <v>20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6">
        <v>20</v>
      </c>
      <c r="B71" s="258">
        <v>192</v>
      </c>
      <c r="C71" s="256"/>
      <c r="D71" s="258"/>
      <c r="E71" s="257"/>
      <c r="F71" s="257"/>
      <c r="G71" s="257"/>
      <c r="H71" s="257"/>
      <c r="I71" s="49">
        <f t="shared" si="2"/>
        <v>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6">
        <v>21</v>
      </c>
      <c r="B72" s="259">
        <v>212</v>
      </c>
      <c r="C72" s="256"/>
      <c r="D72" s="259"/>
      <c r="E72" s="257"/>
      <c r="F72" s="257"/>
      <c r="G72" s="257"/>
      <c r="H72" s="257"/>
      <c r="I72" s="49">
        <f t="shared" si="2"/>
        <v>20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6">
        <v>22</v>
      </c>
      <c r="B73" s="258">
        <v>232</v>
      </c>
      <c r="C73" s="256">
        <v>3</v>
      </c>
      <c r="D73" s="258">
        <v>56</v>
      </c>
      <c r="E73" s="257">
        <v>0.6</v>
      </c>
      <c r="F73" s="257">
        <v>0.4</v>
      </c>
      <c r="G73" s="257"/>
      <c r="H73" s="257"/>
      <c r="I73" s="49">
        <f t="shared" si="2"/>
        <v>20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6">
        <v>23</v>
      </c>
      <c r="B74" s="258">
        <v>192</v>
      </c>
      <c r="C74" s="256"/>
      <c r="D74" s="258"/>
      <c r="E74" s="257"/>
      <c r="F74" s="257"/>
      <c r="G74" s="257"/>
      <c r="H74" s="257"/>
      <c r="I74" s="49">
        <f t="shared" si="2"/>
        <v>16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6">
        <v>24</v>
      </c>
      <c r="B75" s="258">
        <v>209</v>
      </c>
      <c r="C75" s="256"/>
      <c r="D75" s="258"/>
      <c r="E75" s="257"/>
      <c r="F75" s="257"/>
      <c r="G75" s="257"/>
      <c r="H75" s="257"/>
      <c r="I75" s="49">
        <f t="shared" si="2"/>
        <v>17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8">
        <v>25</v>
      </c>
      <c r="B76" s="258">
        <v>226</v>
      </c>
      <c r="C76" s="258"/>
      <c r="D76" s="258"/>
      <c r="E76" s="257"/>
      <c r="F76" s="257"/>
      <c r="G76" s="257"/>
      <c r="H76" s="257"/>
      <c r="I76" s="49">
        <f t="shared" si="2"/>
        <v>17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8">
        <v>26</v>
      </c>
      <c r="B77" s="258">
        <v>244</v>
      </c>
      <c r="C77" s="258"/>
      <c r="D77" s="258"/>
      <c r="E77" s="257"/>
      <c r="F77" s="257"/>
      <c r="G77" s="257"/>
      <c r="H77" s="255"/>
      <c r="I77" s="49">
        <f t="shared" si="2"/>
        <v>18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8">
        <v>27</v>
      </c>
      <c r="B78" s="258">
        <v>261</v>
      </c>
      <c r="C78" s="258"/>
      <c r="D78" s="258"/>
      <c r="E78" s="257"/>
      <c r="F78" s="257"/>
      <c r="G78" s="257"/>
      <c r="H78" s="255"/>
      <c r="I78" s="49">
        <f t="shared" si="2"/>
        <v>17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8">
        <v>28</v>
      </c>
      <c r="B79" s="258">
        <v>277</v>
      </c>
      <c r="C79" s="258"/>
      <c r="D79" s="258"/>
      <c r="E79" s="257"/>
      <c r="F79" s="257"/>
      <c r="G79" s="257"/>
      <c r="H79" s="255"/>
      <c r="I79" s="49">
        <f t="shared" si="2"/>
        <v>16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8">
        <v>29</v>
      </c>
      <c r="B80" s="258">
        <v>293</v>
      </c>
      <c r="C80" s="258"/>
      <c r="D80" s="258"/>
      <c r="E80" s="257"/>
      <c r="F80" s="257"/>
      <c r="G80" s="257"/>
      <c r="H80" s="255"/>
      <c r="I80" s="49">
        <f t="shared" si="2"/>
        <v>16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8">
        <v>30</v>
      </c>
      <c r="B81" s="258">
        <v>309</v>
      </c>
      <c r="C81" s="258">
        <v>4</v>
      </c>
      <c r="D81" s="258">
        <v>309</v>
      </c>
      <c r="E81" s="257">
        <v>1</v>
      </c>
      <c r="F81" s="257"/>
      <c r="G81" s="257"/>
      <c r="H81" s="255"/>
      <c r="I81" s="49">
        <f t="shared" si="2"/>
        <v>16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taeda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6">
        <v>11</v>
      </c>
      <c r="B88" s="256">
        <v>83</v>
      </c>
      <c r="C88" s="256"/>
      <c r="D88" s="256"/>
      <c r="E88" s="257"/>
      <c r="F88" s="257"/>
      <c r="G88" s="257"/>
      <c r="H88" s="257"/>
      <c r="I88" s="53">
        <f>IFERROR(B88/A88,"")</f>
        <v>7.5454545454545459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6">
        <v>12</v>
      </c>
      <c r="B89" s="256">
        <v>106</v>
      </c>
      <c r="C89" s="256">
        <v>1</v>
      </c>
      <c r="D89" s="256">
        <v>34</v>
      </c>
      <c r="E89" s="257"/>
      <c r="F89" s="257"/>
      <c r="G89" s="257">
        <v>1</v>
      </c>
      <c r="H89" s="257"/>
      <c r="I89" s="53">
        <f t="shared" ref="I89:I107" si="3">IF(A89&lt;&gt;0,(B89-(B88-D88))/(A89-A88),"")</f>
        <v>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6">
        <v>13</v>
      </c>
      <c r="B90" s="256">
        <v>89</v>
      </c>
      <c r="C90" s="256"/>
      <c r="D90" s="256"/>
      <c r="E90" s="257"/>
      <c r="F90" s="257"/>
      <c r="G90" s="257"/>
      <c r="H90" s="257"/>
      <c r="I90" s="53">
        <f t="shared" si="3"/>
        <v>17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6">
        <v>14</v>
      </c>
      <c r="B91" s="256">
        <v>110</v>
      </c>
      <c r="C91" s="256"/>
      <c r="D91" s="256"/>
      <c r="E91" s="257"/>
      <c r="F91" s="257"/>
      <c r="G91" s="257"/>
      <c r="H91" s="257"/>
      <c r="I91" s="53">
        <f t="shared" si="3"/>
        <v>21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6">
        <v>15</v>
      </c>
      <c r="B92" s="256">
        <v>131</v>
      </c>
      <c r="C92" s="256"/>
      <c r="D92" s="256"/>
      <c r="E92" s="257"/>
      <c r="F92" s="257"/>
      <c r="G92" s="257"/>
      <c r="H92" s="257"/>
      <c r="I92" s="53">
        <f t="shared" si="3"/>
        <v>21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6">
        <v>16</v>
      </c>
      <c r="B93" s="256">
        <v>153</v>
      </c>
      <c r="C93" s="256"/>
      <c r="D93" s="256"/>
      <c r="E93" s="257"/>
      <c r="F93" s="257"/>
      <c r="G93" s="257"/>
      <c r="H93" s="257"/>
      <c r="I93" s="53">
        <f t="shared" si="3"/>
        <v>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6">
        <v>17</v>
      </c>
      <c r="B94" s="256">
        <v>176</v>
      </c>
      <c r="C94" s="256">
        <v>2</v>
      </c>
      <c r="D94" s="256">
        <v>43</v>
      </c>
      <c r="E94" s="257">
        <v>0.25</v>
      </c>
      <c r="F94" s="257">
        <v>0.75</v>
      </c>
      <c r="G94" s="257"/>
      <c r="H94" s="257"/>
      <c r="I94" s="53">
        <f t="shared" si="3"/>
        <v>23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6">
        <v>18</v>
      </c>
      <c r="B95" s="256">
        <v>151</v>
      </c>
      <c r="C95" s="256"/>
      <c r="D95" s="256"/>
      <c r="E95" s="257"/>
      <c r="F95" s="257"/>
      <c r="G95" s="257"/>
      <c r="H95" s="257"/>
      <c r="I95" s="53">
        <f t="shared" si="3"/>
        <v>18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6">
        <v>19</v>
      </c>
      <c r="B96" s="256">
        <v>171</v>
      </c>
      <c r="C96" s="256"/>
      <c r="D96" s="256"/>
      <c r="E96" s="257"/>
      <c r="F96" s="257"/>
      <c r="G96" s="257"/>
      <c r="H96" s="257"/>
      <c r="I96" s="53">
        <f t="shared" si="3"/>
        <v>20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6">
        <v>20</v>
      </c>
      <c r="B97" s="258">
        <v>192</v>
      </c>
      <c r="C97" s="256"/>
      <c r="D97" s="258"/>
      <c r="E97" s="257"/>
      <c r="F97" s="257"/>
      <c r="G97" s="257"/>
      <c r="H97" s="257"/>
      <c r="I97" s="53">
        <f t="shared" si="3"/>
        <v>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6">
        <v>21</v>
      </c>
      <c r="B98" s="259">
        <v>212</v>
      </c>
      <c r="C98" s="256"/>
      <c r="D98" s="259"/>
      <c r="E98" s="257"/>
      <c r="F98" s="257"/>
      <c r="G98" s="257"/>
      <c r="H98" s="257"/>
      <c r="I98" s="53">
        <f t="shared" si="3"/>
        <v>20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6">
        <v>22</v>
      </c>
      <c r="B99" s="258">
        <v>232</v>
      </c>
      <c r="C99" s="256">
        <v>3</v>
      </c>
      <c r="D99" s="258">
        <v>56</v>
      </c>
      <c r="E99" s="257">
        <v>0.6</v>
      </c>
      <c r="F99" s="257">
        <v>0.4</v>
      </c>
      <c r="G99" s="257"/>
      <c r="H99" s="257"/>
      <c r="I99" s="53">
        <f t="shared" si="3"/>
        <v>20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6">
        <v>23</v>
      </c>
      <c r="B100" s="258">
        <v>192</v>
      </c>
      <c r="C100" s="256"/>
      <c r="D100" s="258"/>
      <c r="E100" s="257"/>
      <c r="F100" s="257"/>
      <c r="G100" s="257"/>
      <c r="H100" s="257"/>
      <c r="I100" s="53">
        <f t="shared" si="3"/>
        <v>16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6">
        <v>24</v>
      </c>
      <c r="B101" s="258">
        <v>209</v>
      </c>
      <c r="C101" s="256"/>
      <c r="D101" s="258"/>
      <c r="E101" s="257"/>
      <c r="F101" s="257"/>
      <c r="G101" s="257"/>
      <c r="H101" s="257"/>
      <c r="I101" s="53">
        <f t="shared" si="3"/>
        <v>17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8">
        <v>25</v>
      </c>
      <c r="B102" s="258">
        <v>226</v>
      </c>
      <c r="C102" s="258"/>
      <c r="D102" s="258"/>
      <c r="E102" s="257"/>
      <c r="F102" s="257"/>
      <c r="G102" s="257"/>
      <c r="H102" s="257"/>
      <c r="I102" s="53">
        <f t="shared" si="3"/>
        <v>17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8">
        <v>26</v>
      </c>
      <c r="B103" s="258">
        <v>244</v>
      </c>
      <c r="C103" s="258"/>
      <c r="D103" s="258"/>
      <c r="E103" s="257"/>
      <c r="F103" s="257"/>
      <c r="G103" s="257"/>
      <c r="H103" s="255"/>
      <c r="I103" s="53">
        <f t="shared" si="3"/>
        <v>18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8">
        <v>27</v>
      </c>
      <c r="B104" s="258">
        <v>261</v>
      </c>
      <c r="C104" s="258"/>
      <c r="D104" s="258"/>
      <c r="E104" s="257"/>
      <c r="F104" s="257"/>
      <c r="G104" s="257"/>
      <c r="H104" s="255"/>
      <c r="I104" s="53">
        <f t="shared" si="3"/>
        <v>17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8">
        <v>28</v>
      </c>
      <c r="B105" s="258">
        <v>277</v>
      </c>
      <c r="C105" s="258"/>
      <c r="D105" s="258"/>
      <c r="E105" s="257"/>
      <c r="F105" s="257"/>
      <c r="G105" s="257"/>
      <c r="H105" s="255"/>
      <c r="I105" s="53">
        <f t="shared" si="3"/>
        <v>16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8">
        <v>29</v>
      </c>
      <c r="B106" s="258">
        <v>293</v>
      </c>
      <c r="C106" s="258"/>
      <c r="D106" s="258"/>
      <c r="E106" s="257"/>
      <c r="F106" s="257"/>
      <c r="G106" s="257"/>
      <c r="H106" s="255"/>
      <c r="I106" s="53">
        <f t="shared" si="3"/>
        <v>16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8">
        <v>30</v>
      </c>
      <c r="B107" s="258">
        <v>309</v>
      </c>
      <c r="C107" s="258">
        <v>4</v>
      </c>
      <c r="D107" s="258">
        <v>309</v>
      </c>
      <c r="E107" s="257">
        <v>1</v>
      </c>
      <c r="F107" s="257"/>
      <c r="G107" s="257"/>
      <c r="H107" s="255"/>
      <c r="I107" s="53">
        <f t="shared" si="3"/>
        <v>16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sessile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42</v>
      </c>
      <c r="C114" s="50"/>
      <c r="D114" s="60"/>
      <c r="E114" s="63"/>
      <c r="F114" s="63"/>
      <c r="G114" s="63"/>
      <c r="H114" s="257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70</v>
      </c>
      <c r="C115" s="50">
        <v>1</v>
      </c>
      <c r="D115" s="60">
        <v>8</v>
      </c>
      <c r="E115" s="63"/>
      <c r="F115" s="63"/>
      <c r="G115" s="63"/>
      <c r="H115" s="257">
        <v>1</v>
      </c>
      <c r="I115" s="53">
        <f t="shared" ref="I115:I133" si="4">IF(A115&lt;&gt;0,(B115-(B114-D114))/(A115-A114),"")</f>
        <v>5.6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97</v>
      </c>
      <c r="C116" s="50">
        <v>2</v>
      </c>
      <c r="D116" s="60">
        <v>21</v>
      </c>
      <c r="E116" s="63"/>
      <c r="F116" s="63"/>
      <c r="G116" s="63"/>
      <c r="H116" s="257">
        <v>1</v>
      </c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>
        <v>35</v>
      </c>
      <c r="B117" s="55">
        <v>116</v>
      </c>
      <c r="C117" s="55">
        <v>3</v>
      </c>
      <c r="D117" s="55">
        <v>21</v>
      </c>
      <c r="E117" s="63">
        <v>1</v>
      </c>
      <c r="F117" s="63"/>
      <c r="G117" s="63"/>
      <c r="H117" s="257"/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>
        <v>40</v>
      </c>
      <c r="B118" s="55">
        <v>137</v>
      </c>
      <c r="C118" s="55">
        <v>4</v>
      </c>
      <c r="D118" s="55">
        <v>21</v>
      </c>
      <c r="E118" s="63">
        <v>1</v>
      </c>
      <c r="F118" s="63"/>
      <c r="G118" s="63"/>
      <c r="H118" s="257"/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>
        <v>45</v>
      </c>
      <c r="B119" s="55">
        <v>158</v>
      </c>
      <c r="C119" s="55">
        <v>5</v>
      </c>
      <c r="D119" s="55">
        <v>21</v>
      </c>
      <c r="E119" s="63">
        <v>1</v>
      </c>
      <c r="F119" s="63"/>
      <c r="G119" s="63"/>
      <c r="H119" s="257"/>
      <c r="I119" s="53">
        <f t="shared" si="4"/>
        <v>8.4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>
        <v>50</v>
      </c>
      <c r="B120" s="55">
        <v>178</v>
      </c>
      <c r="C120" s="55">
        <v>6</v>
      </c>
      <c r="D120" s="55">
        <v>21</v>
      </c>
      <c r="E120" s="63">
        <v>1</v>
      </c>
      <c r="F120" s="63"/>
      <c r="G120" s="63"/>
      <c r="H120" s="257"/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>
        <v>55</v>
      </c>
      <c r="B121" s="55">
        <v>197</v>
      </c>
      <c r="C121" s="55">
        <v>7</v>
      </c>
      <c r="D121" s="55">
        <v>21</v>
      </c>
      <c r="E121" s="63">
        <v>1</v>
      </c>
      <c r="F121" s="63"/>
      <c r="G121" s="63"/>
      <c r="H121" s="257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>
        <v>60</v>
      </c>
      <c r="B122" s="55">
        <v>214</v>
      </c>
      <c r="C122" s="55">
        <v>8</v>
      </c>
      <c r="D122" s="55">
        <v>21</v>
      </c>
      <c r="E122" s="63">
        <v>1</v>
      </c>
      <c r="F122" s="63"/>
      <c r="G122" s="63"/>
      <c r="H122" s="257"/>
      <c r="I122" s="53">
        <f t="shared" si="4"/>
        <v>7.6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>
        <v>65</v>
      </c>
      <c r="B123" s="55">
        <v>229</v>
      </c>
      <c r="C123" s="55">
        <v>9</v>
      </c>
      <c r="D123" s="55">
        <v>21</v>
      </c>
      <c r="E123" s="63">
        <v>1</v>
      </c>
      <c r="F123" s="63"/>
      <c r="G123" s="63"/>
      <c r="H123" s="257"/>
      <c r="I123" s="53">
        <f t="shared" si="4"/>
        <v>7.2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>
        <v>70</v>
      </c>
      <c r="B124" s="55">
        <v>242</v>
      </c>
      <c r="C124" s="55">
        <v>10</v>
      </c>
      <c r="D124" s="55">
        <v>21</v>
      </c>
      <c r="E124" s="63">
        <v>1</v>
      </c>
      <c r="F124" s="63"/>
      <c r="G124" s="63"/>
      <c r="H124" s="257"/>
      <c r="I124" s="53">
        <f t="shared" si="4"/>
        <v>6.8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>
        <v>75</v>
      </c>
      <c r="B125" s="55">
        <v>252</v>
      </c>
      <c r="C125" s="55">
        <v>11</v>
      </c>
      <c r="D125" s="55">
        <v>21</v>
      </c>
      <c r="E125" s="63">
        <v>1</v>
      </c>
      <c r="F125" s="63"/>
      <c r="G125" s="63"/>
      <c r="H125" s="257"/>
      <c r="I125" s="53">
        <f t="shared" si="4"/>
        <v>6.2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>
        <v>80</v>
      </c>
      <c r="B126" s="55">
        <v>261</v>
      </c>
      <c r="C126" s="55">
        <v>12</v>
      </c>
      <c r="D126" s="55">
        <v>21</v>
      </c>
      <c r="E126" s="64">
        <v>1</v>
      </c>
      <c r="F126" s="64"/>
      <c r="G126" s="64"/>
      <c r="H126" s="257"/>
      <c r="I126" s="53">
        <f t="shared" si="4"/>
        <v>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86">
        <v>85</v>
      </c>
      <c r="B127" s="60">
        <v>269</v>
      </c>
      <c r="C127" s="86">
        <v>13</v>
      </c>
      <c r="D127" s="60">
        <v>21</v>
      </c>
      <c r="E127" s="54">
        <v>1</v>
      </c>
      <c r="F127" s="54"/>
      <c r="G127" s="54"/>
      <c r="H127" s="257"/>
      <c r="I127" s="53">
        <f t="shared" si="4"/>
        <v>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90</v>
      </c>
      <c r="B128" s="50">
        <v>275</v>
      </c>
      <c r="C128" s="50">
        <v>14</v>
      </c>
      <c r="D128" s="50">
        <v>21</v>
      </c>
      <c r="E128" s="54">
        <v>1</v>
      </c>
      <c r="F128" s="54"/>
      <c r="G128" s="54"/>
      <c r="H128" s="257"/>
      <c r="I128" s="53">
        <f t="shared" si="4"/>
        <v>5.4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95</v>
      </c>
      <c r="B129" s="50">
        <v>279</v>
      </c>
      <c r="C129" s="50">
        <v>15</v>
      </c>
      <c r="D129" s="50">
        <v>21</v>
      </c>
      <c r="E129" s="54">
        <v>1</v>
      </c>
      <c r="F129" s="54"/>
      <c r="G129" s="54"/>
      <c r="H129" s="257"/>
      <c r="I129" s="53">
        <f t="shared" si="4"/>
        <v>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100</v>
      </c>
      <c r="B130" s="50">
        <v>282</v>
      </c>
      <c r="C130" s="50">
        <v>16</v>
      </c>
      <c r="D130" s="50">
        <v>21</v>
      </c>
      <c r="E130" s="54">
        <v>1</v>
      </c>
      <c r="F130" s="54"/>
      <c r="G130" s="54"/>
      <c r="H130" s="257"/>
      <c r="I130" s="53">
        <f t="shared" si="4"/>
        <v>4.8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105</v>
      </c>
      <c r="B131" s="50">
        <v>284</v>
      </c>
      <c r="C131" s="50">
        <v>17</v>
      </c>
      <c r="D131" s="50">
        <v>20</v>
      </c>
      <c r="E131" s="54">
        <v>1</v>
      </c>
      <c r="F131" s="54"/>
      <c r="G131" s="54"/>
      <c r="H131" s="257"/>
      <c r="I131" s="53">
        <f t="shared" si="4"/>
        <v>4.5999999999999996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8">
        <v>110</v>
      </c>
      <c r="B132" s="258">
        <v>285</v>
      </c>
      <c r="C132" s="258">
        <v>18</v>
      </c>
      <c r="D132" s="258">
        <v>19</v>
      </c>
      <c r="E132" s="257">
        <v>1</v>
      </c>
      <c r="F132" s="257"/>
      <c r="G132" s="257"/>
      <c r="H132" s="257"/>
      <c r="I132" s="53">
        <f t="shared" si="4"/>
        <v>4.2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8">
        <v>115</v>
      </c>
      <c r="B133" s="258">
        <v>285</v>
      </c>
      <c r="C133" s="258">
        <v>19</v>
      </c>
      <c r="D133" s="258">
        <v>18</v>
      </c>
      <c r="E133" s="257">
        <v>1</v>
      </c>
      <c r="F133" s="257"/>
      <c r="G133" s="257"/>
      <c r="H133" s="257"/>
      <c r="I133" s="53">
        <f t="shared" si="4"/>
        <v>3.8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8" t="s">
        <v>191</v>
      </c>
      <c r="C2" s="279"/>
      <c r="D2" s="279"/>
      <c r="E2" s="279"/>
      <c r="F2" s="279"/>
      <c r="G2" s="280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7"/>
      <c r="C4" s="277"/>
      <c r="D4" s="277"/>
      <c r="E4" s="277"/>
      <c r="F4" s="277"/>
      <c r="G4" s="277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4" t="s">
        <v>176</v>
      </c>
      <c r="C1" s="285"/>
      <c r="D1" s="285"/>
      <c r="E1" s="285"/>
      <c r="F1" s="285"/>
      <c r="G1" s="285"/>
      <c r="H1" s="286"/>
      <c r="I1" s="281" t="str">
        <f>IF('Données projet'!$B$9="","",'Données projet'!$B$9)</f>
        <v>Pin laricio</v>
      </c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3"/>
      <c r="AD1" s="282" t="str">
        <f>IF('Données projet'!$B$10="","",'Données projet'!$B$10)</f>
        <v>Pin maritime</v>
      </c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3"/>
      <c r="AY1" s="281" t="str">
        <f>IF('Données projet'!$B$11="","",'Données projet'!$B$11)</f>
        <v>Pin taeda</v>
      </c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3"/>
      <c r="BT1" s="281" t="str">
        <f>IF('Données projet'!$B$12="","",'Données projet'!$B$12)</f>
        <v>Chêne sessile</v>
      </c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3"/>
      <c r="CO1" s="281" t="str">
        <f>IF('Données projet'!$B$13="","",'Données projet'!$B$13)</f>
        <v/>
      </c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3"/>
      <c r="DJ1" s="281" t="str">
        <f>IF('Données projet'!$B$14="","",'Données projet'!$B$14)</f>
        <v/>
      </c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3"/>
      <c r="EE1" s="281" t="str">
        <f>IF('Données projet'!$B$15="","",'Données projet'!$B$15)</f>
        <v/>
      </c>
      <c r="EF1" s="282"/>
      <c r="EG1" s="282"/>
      <c r="EH1" s="282"/>
      <c r="EI1" s="282"/>
      <c r="EJ1" s="282"/>
      <c r="EK1" s="282"/>
      <c r="EL1" s="282"/>
      <c r="EM1" s="282"/>
      <c r="EN1" s="282"/>
      <c r="EO1" s="282"/>
      <c r="EP1" s="282"/>
      <c r="EQ1" s="282"/>
      <c r="ER1" s="282"/>
      <c r="ES1" s="282"/>
      <c r="ET1" s="282"/>
      <c r="EU1" s="282"/>
      <c r="EV1" s="282"/>
      <c r="EW1" s="282"/>
      <c r="EX1" s="282"/>
      <c r="EY1" s="283"/>
      <c r="EZ1" s="281" t="str">
        <f>IF('Données projet'!$B$16="","",'Données projet'!$B$16)</f>
        <v/>
      </c>
      <c r="FA1" s="282"/>
      <c r="FB1" s="282"/>
      <c r="FC1" s="282"/>
      <c r="FD1" s="282"/>
      <c r="FE1" s="282"/>
      <c r="FF1" s="282"/>
      <c r="FG1" s="282"/>
      <c r="FH1" s="282"/>
      <c r="FI1" s="282"/>
      <c r="FJ1" s="282"/>
      <c r="FK1" s="282"/>
      <c r="FL1" s="282"/>
      <c r="FM1" s="282"/>
      <c r="FN1" s="282"/>
      <c r="FO1" s="282"/>
      <c r="FP1" s="282"/>
      <c r="FQ1" s="282"/>
      <c r="FR1" s="282"/>
      <c r="FS1" s="282"/>
      <c r="FT1" s="283"/>
      <c r="FU1" s="281" t="str">
        <f>IF('Données projet'!$B$17="","",'Données projet'!$B$17)</f>
        <v/>
      </c>
      <c r="FV1" s="282"/>
      <c r="FW1" s="282"/>
      <c r="FX1" s="282"/>
      <c r="FY1" s="282"/>
      <c r="FZ1" s="282"/>
      <c r="GA1" s="282"/>
      <c r="GB1" s="282"/>
      <c r="GC1" s="282"/>
      <c r="GD1" s="282"/>
      <c r="GE1" s="282"/>
      <c r="GF1" s="282"/>
      <c r="GG1" s="282"/>
      <c r="GH1" s="282"/>
      <c r="GI1" s="282"/>
      <c r="GJ1" s="282"/>
      <c r="GK1" s="282"/>
      <c r="GL1" s="282"/>
      <c r="GM1" s="282"/>
      <c r="GN1" s="282"/>
      <c r="GO1" s="283"/>
      <c r="GP1" s="281" t="str">
        <f>IF('Données projet'!$B$18="","",'Données projet'!$B$18)</f>
        <v/>
      </c>
      <c r="GQ1" s="282"/>
      <c r="GR1" s="282"/>
      <c r="GS1" s="282"/>
      <c r="GT1" s="282"/>
      <c r="GU1" s="282"/>
      <c r="GV1" s="282"/>
      <c r="GW1" s="282"/>
      <c r="GX1" s="282"/>
      <c r="GY1" s="282"/>
      <c r="GZ1" s="282"/>
      <c r="HA1" s="282"/>
      <c r="HB1" s="282"/>
      <c r="HC1" s="282"/>
      <c r="HD1" s="282"/>
      <c r="HE1" s="282"/>
      <c r="HF1" s="282"/>
      <c r="HG1" s="282"/>
      <c r="HH1" s="282"/>
      <c r="HI1" s="282"/>
      <c r="HJ1" s="283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443.63756287217456</v>
      </c>
      <c r="T3" s="59">
        <f>IF('Données projet'!E9&gt;30,$R$33-$H$33,LOOKUP('Données projet'!$E$9,$A$3:$A$203,R3:R203)-LOOKUP('Données projet'!$E$9,$A$3:$A$203,$H$3:$H$203))</f>
        <v>384.990641425788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137.97244371990928</v>
      </c>
      <c r="AO3" s="59">
        <f>IF('Données projet'!E10&gt;30,$AM$33-$H$33,LOOKUP('Données projet'!$E$10,$A$3:$A$203,AM3:AM203)-LOOKUP('Données projet'!$E$10,$A$3:$A$203,$H$3:$H$203))</f>
        <v>340.50331317844757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137.97244371990928</v>
      </c>
      <c r="BJ3" s="59">
        <f>IF('Données projet'!E11&gt;30,$BH$33-$H$33,LOOKUP('Données projet'!$E$11,$A$3:$A$203,BH3:BH203)-LOOKUP('Données projet'!$E$11,$A$3:$A$203,$H$3:$H$203))</f>
        <v>340.50331317844757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216.16148211123436</v>
      </c>
      <c r="CE3" s="59">
        <f>IF('Données projet'!E12&gt;30,$CC$33-$H$33,LOOKUP('Données projet'!$E$12,$A$3:$A$203,CC3:CC203)-LOOKUP('Données projet'!$E$12,$A$3:$A$203,$H$3:$H$203))</f>
        <v>132.59131750490178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0.90479999999999994</v>
      </c>
      <c r="D4" s="11">
        <f>IFERROR(EXP(-1.0587+0.8836*LN(C4)+0.284),0)</f>
        <v>0.42185377043488931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10.240836122655287</v>
      </c>
      <c r="H4" s="66">
        <f t="shared" ref="H4:H67" si="1">(B4+E4+F4)*44/12+(C4+D4)*0.475*44/12</f>
        <v>295.64392198350743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8.6</v>
      </c>
      <c r="N4" s="13">
        <f>IF('Données projet'!$A$36&gt;35,N3+M4-V3,IF(A4&lt;'Données projet'!$A$36,$K$205^A4,IF(A4='Données projet'!$A$36,'Données projet'!$B$36,N3+M4-V3)))</f>
        <v>1.3826300153206645</v>
      </c>
      <c r="O4" s="13">
        <f>N4*VLOOKUP('Données projet'!$B$9,Paramètres!$A$1:$I$89,3,0)*VLOOKUP('Données projet'!$B$9,Paramètres!$A$1:$I$89,5,0)</f>
        <v>0.82681274916175751</v>
      </c>
      <c r="P4" s="13">
        <f>EXP(-1.0587+0.8836*LN(O4)+0.284)</f>
        <v>0.38955881454640179</v>
      </c>
      <c r="Q4" s="20">
        <f t="shared" ref="Q4:Q34" si="2">(O4+P4)*0.475*44/12</f>
        <v>2.1185138067917109</v>
      </c>
      <c r="R4" s="59">
        <f t="shared" si="0"/>
        <v>295.45184714012504</v>
      </c>
      <c r="S4" s="59">
        <f ca="1">AVERAGE(OFFSET($R$3,0,0,'Données projet'!$E$9+1,1))-AVERAGE(OFFSET($H$3,0,0,'Données projet'!$E$9+1,1))</f>
        <v>443.63756287217456</v>
      </c>
      <c r="T4" s="59">
        <f>$T$3</f>
        <v>384.990641425788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7.5454545454545459</v>
      </c>
      <c r="AI4" s="13">
        <f>IF('Données projet'!$A$62&gt;35,AI3+AH4-AQ3,IF(A4&lt;'Données projet'!$A$62,$AF$205^A4,IF(A4='Données projet'!$A$62,'Données projet'!$B$62,AI3+AH4-AQ3)))</f>
        <v>1.4943820583928935</v>
      </c>
      <c r="AJ4" s="13">
        <f>AI4*VLOOKUP('Données projet'!$B$10,Paramètres!$A$1:$I$89,3,0)*VLOOKUP('Données projet'!$B$10,Paramètres!$A$1:$I$89,5,0)</f>
        <v>0.89364047091895038</v>
      </c>
      <c r="AK4" s="13">
        <f>EXP(-1.0587+0.8836*LN(AJ4)+0.284)</f>
        <v>0.41725306962072783</v>
      </c>
      <c r="AL4" s="20">
        <f t="shared" ref="AL4:AL67" si="4">(AJ4+AK4)*0.475*44/12</f>
        <v>2.2831395831066059</v>
      </c>
      <c r="AM4" s="59">
        <f t="shared" ref="AM4:AM67" si="5">AL4+(AD4+AE4)*44/12</f>
        <v>295.61647291643993</v>
      </c>
      <c r="AN4" s="59">
        <f ca="1">AVERAGE(OFFSET($AM$3,0,0,'Données projet'!$E$10+1,1))-AVERAGE(OFFSET($H$3,0,0,'Données projet'!$E$10+1,1))</f>
        <v>137.97244371990928</v>
      </c>
      <c r="AO4" s="59">
        <f>$AO$3</f>
        <v>340.50331317844757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7.5454545454545459</v>
      </c>
      <c r="BD4" s="12">
        <f>IF('Données projet'!$A$88&gt;35,BD3+BC4-BL3,IF(A4&lt;'Données projet'!$A$88,$BA$205^A4,IF(A4='Données projet'!$A$88,'Données projet'!$B$88,BD3+BC4-BL3)))</f>
        <v>1.4943820583928935</v>
      </c>
      <c r="BE4" s="13">
        <f>BD4*VLOOKUP('Données projet'!$B$11,Paramètres!$A$1:$I$89,3,0)*VLOOKUP('Données projet'!$B$11,Paramètres!$A$1:$I$89,5,0)</f>
        <v>0.89364047091895038</v>
      </c>
      <c r="BF4" s="13">
        <f>EXP(-1.0587+0.8836*LN(BE4)+0.284)</f>
        <v>0.41725306962072783</v>
      </c>
      <c r="BG4" s="20">
        <f t="shared" ref="BG4:BG67" si="7">(BE4+BF4)*0.475*44/12</f>
        <v>2.2831395831066059</v>
      </c>
      <c r="BH4" s="59">
        <f t="shared" ref="BH4:BH67" si="8">BG4+(AY4+AZ4)*44/12</f>
        <v>295.61647291643993</v>
      </c>
      <c r="BI4" s="59">
        <f ca="1">AVERAGE(OFFSET($BH$3,0,0,'Données projet'!$E$11+1,1))-AVERAGE(OFFSET($H$3,0,0,'Données projet'!$E$11+1,1))</f>
        <v>137.97244371990928</v>
      </c>
      <c r="BJ4" s="59">
        <f>$BJ$3</f>
        <v>340.50331317844757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1.0907244698905405</v>
      </c>
      <c r="CA4" s="13">
        <f>EXP(-1.0587+0.8836*LN(BZ4)+0.284)</f>
        <v>0.49759623852608204</v>
      </c>
      <c r="CB4" s="20">
        <f t="shared" ref="CB4:CB67" si="10">(BZ4+CA4)*0.475*44/12</f>
        <v>2.7663252338256172</v>
      </c>
      <c r="CC4" s="59">
        <f t="shared" ref="CC4:CC67" si="11">CB4+(BT4+BU4)*44/12</f>
        <v>296.09965856715894</v>
      </c>
      <c r="CD4" s="59">
        <f ca="1">AVERAGE(OFFSET($CC$3,0,0,'Données projet'!$E$12+1,1))-AVERAGE(OFFSET($H$3,0,0,'Données projet'!$E$12+1,1))</f>
        <v>216.16148211123436</v>
      </c>
      <c r="CE4" s="59">
        <f>$CE$3</f>
        <v>132.59131750490178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1.8095999999999999</v>
      </c>
      <c r="D5" s="11">
        <f t="shared" ref="D5:D68" si="32">IFERROR(EXP(-1.0587+0.8836*LN(C5)+0.284),0)</f>
        <v>0.778308976345926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19.976841220915922</v>
      </c>
      <c r="H5" s="66">
        <f t="shared" si="1"/>
        <v>297.84060813380245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8.6</v>
      </c>
      <c r="N5" s="13">
        <f>IF('Données projet'!$A$36&gt;35,N4+M5-V4,IF(A5&lt;'Données projet'!$A$36,$K$205^A5,IF(A5='Données projet'!$A$36,'Données projet'!$B$36,N4+M5-V4)))</f>
        <v>1.911665759265621</v>
      </c>
      <c r="O5" s="13">
        <f>N5*VLOOKUP('Données projet'!$B$9,Paramètres!$A$1:$I$89,3,0)*VLOOKUP('Données projet'!$B$9,Paramètres!$A$1:$I$89,5,0)</f>
        <v>1.1431761240408413</v>
      </c>
      <c r="P5" s="13">
        <f t="shared" ref="P5:P68" si="33">EXP(-1.0587+0.8836*LN(O5)+0.284)</f>
        <v>0.51868159790831159</v>
      </c>
      <c r="Q5" s="20">
        <f t="shared" si="2"/>
        <v>2.894402199061441</v>
      </c>
      <c r="R5" s="59">
        <f t="shared" si="0"/>
        <v>296.22773553239477</v>
      </c>
      <c r="S5" s="59">
        <f ca="1">AVERAGE(OFFSET($R$3,0,0,'Données projet'!$E$9+1,1))-AVERAGE(OFFSET($H$3,0,0,'Données projet'!$E$9+1,1))</f>
        <v>443.63756287217456</v>
      </c>
      <c r="T5" s="59">
        <f t="shared" ref="T5:T68" si="34">$T$3</f>
        <v>384.990641425788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7.5454545454545459</v>
      </c>
      <c r="AI5" s="13">
        <f>IF('Données projet'!$A$62&gt;35,AI4+AH5-AQ4,IF(A5&lt;'Données projet'!$A$62,$AF$205^A5,IF(A5='Données projet'!$A$62,'Données projet'!$B$62,AI4+AH5-AQ4)))</f>
        <v>2.2331777364465815</v>
      </c>
      <c r="AJ5" s="13">
        <f>AI5*VLOOKUP('Données projet'!$B$10,Paramètres!$A$1:$I$89,3,0)*VLOOKUP('Données projet'!$B$10,Paramètres!$A$1:$I$89,5,0)</f>
        <v>1.3354402863950559</v>
      </c>
      <c r="AK5" s="13">
        <f t="shared" ref="AK5:AK68" si="35">EXP(-1.0587+0.8836*LN(AJ5)+0.284)</f>
        <v>0.59505053454406853</v>
      </c>
      <c r="AL5" s="20">
        <f t="shared" si="4"/>
        <v>3.3622715131356418</v>
      </c>
      <c r="AM5" s="59">
        <f t="shared" si="5"/>
        <v>296.69560484646894</v>
      </c>
      <c r="AN5" s="59">
        <f ca="1">AVERAGE(OFFSET($AM$3,0,0,'Données projet'!$E$10+1,1))-AVERAGE(OFFSET($H$3,0,0,'Données projet'!$E$10+1,1))</f>
        <v>137.97244371990928</v>
      </c>
      <c r="AO5" s="59">
        <f t="shared" ref="AO5:AO68" si="36">$AO$3</f>
        <v>340.50331317844757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7.5454545454545459</v>
      </c>
      <c r="BD5" s="12">
        <f>IF('Données projet'!$A$88&gt;35,BD4+BC5-BL4,IF(A5&lt;'Données projet'!$A$88,$BA$205^A5,IF(A5='Données projet'!$A$88,'Données projet'!$B$88,BD4+BC5-BL4)))</f>
        <v>2.2331777364465815</v>
      </c>
      <c r="BE5" s="13">
        <f>BD5*VLOOKUP('Données projet'!$B$11,Paramètres!$A$1:$I$89,3,0)*VLOOKUP('Données projet'!$B$11,Paramètres!$A$1:$I$89,5,0)</f>
        <v>1.3354402863950559</v>
      </c>
      <c r="BF5" s="13">
        <f t="shared" ref="BF5:BF68" si="37">EXP(-1.0587+0.8836*LN(BE5)+0.284)</f>
        <v>0.59505053454406853</v>
      </c>
      <c r="BG5" s="20">
        <f t="shared" si="7"/>
        <v>3.3622715131356418</v>
      </c>
      <c r="BH5" s="59">
        <f t="shared" si="8"/>
        <v>296.69560484646894</v>
      </c>
      <c r="BI5" s="59">
        <f ca="1">AVERAGE(OFFSET($BH$3,0,0,'Données projet'!$E$11+1,1))-AVERAGE(OFFSET($H$3,0,0,'Données projet'!$E$11+1,1))</f>
        <v>137.97244371990928</v>
      </c>
      <c r="BJ5" s="59">
        <f t="shared" ref="BJ5:BJ68" si="38">$BJ$3</f>
        <v>340.50331317844757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1.3148539668633961</v>
      </c>
      <c r="CA5" s="13">
        <f t="shared" ref="CA5:CA68" si="39">EXP(-1.0587+0.8836*LN(BZ5)+0.284)</f>
        <v>0.58693801963664449</v>
      </c>
      <c r="CB5" s="20">
        <f t="shared" si="10"/>
        <v>3.3122877098209038</v>
      </c>
      <c r="CC5" s="59">
        <f t="shared" si="11"/>
        <v>296.64562104315422</v>
      </c>
      <c r="CD5" s="59">
        <f ca="1">AVERAGE(OFFSET($CC$3,0,0,'Données projet'!$E$12+1,1))-AVERAGE(OFFSET($H$3,0,0,'Données projet'!$E$12+1,1))</f>
        <v>216.16148211123436</v>
      </c>
      <c r="CE5" s="59">
        <f t="shared" ref="CE5:CE68" si="40">$CE$3</f>
        <v>132.59131750490178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2.7143999999999999</v>
      </c>
      <c r="D6" s="11">
        <f t="shared" si="32"/>
        <v>1.1136437287183383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29.549811239229282</v>
      </c>
      <c r="H6" s="66">
        <f t="shared" si="1"/>
        <v>300.00050949418443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8.6</v>
      </c>
      <c r="N6" s="13">
        <f>IF('Données projet'!$A$36&gt;35,N5+M6-V5,IF(A6&lt;'Données projet'!$A$36,$K$205^A6,IF(A6='Données projet'!$A$36,'Données projet'!$B$36,N5+M6-V5)))</f>
        <v>2.6431264580214155</v>
      </c>
      <c r="O6" s="13">
        <f>N6*VLOOKUP('Données projet'!$B$9,Paramètres!$A$1:$I$89,3,0)*VLOOKUP('Données projet'!$B$9,Paramètres!$A$1:$I$89,5,0)</f>
        <v>1.5805896218968065</v>
      </c>
      <c r="P6" s="13">
        <f t="shared" si="33"/>
        <v>0.69060329265550291</v>
      </c>
      <c r="Q6" s="20">
        <f t="shared" si="2"/>
        <v>3.9556609928452722</v>
      </c>
      <c r="R6" s="59">
        <f t="shared" si="0"/>
        <v>297.28899432617857</v>
      </c>
      <c r="S6" s="59">
        <f ca="1">AVERAGE(OFFSET($R$3,0,0,'Données projet'!$E$9+1,1))-AVERAGE(OFFSET($H$3,0,0,'Données projet'!$E$9+1,1))</f>
        <v>443.63756287217456</v>
      </c>
      <c r="T6" s="59">
        <f t="shared" si="34"/>
        <v>384.990641425788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7.5454545454545459</v>
      </c>
      <c r="AI6" s="13">
        <f>IF('Données projet'!$A$62&gt;35,AI5+AH6-AQ5,IF(A6&lt;'Données projet'!$A$62,$AF$205^A6,IF(A6='Données projet'!$A$62,'Données projet'!$B$62,AI5+AH6-AQ5)))</f>
        <v>3.337220742548225</v>
      </c>
      <c r="AJ6" s="13">
        <f>AI6*VLOOKUP('Données projet'!$B$10,Paramètres!$A$1:$I$89,3,0)*VLOOKUP('Données projet'!$B$10,Paramètres!$A$1:$I$89,5,0)</f>
        <v>1.9956580040438385</v>
      </c>
      <c r="AK6" s="13">
        <f t="shared" si="35"/>
        <v>0.84861002696285914</v>
      </c>
      <c r="AL6" s="20">
        <f t="shared" si="4"/>
        <v>4.9537668206699985</v>
      </c>
      <c r="AM6" s="59">
        <f t="shared" si="5"/>
        <v>298.28710015400333</v>
      </c>
      <c r="AN6" s="59">
        <f ca="1">AVERAGE(OFFSET($AM$3,0,0,'Données projet'!$E$10+1,1))-AVERAGE(OFFSET($H$3,0,0,'Données projet'!$E$10+1,1))</f>
        <v>137.97244371990928</v>
      </c>
      <c r="AO6" s="59">
        <f t="shared" si="36"/>
        <v>340.50331317844757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7.5454545454545459</v>
      </c>
      <c r="BD6" s="12">
        <f>IF('Données projet'!$A$88&gt;35,BD5+BC6-BL5,IF(A6&lt;'Données projet'!$A$88,$BA$205^A6,IF(A6='Données projet'!$A$88,'Données projet'!$B$88,BD5+BC6-BL5)))</f>
        <v>3.337220742548225</v>
      </c>
      <c r="BE6" s="13">
        <f>BD6*VLOOKUP('Données projet'!$B$11,Paramètres!$A$1:$I$89,3,0)*VLOOKUP('Données projet'!$B$11,Paramètres!$A$1:$I$89,5,0)</f>
        <v>1.9956580040438385</v>
      </c>
      <c r="BF6" s="13">
        <f t="shared" si="37"/>
        <v>0.84861002696285914</v>
      </c>
      <c r="BG6" s="20">
        <f t="shared" si="7"/>
        <v>4.9537668206699985</v>
      </c>
      <c r="BH6" s="59">
        <f t="shared" si="8"/>
        <v>298.28710015400333</v>
      </c>
      <c r="BI6" s="59">
        <f ca="1">AVERAGE(OFFSET($BH$3,0,0,'Données projet'!$E$11+1,1))-AVERAGE(OFFSET($H$3,0,0,'Données projet'!$E$11+1,1))</f>
        <v>137.97244371990928</v>
      </c>
      <c r="BJ6" s="59">
        <f t="shared" si="38"/>
        <v>340.50331317844757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1.5850391202371266</v>
      </c>
      <c r="CA6" s="13">
        <f t="shared" si="39"/>
        <v>0.69232082604846479</v>
      </c>
      <c r="CB6" s="20">
        <f t="shared" si="10"/>
        <v>3.966401906447405</v>
      </c>
      <c r="CC6" s="59">
        <f t="shared" si="11"/>
        <v>297.29973523978072</v>
      </c>
      <c r="CD6" s="59">
        <f ca="1">AVERAGE(OFFSET($CC$3,0,0,'Données projet'!$E$12+1,1))-AVERAGE(OFFSET($H$3,0,0,'Données projet'!$E$12+1,1))</f>
        <v>216.16148211123436</v>
      </c>
      <c r="CE6" s="59">
        <f t="shared" si="40"/>
        <v>132.59131750490178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3.6191999999999998</v>
      </c>
      <c r="D7" s="11">
        <f t="shared" si="32"/>
        <v>1.4359593421107981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39.022282640855288</v>
      </c>
      <c r="H7" s="66">
        <f t="shared" si="1"/>
        <v>302.1377358541763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8.6</v>
      </c>
      <c r="N7" s="13">
        <f>IF('Données projet'!$A$36&gt;35,N6+M7-V6,IF(A7&lt;'Données projet'!$A$36,$K$205^A7,IF(A7='Données projet'!$A$36,'Données projet'!$B$36,N6+M7-V6)))</f>
        <v>3.6544659751486033</v>
      </c>
      <c r="O7" s="13">
        <f>N7*VLOOKUP('Données projet'!$B$9,Paramètres!$A$1:$I$89,3,0)*VLOOKUP('Données projet'!$B$9,Paramètres!$A$1:$I$89,5,0)</f>
        <v>2.185370653138865</v>
      </c>
      <c r="P7" s="13">
        <f t="shared" si="33"/>
        <v>0.9195099840633455</v>
      </c>
      <c r="Q7" s="20">
        <f t="shared" si="2"/>
        <v>5.4076671097938496</v>
      </c>
      <c r="R7" s="59">
        <f t="shared" si="0"/>
        <v>298.74100044312718</v>
      </c>
      <c r="S7" s="59">
        <f ca="1">AVERAGE(OFFSET($R$3,0,0,'Données projet'!$E$9+1,1))-AVERAGE(OFFSET($H$3,0,0,'Données projet'!$E$9+1,1))</f>
        <v>443.63756287217456</v>
      </c>
      <c r="T7" s="59">
        <f t="shared" si="34"/>
        <v>384.990641425788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7.5454545454545459</v>
      </c>
      <c r="AI7" s="13">
        <f>IF('Données projet'!$A$62&gt;35,AI6+AH7-AQ6,IF(A7&lt;'Données projet'!$A$62,$AF$205^A7,IF(A7='Données projet'!$A$62,'Données projet'!$B$62,AI6+AH7-AQ6)))</f>
        <v>4.9870828025606775</v>
      </c>
      <c r="AJ7" s="13">
        <f>AI7*VLOOKUP('Données projet'!$B$10,Paramètres!$A$1:$I$89,3,0)*VLOOKUP('Données projet'!$B$10,Paramètres!$A$1:$I$89,5,0)</f>
        <v>2.9822755159312857</v>
      </c>
      <c r="AK7" s="13">
        <f t="shared" si="35"/>
        <v>1.2102148238782438</v>
      </c>
      <c r="AL7" s="20">
        <f t="shared" si="4"/>
        <v>7.3019206751682626</v>
      </c>
      <c r="AM7" s="59">
        <f t="shared" si="5"/>
        <v>300.63525400850159</v>
      </c>
      <c r="AN7" s="59">
        <f ca="1">AVERAGE(OFFSET($AM$3,0,0,'Données projet'!$E$10+1,1))-AVERAGE(OFFSET($H$3,0,0,'Données projet'!$E$10+1,1))</f>
        <v>137.97244371990928</v>
      </c>
      <c r="AO7" s="59">
        <f t="shared" si="36"/>
        <v>340.50331317844757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7.5454545454545459</v>
      </c>
      <c r="BD7" s="12">
        <f>IF('Données projet'!$A$88&gt;35,BD6+BC7-BL6,IF(A7&lt;'Données projet'!$A$88,$BA$205^A7,IF(A7='Données projet'!$A$88,'Données projet'!$B$88,BD6+BC7-BL6)))</f>
        <v>4.9870828025606775</v>
      </c>
      <c r="BE7" s="13">
        <f>BD7*VLOOKUP('Données projet'!$B$11,Paramètres!$A$1:$I$89,3,0)*VLOOKUP('Données projet'!$B$11,Paramètres!$A$1:$I$89,5,0)</f>
        <v>2.9822755159312857</v>
      </c>
      <c r="BF7" s="13">
        <f t="shared" si="37"/>
        <v>1.2102148238782438</v>
      </c>
      <c r="BG7" s="20">
        <f t="shared" si="7"/>
        <v>7.3019206751682626</v>
      </c>
      <c r="BH7" s="59">
        <f t="shared" si="8"/>
        <v>300.63525400850159</v>
      </c>
      <c r="BI7" s="59">
        <f ca="1">AVERAGE(OFFSET($BH$3,0,0,'Données projet'!$E$11+1,1))-AVERAGE(OFFSET($H$3,0,0,'Données projet'!$E$11+1,1))</f>
        <v>137.97244371990928</v>
      </c>
      <c r="BJ7" s="59">
        <f t="shared" si="38"/>
        <v>340.50331317844757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1.9107437601419195</v>
      </c>
      <c r="CA7" s="13">
        <f t="shared" si="39"/>
        <v>0.81662477151702284</v>
      </c>
      <c r="CB7" s="20">
        <f t="shared" si="10"/>
        <v>4.7501668593059909</v>
      </c>
      <c r="CC7" s="59">
        <f t="shared" si="11"/>
        <v>298.08350019263929</v>
      </c>
      <c r="CD7" s="59">
        <f ca="1">AVERAGE(OFFSET($CC$3,0,0,'Données projet'!$E$12+1,1))-AVERAGE(OFFSET($H$3,0,0,'Données projet'!$E$12+1,1))</f>
        <v>216.16148211123436</v>
      </c>
      <c r="CE7" s="59">
        <f t="shared" si="40"/>
        <v>132.59131750490178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4.524</v>
      </c>
      <c r="D8" s="11">
        <f t="shared" si="32"/>
        <v>1.7489275978599472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48.42259900102416</v>
      </c>
      <c r="H8" s="66">
        <f t="shared" si="1"/>
        <v>304.25868223293941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8.6</v>
      </c>
      <c r="N8" s="13">
        <f>IF('Données projet'!$A$36&gt;35,N7+M8-V7,IF(A8&lt;'Données projet'!$A$36,$K$205^A8,IF(A8='Données projet'!$A$36,'Données projet'!$B$36,N7+M8-V7)))</f>
        <v>5.0527743472085609</v>
      </c>
      <c r="O8" s="13">
        <f>N8*VLOOKUP('Données projet'!$B$9,Paramètres!$A$1:$I$89,3,0)*VLOOKUP('Données projet'!$B$9,Paramètres!$A$1:$I$89,5,0)</f>
        <v>3.0215590596307198</v>
      </c>
      <c r="P8" s="13">
        <f t="shared" si="33"/>
        <v>1.2242898633469712</v>
      </c>
      <c r="Q8" s="20">
        <f t="shared" si="2"/>
        <v>7.3948535408528118</v>
      </c>
      <c r="R8" s="59">
        <f t="shared" si="0"/>
        <v>300.72818687418612</v>
      </c>
      <c r="S8" s="59">
        <f ca="1">AVERAGE(OFFSET($R$3,0,0,'Données projet'!$E$9+1,1))-AVERAGE(OFFSET($H$3,0,0,'Données projet'!$E$9+1,1))</f>
        <v>443.63756287217456</v>
      </c>
      <c r="T8" s="59">
        <f t="shared" si="34"/>
        <v>384.990641425788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7.5454545454545459</v>
      </c>
      <c r="AI8" s="13">
        <f>IF('Données projet'!$A$62&gt;35,AI7+AH8-AQ7,IF(A8&lt;'Données projet'!$A$62,$AF$205^A8,IF(A8='Données projet'!$A$62,'Données projet'!$B$62,AI7+AH8-AQ7)))</f>
        <v>7.4526070638664255</v>
      </c>
      <c r="AJ8" s="13">
        <f>AI8*VLOOKUP('Données projet'!$B$10,Paramètres!$A$1:$I$89,3,0)*VLOOKUP('Données projet'!$B$10,Paramètres!$A$1:$I$89,5,0)</f>
        <v>4.4566590241921231</v>
      </c>
      <c r="AK8" s="13">
        <f t="shared" si="35"/>
        <v>1.7259045655829262</v>
      </c>
      <c r="AL8" s="20">
        <f t="shared" si="4"/>
        <v>10.76796491885821</v>
      </c>
      <c r="AM8" s="59">
        <f t="shared" si="5"/>
        <v>304.1012982521915</v>
      </c>
      <c r="AN8" s="59">
        <f ca="1">AVERAGE(OFFSET($AM$3,0,0,'Données projet'!$E$10+1,1))-AVERAGE(OFFSET($H$3,0,0,'Données projet'!$E$10+1,1))</f>
        <v>137.97244371990928</v>
      </c>
      <c r="AO8" s="59">
        <f t="shared" si="36"/>
        <v>340.50331317844757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7.5454545454545459</v>
      </c>
      <c r="BD8" s="12">
        <f>IF('Données projet'!$A$88&gt;35,BD7+BC8-BL7,IF(A8&lt;'Données projet'!$A$88,$BA$205^A8,IF(A8='Données projet'!$A$88,'Données projet'!$B$88,BD7+BC8-BL7)))</f>
        <v>7.4526070638664255</v>
      </c>
      <c r="BE8" s="13">
        <f>BD8*VLOOKUP('Données projet'!$B$11,Paramètres!$A$1:$I$89,3,0)*VLOOKUP('Données projet'!$B$11,Paramètres!$A$1:$I$89,5,0)</f>
        <v>4.4566590241921231</v>
      </c>
      <c r="BF8" s="13">
        <f t="shared" si="37"/>
        <v>1.7259045655829262</v>
      </c>
      <c r="BG8" s="20">
        <f t="shared" si="7"/>
        <v>10.76796491885821</v>
      </c>
      <c r="BH8" s="59">
        <f t="shared" si="8"/>
        <v>304.1012982521915</v>
      </c>
      <c r="BI8" s="59">
        <f ca="1">AVERAGE(OFFSET($BH$3,0,0,'Données projet'!$E$11+1,1))-AVERAGE(OFFSET($H$3,0,0,'Données projet'!$E$11+1,1))</f>
        <v>137.97244371990928</v>
      </c>
      <c r="BJ8" s="59">
        <f t="shared" si="38"/>
        <v>340.50331317844757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2.3033764090157529</v>
      </c>
      <c r="CA8" s="13">
        <f t="shared" si="39"/>
        <v>0.96324708482559218</v>
      </c>
      <c r="CB8" s="20">
        <f t="shared" si="10"/>
        <v>5.6893692517736758</v>
      </c>
      <c r="CC8" s="59">
        <f t="shared" si="11"/>
        <v>299.02270258510697</v>
      </c>
      <c r="CD8" s="59">
        <f ca="1">AVERAGE(OFFSET($CC$3,0,0,'Données projet'!$E$12+1,1))-AVERAGE(OFFSET($H$3,0,0,'Données projet'!$E$12+1,1))</f>
        <v>216.16148211123436</v>
      </c>
      <c r="CE8" s="59">
        <f t="shared" si="40"/>
        <v>132.59131750490178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5.4287999999999998</v>
      </c>
      <c r="D9" s="11">
        <f t="shared" si="32"/>
        <v>2.0546430333413586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57.766928678424527</v>
      </c>
      <c r="H9" s="66">
        <f t="shared" si="1"/>
        <v>306.36699661640284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8.6</v>
      </c>
      <c r="N9" s="13">
        <f>IF('Données projet'!$A$36&gt;35,N8+M9-V8,IF(A9&lt;'Données projet'!$A$36,$K$205^A9,IF(A9='Données projet'!$A$36,'Données projet'!$B$36,N8+M9-V8)))</f>
        <v>6.9861174730928326</v>
      </c>
      <c r="O9" s="13">
        <f>N9*VLOOKUP('Données projet'!$B$9,Paramètres!$A$1:$I$89,3,0)*VLOOKUP('Données projet'!$B$9,Paramètres!$A$1:$I$89,5,0)</f>
        <v>4.1776982489095138</v>
      </c>
      <c r="P9" s="13">
        <f t="shared" si="33"/>
        <v>1.6300917830935544</v>
      </c>
      <c r="Q9" s="20">
        <f t="shared" si="2"/>
        <v>10.115234305738676</v>
      </c>
      <c r="R9" s="59">
        <f t="shared" si="0"/>
        <v>303.448567639072</v>
      </c>
      <c r="S9" s="59">
        <f ca="1">AVERAGE(OFFSET($R$3,0,0,'Données projet'!$E$9+1,1))-AVERAGE(OFFSET($H$3,0,0,'Données projet'!$E$9+1,1))</f>
        <v>443.63756287217456</v>
      </c>
      <c r="T9" s="59">
        <f t="shared" si="34"/>
        <v>384.990641425788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7.5454545454545459</v>
      </c>
      <c r="AI9" s="13">
        <f>IF('Données projet'!$A$62&gt;35,AI8+AH9-AQ8,IF(A9&lt;'Données projet'!$A$62,$AF$205^A9,IF(A9='Données projet'!$A$62,'Données projet'!$B$62,AI8+AH9-AQ8)))</f>
        <v>11.137042284494127</v>
      </c>
      <c r="AJ9" s="13">
        <f>AI9*VLOOKUP('Données projet'!$B$10,Paramètres!$A$1:$I$89,3,0)*VLOOKUP('Données projet'!$B$10,Paramètres!$A$1:$I$89,5,0)</f>
        <v>6.6599512861274883</v>
      </c>
      <c r="AK9" s="13">
        <f t="shared" si="35"/>
        <v>2.461337037629669</v>
      </c>
      <c r="AL9" s="20">
        <f t="shared" si="4"/>
        <v>15.886243830543714</v>
      </c>
      <c r="AM9" s="59">
        <f t="shared" si="5"/>
        <v>309.21957716387703</v>
      </c>
      <c r="AN9" s="59">
        <f ca="1">AVERAGE(OFFSET($AM$3,0,0,'Données projet'!$E$10+1,1))-AVERAGE(OFFSET($H$3,0,0,'Données projet'!$E$10+1,1))</f>
        <v>137.97244371990928</v>
      </c>
      <c r="AO9" s="59">
        <f t="shared" si="36"/>
        <v>340.50331317844757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7.5454545454545459</v>
      </c>
      <c r="BD9" s="12">
        <f>IF('Données projet'!$A$88&gt;35,BD8+BC9-BL8,IF(A9&lt;'Données projet'!$A$88,$BA$205^A9,IF(A9='Données projet'!$A$88,'Données projet'!$B$88,BD8+BC9-BL8)))</f>
        <v>11.137042284494127</v>
      </c>
      <c r="BE9" s="13">
        <f>BD9*VLOOKUP('Données projet'!$B$11,Paramètres!$A$1:$I$89,3,0)*VLOOKUP('Données projet'!$B$11,Paramètres!$A$1:$I$89,5,0)</f>
        <v>6.6599512861274883</v>
      </c>
      <c r="BF9" s="13">
        <f t="shared" si="37"/>
        <v>2.461337037629669</v>
      </c>
      <c r="BG9" s="20">
        <f t="shared" si="7"/>
        <v>15.886243830543714</v>
      </c>
      <c r="BH9" s="59">
        <f t="shared" si="8"/>
        <v>309.21957716387703</v>
      </c>
      <c r="BI9" s="59">
        <f ca="1">AVERAGE(OFFSET($BH$3,0,0,'Données projet'!$E$11+1,1))-AVERAGE(OFFSET($H$3,0,0,'Données projet'!$E$11+1,1))</f>
        <v>137.97244371990928</v>
      </c>
      <c r="BJ9" s="59">
        <f t="shared" si="38"/>
        <v>340.50331317844757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2.7766898902321886</v>
      </c>
      <c r="CA9" s="13">
        <f t="shared" si="39"/>
        <v>1.1361949561012803</v>
      </c>
      <c r="CB9" s="20">
        <f t="shared" si="10"/>
        <v>6.8149411073641248</v>
      </c>
      <c r="CC9" s="59">
        <f t="shared" si="11"/>
        <v>300.14827444069743</v>
      </c>
      <c r="CD9" s="59">
        <f ca="1">AVERAGE(OFFSET($CC$3,0,0,'Données projet'!$E$12+1,1))-AVERAGE(OFFSET($H$3,0,0,'Données projet'!$E$12+1,1))</f>
        <v>216.16148211123436</v>
      </c>
      <c r="CE9" s="59">
        <f t="shared" si="40"/>
        <v>132.59131750490178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6.3335999999999997</v>
      </c>
      <c r="D10" s="11">
        <f t="shared" si="32"/>
        <v>2.3544559158145972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67.065694788744267</v>
      </c>
      <c r="H10" s="66">
        <f t="shared" si="1"/>
        <v>308.46503072004373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8.6</v>
      </c>
      <c r="N10" s="13">
        <f>IF('Données projet'!$A$36&gt;35,N9+M10-V9,IF(A10&lt;'Données projet'!$A$36,$K$205^A10,IF(A10='Données projet'!$A$36,'Données projet'!$B$36,N9+M10-V9)))</f>
        <v>9.6592157088543065</v>
      </c>
      <c r="O10" s="13">
        <f>N10*VLOOKUP('Données projet'!$B$9,Paramètres!$A$1:$I$89,3,0)*VLOOKUP('Données projet'!$B$9,Paramètres!$A$1:$I$89,5,0)</f>
        <v>5.7762109938948756</v>
      </c>
      <c r="P10" s="13">
        <f t="shared" si="33"/>
        <v>2.1704004099526384</v>
      </c>
      <c r="Q10" s="20">
        <f t="shared" si="2"/>
        <v>13.840348195034421</v>
      </c>
      <c r="R10" s="59">
        <f t="shared" si="0"/>
        <v>307.17368152836775</v>
      </c>
      <c r="S10" s="59">
        <f ca="1">AVERAGE(OFFSET($R$3,0,0,'Données projet'!$E$9+1,1))-AVERAGE(OFFSET($H$3,0,0,'Données projet'!$E$9+1,1))</f>
        <v>443.63756287217456</v>
      </c>
      <c r="T10" s="59">
        <f t="shared" si="34"/>
        <v>384.990641425788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7.5454545454545459</v>
      </c>
      <c r="AI10" s="13">
        <f>IF('Données projet'!$A$62&gt;35,AI9+AH10-AQ9,IF(A10&lt;'Données projet'!$A$62,$AF$205^A10,IF(A10='Données projet'!$A$62,'Données projet'!$B$62,AI9+AH10-AQ9)))</f>
        <v>16.642996173511026</v>
      </c>
      <c r="AJ10" s="13">
        <f>AI10*VLOOKUP('Données projet'!$B$10,Paramètres!$A$1:$I$89,3,0)*VLOOKUP('Données projet'!$B$10,Paramètres!$A$1:$I$89,5,0)</f>
        <v>9.9525117117595947</v>
      </c>
      <c r="AK10" s="13">
        <f t="shared" si="35"/>
        <v>3.5101477414317164</v>
      </c>
      <c r="AL10" s="20">
        <f t="shared" si="4"/>
        <v>23.447465214308199</v>
      </c>
      <c r="AM10" s="59">
        <f t="shared" si="5"/>
        <v>316.7807985476415</v>
      </c>
      <c r="AN10" s="59">
        <f ca="1">AVERAGE(OFFSET($AM$3,0,0,'Données projet'!$E$10+1,1))-AVERAGE(OFFSET($H$3,0,0,'Données projet'!$E$10+1,1))</f>
        <v>137.97244371990928</v>
      </c>
      <c r="AO10" s="59">
        <f t="shared" si="36"/>
        <v>340.50331317844757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7.5454545454545459</v>
      </c>
      <c r="BD10" s="12">
        <f>IF('Données projet'!$A$88&gt;35,BD9+BC10-BL9,IF(A10&lt;'Données projet'!$A$88,$BA$205^A10,IF(A10='Données projet'!$A$88,'Données projet'!$B$88,BD9+BC10-BL9)))</f>
        <v>16.642996173511026</v>
      </c>
      <c r="BE10" s="13">
        <f>BD10*VLOOKUP('Données projet'!$B$11,Paramètres!$A$1:$I$89,3,0)*VLOOKUP('Données projet'!$B$11,Paramètres!$A$1:$I$89,5,0)</f>
        <v>9.9525117117595947</v>
      </c>
      <c r="BF10" s="13">
        <f t="shared" si="37"/>
        <v>3.5101477414317164</v>
      </c>
      <c r="BG10" s="20">
        <f t="shared" si="7"/>
        <v>23.447465214308199</v>
      </c>
      <c r="BH10" s="59">
        <f t="shared" si="8"/>
        <v>316.7807985476415</v>
      </c>
      <c r="BI10" s="59">
        <f ca="1">AVERAGE(OFFSET($BH$3,0,0,'Données projet'!$E$11+1,1))-AVERAGE(OFFSET($H$3,0,0,'Données projet'!$E$11+1,1))</f>
        <v>137.97244371990928</v>
      </c>
      <c r="BJ10" s="59">
        <f t="shared" si="38"/>
        <v>340.50331317844757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3.3472630510321921</v>
      </c>
      <c r="CA10" s="13">
        <f t="shared" si="39"/>
        <v>1.34019505338418</v>
      </c>
      <c r="CB10" s="20">
        <f t="shared" si="10"/>
        <v>8.1639895318585136</v>
      </c>
      <c r="CC10" s="59">
        <f t="shared" si="11"/>
        <v>301.49732286519185</v>
      </c>
      <c r="CD10" s="59">
        <f ca="1">AVERAGE(OFFSET($CC$3,0,0,'Données projet'!$E$12+1,1))-AVERAGE(OFFSET($H$3,0,0,'Données projet'!$E$12+1,1))</f>
        <v>216.16148211123436</v>
      </c>
      <c r="CE10" s="59">
        <f t="shared" si="40"/>
        <v>132.59131750490178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7.2383999999999995</v>
      </c>
      <c r="D11" s="11">
        <f t="shared" si="32"/>
        <v>2.6493067597344675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76.326157443564313</v>
      </c>
      <c r="H11" s="66">
        <f t="shared" si="1"/>
        <v>310.55442260653751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8.6</v>
      </c>
      <c r="N11" s="13">
        <f>IF('Données projet'!$A$36&gt;35,N10+M11-V10,IF(A11&lt;'Données projet'!$A$36,$K$205^A11,IF(A11='Données projet'!$A$36,'Données projet'!$B$36,N10+M11-V10)))</f>
        <v>13.355121563518832</v>
      </c>
      <c r="O11" s="13">
        <f>N11*VLOOKUP('Données projet'!$B$9,Paramètres!$A$1:$I$89,3,0)*VLOOKUP('Données projet'!$B$9,Paramètres!$A$1:$I$89,5,0)</f>
        <v>7.9863626949842619</v>
      </c>
      <c r="P11" s="13">
        <f t="shared" si="33"/>
        <v>2.8897992054059851</v>
      </c>
      <c r="Q11" s="20">
        <f t="shared" si="2"/>
        <v>18.94264864317968</v>
      </c>
      <c r="R11" s="59">
        <f t="shared" si="0"/>
        <v>312.27598197651298</v>
      </c>
      <c r="S11" s="59">
        <f ca="1">AVERAGE(OFFSET($R$3,0,0,'Données projet'!$E$9+1,1))-AVERAGE(OFFSET($H$3,0,0,'Données projet'!$E$9+1,1))</f>
        <v>443.63756287217456</v>
      </c>
      <c r="T11" s="59">
        <f t="shared" si="34"/>
        <v>384.990641425788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7.5454545454545459</v>
      </c>
      <c r="AI11" s="13">
        <f>IF('Données projet'!$A$62&gt;35,AI10+AH11-AQ10,IF(A11&lt;'Données projet'!$A$62,$AF$205^A11,IF(A11='Données projet'!$A$62,'Données projet'!$B$62,AI10+AH11-AQ10)))</f>
        <v>24.870994879596463</v>
      </c>
      <c r="AJ11" s="13">
        <f>AI11*VLOOKUP('Données projet'!$B$10,Paramètres!$A$1:$I$89,3,0)*VLOOKUP('Données projet'!$B$10,Paramètres!$A$1:$I$89,5,0)</f>
        <v>14.872854937998687</v>
      </c>
      <c r="AK11" s="13">
        <f t="shared" si="35"/>
        <v>5.0058715967414829</v>
      </c>
      <c r="AL11" s="20">
        <f t="shared" si="4"/>
        <v>34.622115381339128</v>
      </c>
      <c r="AM11" s="59">
        <f t="shared" si="5"/>
        <v>327.95544871467246</v>
      </c>
      <c r="AN11" s="59">
        <f ca="1">AVERAGE(OFFSET($AM$3,0,0,'Données projet'!$E$10+1,1))-AVERAGE(OFFSET($H$3,0,0,'Données projet'!$E$10+1,1))</f>
        <v>137.97244371990928</v>
      </c>
      <c r="AO11" s="59">
        <f t="shared" si="36"/>
        <v>340.50331317844757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7.5454545454545459</v>
      </c>
      <c r="BD11" s="12">
        <f>IF('Données projet'!$A$88&gt;35,BD10+BC11-BL10,IF(A11&lt;'Données projet'!$A$88,$BA$205^A11,IF(A11='Données projet'!$A$88,'Données projet'!$B$88,BD10+BC11-BL10)))</f>
        <v>24.870994879596463</v>
      </c>
      <c r="BE11" s="13">
        <f>BD11*VLOOKUP('Données projet'!$B$11,Paramètres!$A$1:$I$89,3,0)*VLOOKUP('Données projet'!$B$11,Paramètres!$A$1:$I$89,5,0)</f>
        <v>14.872854937998687</v>
      </c>
      <c r="BF11" s="13">
        <f t="shared" si="37"/>
        <v>5.0058715967414829</v>
      </c>
      <c r="BG11" s="20">
        <f t="shared" si="7"/>
        <v>34.622115381339128</v>
      </c>
      <c r="BH11" s="59">
        <f t="shared" si="8"/>
        <v>327.95544871467246</v>
      </c>
      <c r="BI11" s="59">
        <f ca="1">AVERAGE(OFFSET($BH$3,0,0,'Données projet'!$E$11+1,1))-AVERAGE(OFFSET($H$3,0,0,'Données projet'!$E$11+1,1))</f>
        <v>137.97244371990928</v>
      </c>
      <c r="BJ11" s="59">
        <f t="shared" si="38"/>
        <v>340.50331317844757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4.0350814731667564</v>
      </c>
      <c r="CA11" s="13">
        <f t="shared" si="39"/>
        <v>1.5808227025391921</v>
      </c>
      <c r="CB11" s="20">
        <f t="shared" si="10"/>
        <v>9.7810331060211926</v>
      </c>
      <c r="CC11" s="59">
        <f t="shared" si="11"/>
        <v>303.11436643935451</v>
      </c>
      <c r="CD11" s="59">
        <f ca="1">AVERAGE(OFFSET($CC$3,0,0,'Données projet'!$E$12+1,1))-AVERAGE(OFFSET($H$3,0,0,'Données projet'!$E$12+1,1))</f>
        <v>216.16148211123436</v>
      </c>
      <c r="CE11" s="59">
        <f t="shared" si="40"/>
        <v>132.59131750490178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8.1432000000000002</v>
      </c>
      <c r="D12" s="11">
        <f t="shared" si="32"/>
        <v>2.9398868551895574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85.553652917252734</v>
      </c>
      <c r="H12" s="66">
        <f t="shared" si="1"/>
        <v>312.63637627278848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8.6</v>
      </c>
      <c r="N12" s="13">
        <f>IF('Données projet'!$A$36&gt;35,N11+M12-V11,IF(A12&lt;'Données projet'!$A$36,$K$205^A12,IF(A12='Données projet'!$A$36,'Données projet'!$B$36,N11+M12-V11)))</f>
        <v>18.46519193197738</v>
      </c>
      <c r="O12" s="13">
        <f>N12*VLOOKUP('Données projet'!$B$9,Paramètres!$A$1:$I$89,3,0)*VLOOKUP('Données projet'!$B$9,Paramètres!$A$1:$I$89,5,0)</f>
        <v>11.042184775322474</v>
      </c>
      <c r="P12" s="13">
        <f t="shared" si="33"/>
        <v>3.8476492214389557</v>
      </c>
      <c r="Q12" s="20">
        <f t="shared" si="2"/>
        <v>25.93312754435949</v>
      </c>
      <c r="R12" s="59">
        <f t="shared" si="0"/>
        <v>319.26646087769279</v>
      </c>
      <c r="S12" s="59">
        <f ca="1">AVERAGE(OFFSET($R$3,0,0,'Données projet'!$E$9+1,1))-AVERAGE(OFFSET($H$3,0,0,'Données projet'!$E$9+1,1))</f>
        <v>443.63756287217456</v>
      </c>
      <c r="T12" s="59">
        <f t="shared" si="34"/>
        <v>384.990641425788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7.5454545454545459</v>
      </c>
      <c r="AI12" s="13">
        <f>IF('Données projet'!$A$62&gt;35,AI11+AH12-AQ11,IF(A12&lt;'Données projet'!$A$62,$AF$205^A12,IF(A12='Données projet'!$A$62,'Données projet'!$B$62,AI11+AH12-AQ11)))</f>
        <v>37.166768522450475</v>
      </c>
      <c r="AJ12" s="13">
        <f>AI12*VLOOKUP('Données projet'!$B$10,Paramètres!$A$1:$I$89,3,0)*VLOOKUP('Données projet'!$B$10,Paramètres!$A$1:$I$89,5,0)</f>
        <v>22.225727576425388</v>
      </c>
      <c r="AK12" s="13">
        <f t="shared" si="35"/>
        <v>7.1389446510425687</v>
      </c>
      <c r="AL12" s="20">
        <f t="shared" si="4"/>
        <v>51.143470796173354</v>
      </c>
      <c r="AM12" s="59">
        <f t="shared" si="5"/>
        <v>344.47680412950666</v>
      </c>
      <c r="AN12" s="59">
        <f ca="1">AVERAGE(OFFSET($AM$3,0,0,'Données projet'!$E$10+1,1))-AVERAGE(OFFSET($H$3,0,0,'Données projet'!$E$10+1,1))</f>
        <v>137.97244371990928</v>
      </c>
      <c r="AO12" s="59">
        <f t="shared" si="36"/>
        <v>340.50331317844757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7.5454545454545459</v>
      </c>
      <c r="BD12" s="12">
        <f>IF('Données projet'!$A$88&gt;35,BD11+BC12-BL11,IF(A12&lt;'Données projet'!$A$88,$BA$205^A12,IF(A12='Données projet'!$A$88,'Données projet'!$B$88,BD11+BC12-BL11)))</f>
        <v>37.166768522450475</v>
      </c>
      <c r="BE12" s="13">
        <f>BD12*VLOOKUP('Données projet'!$B$11,Paramètres!$A$1:$I$89,3,0)*VLOOKUP('Données projet'!$B$11,Paramètres!$A$1:$I$89,5,0)</f>
        <v>22.225727576425388</v>
      </c>
      <c r="BF12" s="13">
        <f t="shared" si="37"/>
        <v>7.1389446510425687</v>
      </c>
      <c r="BG12" s="20">
        <f t="shared" si="7"/>
        <v>51.143470796173354</v>
      </c>
      <c r="BH12" s="59">
        <f t="shared" si="8"/>
        <v>344.47680412950666</v>
      </c>
      <c r="BI12" s="59">
        <f ca="1">AVERAGE(OFFSET($BH$3,0,0,'Données projet'!$E$11+1,1))-AVERAGE(OFFSET($H$3,0,0,'Données projet'!$E$11+1,1))</f>
        <v>137.97244371990928</v>
      </c>
      <c r="BJ12" s="59">
        <f t="shared" si="38"/>
        <v>340.50331317844757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4.8642375119197085</v>
      </c>
      <c r="CA12" s="13">
        <f t="shared" si="39"/>
        <v>1.8646542609995393</v>
      </c>
      <c r="CB12" s="20">
        <f t="shared" si="10"/>
        <v>11.719486504501022</v>
      </c>
      <c r="CC12" s="59">
        <f t="shared" si="11"/>
        <v>305.05281983783436</v>
      </c>
      <c r="CD12" s="59">
        <f ca="1">AVERAGE(OFFSET($CC$3,0,0,'Données projet'!$E$12+1,1))-AVERAGE(OFFSET($H$3,0,0,'Données projet'!$E$12+1,1))</f>
        <v>216.16148211123436</v>
      </c>
      <c r="CE12" s="59">
        <f t="shared" si="40"/>
        <v>132.59131750490178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9.048</v>
      </c>
      <c r="D13" s="11">
        <f t="shared" si="32"/>
        <v>3.226724860110286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94.752262078044325</v>
      </c>
      <c r="H13" s="66">
        <f t="shared" si="1"/>
        <v>314.71181246469206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8.6</v>
      </c>
      <c r="N13" s="13">
        <f>IF('Données projet'!$A$36&gt;35,N12+M13-V12,IF(A13&lt;'Données projet'!$A$36,$K$205^A13,IF(A13='Données projet'!$A$36,'Données projet'!$B$36,N12+M13-V12)))</f>
        <v>25.530528603808897</v>
      </c>
      <c r="O13" s="13">
        <f>N13*VLOOKUP('Données projet'!$B$9,Paramètres!$A$1:$I$89,3,0)*VLOOKUP('Données projet'!$B$9,Paramètres!$A$1:$I$89,5,0)</f>
        <v>15.267256105077722</v>
      </c>
      <c r="P13" s="13">
        <f t="shared" si="33"/>
        <v>5.1229872662242473</v>
      </c>
      <c r="Q13" s="20">
        <f t="shared" si="2"/>
        <v>35.513007205017594</v>
      </c>
      <c r="R13" s="59">
        <f t="shared" si="0"/>
        <v>328.84634053835089</v>
      </c>
      <c r="S13" s="59">
        <f ca="1">AVERAGE(OFFSET($R$3,0,0,'Données projet'!$E$9+1,1))-AVERAGE(OFFSET($H$3,0,0,'Données projet'!$E$9+1,1))</f>
        <v>443.63756287217456</v>
      </c>
      <c r="T13" s="59">
        <f t="shared" si="34"/>
        <v>384.990641425788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7.5454545454545459</v>
      </c>
      <c r="AI13" s="13">
        <f>IF('Données projet'!$A$62&gt;35,AI12+AH13-AQ12,IF(A13&lt;'Données projet'!$A$62,$AF$205^A13,IF(A13='Données projet'!$A$62,'Données projet'!$B$62,AI12+AH13-AQ12)))</f>
        <v>55.541352048391744</v>
      </c>
      <c r="AJ13" s="13">
        <f>AI13*VLOOKUP('Données projet'!$B$10,Paramètres!$A$1:$I$89,3,0)*VLOOKUP('Données projet'!$B$10,Paramètres!$A$1:$I$89,5,0)</f>
        <v>33.213728524938269</v>
      </c>
      <c r="AK13" s="13">
        <f t="shared" si="35"/>
        <v>10.180950459021789</v>
      </c>
      <c r="AL13" s="20">
        <f t="shared" si="4"/>
        <v>75.579065897063757</v>
      </c>
      <c r="AM13" s="59">
        <f t="shared" si="5"/>
        <v>368.91239923039706</v>
      </c>
      <c r="AN13" s="59">
        <f ca="1">AVERAGE(OFFSET($AM$3,0,0,'Données projet'!$E$10+1,1))-AVERAGE(OFFSET($H$3,0,0,'Données projet'!$E$10+1,1))</f>
        <v>137.97244371990928</v>
      </c>
      <c r="AO13" s="59">
        <f t="shared" si="36"/>
        <v>340.50331317844757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7.5454545454545459</v>
      </c>
      <c r="BD13" s="12">
        <f>IF('Données projet'!$A$88&gt;35,BD12+BC13-BL12,IF(A13&lt;'Données projet'!$A$88,$BA$205^A13,IF(A13='Données projet'!$A$88,'Données projet'!$B$88,BD12+BC13-BL12)))</f>
        <v>55.541352048391744</v>
      </c>
      <c r="BE13" s="13">
        <f>BD13*VLOOKUP('Données projet'!$B$11,Paramètres!$A$1:$I$89,3,0)*VLOOKUP('Données projet'!$B$11,Paramètres!$A$1:$I$89,5,0)</f>
        <v>33.213728524938269</v>
      </c>
      <c r="BF13" s="13">
        <f t="shared" si="37"/>
        <v>10.180950459021789</v>
      </c>
      <c r="BG13" s="20">
        <f t="shared" si="7"/>
        <v>75.579065897063757</v>
      </c>
      <c r="BH13" s="59">
        <f t="shared" si="8"/>
        <v>368.91239923039706</v>
      </c>
      <c r="BI13" s="59">
        <f ca="1">AVERAGE(OFFSET($BH$3,0,0,'Données projet'!$E$11+1,1))-AVERAGE(OFFSET($H$3,0,0,'Données projet'!$E$11+1,1))</f>
        <v>137.97244371990928</v>
      </c>
      <c r="BJ13" s="59">
        <f t="shared" si="38"/>
        <v>340.50331317844757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5.8637741839194364</v>
      </c>
      <c r="CA13" s="13">
        <f t="shared" si="39"/>
        <v>2.1994468497187687</v>
      </c>
      <c r="CB13" s="20">
        <f t="shared" si="10"/>
        <v>14.043443300253207</v>
      </c>
      <c r="CC13" s="59">
        <f t="shared" si="11"/>
        <v>307.37677663358653</v>
      </c>
      <c r="CD13" s="59">
        <f ca="1">AVERAGE(OFFSET($CC$3,0,0,'Données projet'!$E$12+1,1))-AVERAGE(OFFSET($H$3,0,0,'Données projet'!$E$12+1,1))</f>
        <v>216.16148211123436</v>
      </c>
      <c r="CE13" s="59">
        <f t="shared" si="40"/>
        <v>132.59131750490178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9.9527999999999999</v>
      </c>
      <c r="D14" s="11">
        <f t="shared" si="32"/>
        <v>3.5102375824366896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103.92520239073936</v>
      </c>
      <c r="H14" s="66">
        <f t="shared" si="1"/>
        <v>316.78145712274386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8.6</v>
      </c>
      <c r="N14" s="13">
        <f>IF('Données projet'!$A$36&gt;35,N13+M14-V13,IF(A14&lt;'Données projet'!$A$36,$K$205^A14,IF(A14='Données projet'!$A$36,'Données projet'!$B$36,N13+M14-V13)))</f>
        <v>35.299275154628958</v>
      </c>
      <c r="O14" s="13">
        <f>N14*VLOOKUP('Données projet'!$B$9,Paramètres!$A$1:$I$89,3,0)*VLOOKUP('Données projet'!$B$9,Paramètres!$A$1:$I$89,5,0)</f>
        <v>21.108966542468117</v>
      </c>
      <c r="P14" s="13">
        <f t="shared" si="33"/>
        <v>6.8210476110087299</v>
      </c>
      <c r="Q14" s="20">
        <f t="shared" si="2"/>
        <v>48.644774650638844</v>
      </c>
      <c r="R14" s="59">
        <f t="shared" si="0"/>
        <v>341.97810798397217</v>
      </c>
      <c r="S14" s="59">
        <f ca="1">AVERAGE(OFFSET($R$3,0,0,'Données projet'!$E$9+1,1))-AVERAGE(OFFSET($H$3,0,0,'Données projet'!$E$9+1,1))</f>
        <v>443.63756287217456</v>
      </c>
      <c r="T14" s="59">
        <f t="shared" si="34"/>
        <v>384.990641425788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>
        <f>VLOOKUP(A14,'Données projet'!$A$61:$I$81,2,0)</f>
        <v>83</v>
      </c>
      <c r="AG14" s="12">
        <f>VLOOKUP(A14,'Données projet'!$A$61:$I$81,9,0)</f>
        <v>7.5454545454545459</v>
      </c>
      <c r="AH14" s="12">
        <f t="array" ref="AH14">INDEX(AG:AG,MIN(IF(ISNUMBER(AG14:AG210),ROW(AG14:AG210),"")))</f>
        <v>7.5454545454545459</v>
      </c>
      <c r="AI14" s="13">
        <f>IF('Données projet'!$A$62&gt;35,AI13+AH14-AQ13,IF(A14&lt;'Données projet'!$A$62,$AF$205^A14,IF(A14='Données projet'!$A$62,'Données projet'!$B$62,AI13+AH14-AQ13)))</f>
        <v>83</v>
      </c>
      <c r="AJ14" s="13">
        <f>AI14*VLOOKUP('Données projet'!$B$10,Paramètres!$A$1:$I$89,3,0)*VLOOKUP('Données projet'!$B$10,Paramètres!$A$1:$I$89,5,0)</f>
        <v>49.634</v>
      </c>
      <c r="AK14" s="13">
        <f t="shared" si="35"/>
        <v>14.519198189037462</v>
      </c>
      <c r="AL14" s="20">
        <f t="shared" si="4"/>
        <v>111.73348684590691</v>
      </c>
      <c r="AM14" s="59">
        <f t="shared" si="5"/>
        <v>405.06682017924021</v>
      </c>
      <c r="AN14" s="59">
        <f ca="1">AVERAGE(OFFSET($AM$3,0,0,'Données projet'!$E$10+1,1))-AVERAGE(OFFSET($H$3,0,0,'Données projet'!$E$10+1,1))</f>
        <v>137.97244371990928</v>
      </c>
      <c r="AO14" s="59">
        <f t="shared" si="36"/>
        <v>340.50331317844757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>
        <f>VLOOKUP(A14,'Données projet'!$A$87:$I$107,2,0)</f>
        <v>83</v>
      </c>
      <c r="BB14" s="12">
        <f>VLOOKUP(A14,'Données projet'!$A$87:$I$107,9,0)</f>
        <v>7.5454545454545459</v>
      </c>
      <c r="BC14" s="12">
        <f t="array" ref="BC14">INDEX(BB:BB,MIN(IF(ISNUMBER(BB14:BB210),ROW(BB14:BB210),"")))</f>
        <v>7.5454545454545459</v>
      </c>
      <c r="BD14" s="12">
        <f>IF('Données projet'!$A$88&gt;35,BD13+BC14-BL13,IF(A14&lt;'Données projet'!$A$88,$BA$205^A14,IF(A14='Données projet'!$A$88,'Données projet'!$B$88,BD13+BC14-BL13)))</f>
        <v>83</v>
      </c>
      <c r="BE14" s="13">
        <f>BD14*VLOOKUP('Données projet'!$B$11,Paramètres!$A$1:$I$89,3,0)*VLOOKUP('Données projet'!$B$11,Paramètres!$A$1:$I$89,5,0)</f>
        <v>49.634</v>
      </c>
      <c r="BF14" s="13">
        <f t="shared" si="37"/>
        <v>14.519198189037462</v>
      </c>
      <c r="BG14" s="20">
        <f t="shared" si="7"/>
        <v>111.73348684590691</v>
      </c>
      <c r="BH14" s="59">
        <f t="shared" si="8"/>
        <v>405.06682017924021</v>
      </c>
      <c r="BI14" s="59">
        <f ca="1">AVERAGE(OFFSET($BH$3,0,0,'Données projet'!$E$11+1,1))-AVERAGE(OFFSET($H$3,0,0,'Données projet'!$E$11+1,1))</f>
        <v>137.97244371990928</v>
      </c>
      <c r="BJ14" s="59">
        <f t="shared" si="38"/>
        <v>340.50331317844757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7.0687024627689707</v>
      </c>
      <c r="CA14" s="13">
        <f t="shared" si="39"/>
        <v>2.5943503554083325</v>
      </c>
      <c r="CB14" s="20">
        <f t="shared" si="10"/>
        <v>16.829816991658799</v>
      </c>
      <c r="CC14" s="59">
        <f t="shared" si="11"/>
        <v>310.1631503249921</v>
      </c>
      <c r="CD14" s="59">
        <f ca="1">AVERAGE(OFFSET($CC$3,0,0,'Données projet'!$E$12+1,1))-AVERAGE(OFFSET($H$3,0,0,'Données projet'!$E$12+1,1))</f>
        <v>216.16148211123436</v>
      </c>
      <c r="CE14" s="59">
        <f t="shared" si="40"/>
        <v>132.59131750490178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10.8576</v>
      </c>
      <c r="D15" s="11">
        <f t="shared" si="32"/>
        <v>3.7907617001683773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113.07507277322958</v>
      </c>
      <c r="H15" s="66">
        <f t="shared" si="1"/>
        <v>318.84589662779325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8.6</v>
      </c>
      <c r="N15" s="13">
        <f>IF('Données projet'!$A$36&gt;35,N14+M15-V14,IF(A15&lt;'Données projet'!$A$36,$K$205^A15,IF(A15='Données projet'!$A$36,'Données projet'!$B$36,N14+M15-V14)))</f>
        <v>48.805837347852986</v>
      </c>
      <c r="O15" s="13">
        <f>N15*VLOOKUP('Données projet'!$B$9,Paramètres!$A$1:$I$89,3,0)*VLOOKUP('Données projet'!$B$9,Paramètres!$A$1:$I$89,5,0)</f>
        <v>29.185890734016088</v>
      </c>
      <c r="P15" s="13">
        <f t="shared" si="33"/>
        <v>9.0819453755814319</v>
      </c>
      <c r="Q15" s="20">
        <f t="shared" si="2"/>
        <v>66.649814557549007</v>
      </c>
      <c r="R15" s="59">
        <f t="shared" si="0"/>
        <v>359.98314789088232</v>
      </c>
      <c r="S15" s="59">
        <f ca="1">AVERAGE(OFFSET($R$3,0,0,'Données projet'!$E$9+1,1))-AVERAGE(OFFSET($H$3,0,0,'Données projet'!$E$9+1,1))</f>
        <v>443.63756287217456</v>
      </c>
      <c r="T15" s="59">
        <f t="shared" si="34"/>
        <v>384.990641425788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23</v>
      </c>
      <c r="AH15" s="12">
        <f t="array" ref="AH15">INDEX(AG:AG,MIN(IF(ISNUMBER(AG15:AG211),ROW(AG15:AG211),"")))</f>
        <v>23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137.97244371990928</v>
      </c>
      <c r="AO15" s="59">
        <f t="shared" si="36"/>
        <v>340.50331317844757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106</v>
      </c>
      <c r="BB15" s="12">
        <f>VLOOKUP(A15,'Données projet'!$A$87:$I$107,9,0)</f>
        <v>23</v>
      </c>
      <c r="BC15" s="12">
        <f t="array" ref="BC15">INDEX(BB:BB,MIN(IF(ISNUMBER(BB15:BB211),ROW(BB15:BB211),"")))</f>
        <v>23</v>
      </c>
      <c r="BD15" s="12">
        <f>IF('Données projet'!$A$88&gt;35,BD14+BC15-BL14,IF(A15&lt;'Données projet'!$A$88,$BA$205^A15,IF(A15='Données projet'!$A$88,'Données projet'!$B$88,BD14+BC15-BL14)))</f>
        <v>106</v>
      </c>
      <c r="BE15" s="13">
        <f>BD15*VLOOKUP('Données projet'!$B$11,Paramètres!$A$1:$I$89,3,0)*VLOOKUP('Données projet'!$B$11,Paramètres!$A$1:$I$89,5,0)</f>
        <v>63.388000000000012</v>
      </c>
      <c r="BF15" s="13">
        <f t="shared" si="37"/>
        <v>18.022104085041263</v>
      </c>
      <c r="BG15" s="20">
        <f t="shared" si="7"/>
        <v>141.78926461478019</v>
      </c>
      <c r="BH15" s="59">
        <f t="shared" si="8"/>
        <v>435.12259794811348</v>
      </c>
      <c r="BI15" s="59">
        <f ca="1">AVERAGE(OFFSET($BH$3,0,0,'Données projet'!$E$11+1,1))-AVERAGE(OFFSET($H$3,0,0,'Données projet'!$E$11+1,1))</f>
        <v>137.97244371990928</v>
      </c>
      <c r="BJ15" s="59">
        <f t="shared" si="38"/>
        <v>340.50331317844757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34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1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23.020547073308105</v>
      </c>
      <c r="BS15" s="22">
        <f t="shared" si="9"/>
        <v>23.020547073308105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8.521227615514638</v>
      </c>
      <c r="CA15" s="13">
        <f t="shared" si="39"/>
        <v>3.0601574970852128</v>
      </c>
      <c r="CB15" s="20">
        <f t="shared" si="10"/>
        <v>20.170912404444739</v>
      </c>
      <c r="CC15" s="59">
        <f t="shared" si="11"/>
        <v>313.50424573777804</v>
      </c>
      <c r="CD15" s="59">
        <f ca="1">AVERAGE(OFFSET($CC$3,0,0,'Données projet'!$E$12+1,1))-AVERAGE(OFFSET($H$3,0,0,'Données projet'!$E$12+1,1))</f>
        <v>216.16148211123436</v>
      </c>
      <c r="CE15" s="59">
        <f t="shared" si="40"/>
        <v>132.59131750490178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11.7624</v>
      </c>
      <c r="D16" s="11">
        <f t="shared" si="32"/>
        <v>4.0685745785050127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122.20401429021415</v>
      </c>
      <c r="H16" s="66">
        <f t="shared" si="1"/>
        <v>320.9056140575629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8.6</v>
      </c>
      <c r="N16" s="13">
        <f>IF('Données projet'!$A$36&gt;35,N15+M16-V15,IF(A16&lt;'Données projet'!$A$36,$K$205^A16,IF(A16='Données projet'!$A$36,'Données projet'!$B$36,N15+M16-V15)))</f>
        <v>67.480415639999848</v>
      </c>
      <c r="O16" s="13">
        <f>N16*VLOOKUP('Données projet'!$B$9,Paramètres!$A$1:$I$89,3,0)*VLOOKUP('Données projet'!$B$9,Paramètres!$A$1:$I$89,5,0)</f>
        <v>40.353288552719917</v>
      </c>
      <c r="P16" s="13">
        <f t="shared" si="33"/>
        <v>12.092238100189313</v>
      </c>
      <c r="Q16" s="20">
        <f t="shared" si="2"/>
        <v>91.342625587150238</v>
      </c>
      <c r="R16" s="59">
        <f t="shared" si="0"/>
        <v>384.67595892048354</v>
      </c>
      <c r="S16" s="59">
        <f ca="1">AVERAGE(OFFSET($R$3,0,0,'Données projet'!$E$9+1,1))-AVERAGE(OFFSET($H$3,0,0,'Données projet'!$E$9+1,1))</f>
        <v>443.63756287217456</v>
      </c>
      <c r="T16" s="59">
        <f t="shared" si="34"/>
        <v>384.990641425788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>
        <f>VLOOKUP(A16,'Données projet'!$A$61:$I$81,2,0)</f>
        <v>89</v>
      </c>
      <c r="AG16" s="12">
        <f>VLOOKUP(A16,'Données projet'!$A$61:$I$81,9,0)</f>
        <v>17</v>
      </c>
      <c r="AH16" s="12">
        <f t="array" ref="AH16">INDEX(AG:AG,MIN(IF(ISNUMBER(AG16:AG212),ROW(AG16:AG212),"")))</f>
        <v>17</v>
      </c>
      <c r="AI16" s="13">
        <f>IF('Données projet'!$A$62&gt;35,AI15+AH16-AQ15,IF(A16&lt;'Données projet'!$A$62,$AF$205^A16,IF(A16='Données projet'!$A$62,'Données projet'!$B$62,AI15+AH16-AQ15)))</f>
        <v>89</v>
      </c>
      <c r="AJ16" s="13">
        <f>AI16*VLOOKUP('Données projet'!$B$10,Paramètres!$A$1:$I$89,3,0)*VLOOKUP('Données projet'!$B$10,Paramètres!$A$1:$I$89,5,0)</f>
        <v>53.222000000000008</v>
      </c>
      <c r="AK16" s="13">
        <f t="shared" si="35"/>
        <v>15.442806897867877</v>
      </c>
      <c r="AL16" s="20">
        <f t="shared" si="4"/>
        <v>119.59120534711991</v>
      </c>
      <c r="AM16" s="59">
        <f t="shared" si="5"/>
        <v>412.92453868045322</v>
      </c>
      <c r="AN16" s="59">
        <f ca="1">AVERAGE(OFFSET($AM$3,0,0,'Données projet'!$E$10+1,1))-AVERAGE(OFFSET($H$3,0,0,'Données projet'!$E$10+1,1))</f>
        <v>137.97244371990928</v>
      </c>
      <c r="AO16" s="59">
        <f t="shared" si="36"/>
        <v>340.50331317844757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>
        <f>VLOOKUP(A16,'Données projet'!$A$87:$I$107,2,0)</f>
        <v>89</v>
      </c>
      <c r="BB16" s="12">
        <f>VLOOKUP(A16,'Données projet'!$A$87:$I$107,9,0)</f>
        <v>17</v>
      </c>
      <c r="BC16" s="12">
        <f t="array" ref="BC16">INDEX(BB:BB,MIN(IF(ISNUMBER(BB16:BB212),ROW(BB16:BB212),"")))</f>
        <v>17</v>
      </c>
      <c r="BD16" s="12">
        <f>IF('Données projet'!$A$88&gt;35,BD15+BC16-BL15,IF(A16&lt;'Données projet'!$A$88,$BA$205^A16,IF(A16='Données projet'!$A$88,'Données projet'!$B$88,BD15+BC16-BL15)))</f>
        <v>89</v>
      </c>
      <c r="BE16" s="13">
        <f>BD16*VLOOKUP('Données projet'!$B$11,Paramètres!$A$1:$I$89,3,0)*VLOOKUP('Données projet'!$B$11,Paramètres!$A$1:$I$89,5,0)</f>
        <v>53.222000000000008</v>
      </c>
      <c r="BF16" s="13">
        <f t="shared" si="37"/>
        <v>15.442806897867877</v>
      </c>
      <c r="BG16" s="20">
        <f t="shared" si="7"/>
        <v>119.59120534711991</v>
      </c>
      <c r="BH16" s="59">
        <f t="shared" si="8"/>
        <v>412.92453868045322</v>
      </c>
      <c r="BI16" s="59">
        <f ca="1">AVERAGE(OFFSET($BH$3,0,0,'Données projet'!$E$11+1,1))-AVERAGE(OFFSET($H$3,0,0,'Données projet'!$E$11+1,1))</f>
        <v>137.97244371990928</v>
      </c>
      <c r="BJ16" s="59">
        <f t="shared" si="38"/>
        <v>340.50331317844757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16.277984942160291</v>
      </c>
      <c r="BS16" s="22">
        <f t="shared" si="9"/>
        <v>16.277984942160291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10.272227535089344</v>
      </c>
      <c r="CA16" s="13">
        <f t="shared" si="39"/>
        <v>3.6095987912522753</v>
      </c>
      <c r="CB16" s="20">
        <f t="shared" si="10"/>
        <v>24.177514185044988</v>
      </c>
      <c r="CC16" s="59">
        <f t="shared" si="11"/>
        <v>317.51084751837828</v>
      </c>
      <c r="CD16" s="59">
        <f ca="1">AVERAGE(OFFSET($CC$3,0,0,'Données projet'!$E$12+1,1))-AVERAGE(OFFSET($H$3,0,0,'Données projet'!$E$12+1,1))</f>
        <v>216.16148211123436</v>
      </c>
      <c r="CE16" s="59">
        <f t="shared" si="40"/>
        <v>132.59131750490178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12.667199999999999</v>
      </c>
      <c r="D17" s="11">
        <f t="shared" si="32"/>
        <v>4.3439084870573748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131.31381990009203</v>
      </c>
      <c r="H17" s="66">
        <f t="shared" si="1"/>
        <v>322.96101394829157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8.6</v>
      </c>
      <c r="N17" s="13">
        <f>IF('Données projet'!$A$36&gt;35,N16+M17-V16,IF(A17&lt;'Données projet'!$A$36,$K$205^A17,IF(A17='Données projet'!$A$36,'Données projet'!$B$36,N16+M17-V16)))</f>
        <v>93.300448110177783</v>
      </c>
      <c r="O17" s="13">
        <f>N17*VLOOKUP('Données projet'!$B$9,Paramètres!$A$1:$I$89,3,0)*VLOOKUP('Données projet'!$B$9,Paramètres!$A$1:$I$89,5,0)</f>
        <v>55.793667969886314</v>
      </c>
      <c r="P17" s="13">
        <f t="shared" si="33"/>
        <v>16.100319504763448</v>
      </c>
      <c r="Q17" s="20">
        <f t="shared" si="2"/>
        <v>125.21536151834833</v>
      </c>
      <c r="R17" s="59">
        <f t="shared" si="0"/>
        <v>418.54869485168166</v>
      </c>
      <c r="S17" s="59">
        <f ca="1">AVERAGE(OFFSET($R$3,0,0,'Données projet'!$E$9+1,1))-AVERAGE(OFFSET($H$3,0,0,'Données projet'!$E$9+1,1))</f>
        <v>443.63756287217456</v>
      </c>
      <c r="T17" s="59">
        <f t="shared" si="34"/>
        <v>384.990641425788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110</v>
      </c>
      <c r="AG17" s="12">
        <f>VLOOKUP(A17,'Données projet'!$A$61:$I$81,9,0)</f>
        <v>21</v>
      </c>
      <c r="AH17" s="12">
        <f t="array" ref="AH17">INDEX(AG:AG,MIN(IF(ISNUMBER(AG17:AG213),ROW(AG17:AG213),"")))</f>
        <v>21</v>
      </c>
      <c r="AI17" s="13">
        <f>IF('Données projet'!$A$62&gt;35,AI16+AH17-AQ16,IF(A17&lt;'Données projet'!$A$62,$AF$205^A17,IF(A17='Données projet'!$A$62,'Données projet'!$B$62,AI16+AH17-AQ16)))</f>
        <v>110</v>
      </c>
      <c r="AJ17" s="13">
        <f>AI17*VLOOKUP('Données projet'!$B$10,Paramètres!$A$1:$I$89,3,0)*VLOOKUP('Données projet'!$B$10,Paramètres!$A$1:$I$89,5,0)</f>
        <v>65.78</v>
      </c>
      <c r="AK17" s="13">
        <f t="shared" si="35"/>
        <v>18.621720661480644</v>
      </c>
      <c r="AL17" s="20">
        <f t="shared" si="4"/>
        <v>146.99966348541213</v>
      </c>
      <c r="AM17" s="59">
        <f t="shared" si="5"/>
        <v>440.33299681874541</v>
      </c>
      <c r="AN17" s="59">
        <f ca="1">AVERAGE(OFFSET($AM$3,0,0,'Données projet'!$E$10+1,1))-AVERAGE(OFFSET($H$3,0,0,'Données projet'!$E$10+1,1))</f>
        <v>137.97244371990928</v>
      </c>
      <c r="AO17" s="59">
        <f t="shared" si="36"/>
        <v>340.50331317844757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>
        <f>VLOOKUP(A17,'Données projet'!$A$87:$I$107,2,0)</f>
        <v>110</v>
      </c>
      <c r="BB17" s="12">
        <f>VLOOKUP(A17,'Données projet'!$A$87:$I$107,9,0)</f>
        <v>21</v>
      </c>
      <c r="BC17" s="12">
        <f t="array" ref="BC17">INDEX(BB:BB,MIN(IF(ISNUMBER(BB17:BB213),ROW(BB17:BB213),"")))</f>
        <v>21</v>
      </c>
      <c r="BD17" s="12">
        <f>IF('Données projet'!$A$88&gt;35,BD16+BC17-BL16,IF(A17&lt;'Données projet'!$A$88,$BA$205^A17,IF(A17='Données projet'!$A$88,'Données projet'!$B$88,BD16+BC17-BL16)))</f>
        <v>110</v>
      </c>
      <c r="BE17" s="13">
        <f>BD17*VLOOKUP('Données projet'!$B$11,Paramètres!$A$1:$I$89,3,0)*VLOOKUP('Données projet'!$B$11,Paramètres!$A$1:$I$89,5,0)</f>
        <v>65.78</v>
      </c>
      <c r="BF17" s="13">
        <f t="shared" si="37"/>
        <v>18.621720661480644</v>
      </c>
      <c r="BG17" s="20">
        <f t="shared" si="7"/>
        <v>146.99966348541213</v>
      </c>
      <c r="BH17" s="59">
        <f t="shared" si="8"/>
        <v>440.33299681874541</v>
      </c>
      <c r="BI17" s="59">
        <f ca="1">AVERAGE(OFFSET($BH$3,0,0,'Données projet'!$E$11+1,1))-AVERAGE(OFFSET($H$3,0,0,'Données projet'!$E$11+1,1))</f>
        <v>137.97244371990928</v>
      </c>
      <c r="BJ17" s="59">
        <f t="shared" si="38"/>
        <v>340.50331317844757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11.510273536654053</v>
      </c>
      <c r="BS17" s="22">
        <f t="shared" si="9"/>
        <v>11.510273536654053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12.383034850580612</v>
      </c>
      <c r="CA17" s="13">
        <f t="shared" si="39"/>
        <v>4.2576904771143838</v>
      </c>
      <c r="CB17" s="20">
        <f t="shared" si="10"/>
        <v>28.982596612402116</v>
      </c>
      <c r="CC17" s="59">
        <f t="shared" si="11"/>
        <v>322.31592994573543</v>
      </c>
      <c r="CD17" s="59">
        <f ca="1">AVERAGE(OFFSET($CC$3,0,0,'Données projet'!$E$12+1,1))-AVERAGE(OFFSET($H$3,0,0,'Données projet'!$E$12+1,1))</f>
        <v>216.16148211123436</v>
      </c>
      <c r="CE17" s="59">
        <f t="shared" si="40"/>
        <v>132.59131750490178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18" s="11">
        <f t="shared" si="32"/>
        <v>4.6169606338501863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140.40601191042251</v>
      </c>
      <c r="H18" s="66">
        <f t="shared" si="1"/>
        <v>325.01243977062239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129</v>
      </c>
      <c r="L18" s="12">
        <f>VLOOKUP(A18,'Données projet'!$A$35:$I$55,9,0)</f>
        <v>8.6</v>
      </c>
      <c r="M18" s="12">
        <f t="array" ref="M18">INDEX(L:L,MIN(IF(ISNUMBER(L18:L214),ROW(L18:L214),"")))</f>
        <v>8.6</v>
      </c>
      <c r="N18" s="13">
        <f>IF('Données projet'!$A$36&gt;35,N17+M18-V17,IF(A18&lt;'Données projet'!$A$36,$K$205^A18,IF(A18='Données projet'!$A$36,'Données projet'!$B$36,N17+M18-V17)))</f>
        <v>129</v>
      </c>
      <c r="O18" s="13">
        <f>N18*VLOOKUP('Données projet'!$B$9,Paramètres!$A$1:$I$89,3,0)*VLOOKUP('Données projet'!$B$9,Paramètres!$A$1:$I$89,5,0)</f>
        <v>77.14200000000001</v>
      </c>
      <c r="P18" s="13">
        <f t="shared" si="33"/>
        <v>21.436915648510755</v>
      </c>
      <c r="Q18" s="20">
        <f t="shared" si="2"/>
        <v>171.69161142115624</v>
      </c>
      <c r="R18" s="59">
        <f t="shared" si="0"/>
        <v>465.02494475448952</v>
      </c>
      <c r="S18" s="59">
        <f ca="1">AVERAGE(OFFSET($R$3,0,0,'Données projet'!$E$9+1,1))-AVERAGE(OFFSET($H$3,0,0,'Données projet'!$E$9+1,1))</f>
        <v>443.63756287217456</v>
      </c>
      <c r="T18" s="59">
        <f t="shared" si="34"/>
        <v>384.990641425788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21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1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14.21857319233736</v>
      </c>
      <c r="AC18" s="22">
        <f t="shared" si="3"/>
        <v>14.21857319233736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131</v>
      </c>
      <c r="AG18" s="12">
        <f>VLOOKUP(A18,'Données projet'!$A$61:$I$81,9,0)</f>
        <v>21</v>
      </c>
      <c r="AH18" s="12">
        <f t="array" ref="AH18">INDEX(AG:AG,MIN(IF(ISNUMBER(AG18:AG214),ROW(AG18:AG214),"")))</f>
        <v>21</v>
      </c>
      <c r="AI18" s="13">
        <f>IF('Données projet'!$A$62&gt;35,AI17+AH18-AQ17,IF(A18&lt;'Données projet'!$A$62,$AF$205^A18,IF(A18='Données projet'!$A$62,'Données projet'!$B$62,AI17+AH18-AQ17)))</f>
        <v>131</v>
      </c>
      <c r="AJ18" s="13">
        <f>AI18*VLOOKUP('Données projet'!$B$10,Paramètres!$A$1:$I$89,3,0)*VLOOKUP('Données projet'!$B$10,Paramètres!$A$1:$I$89,5,0)</f>
        <v>78.338000000000008</v>
      </c>
      <c r="AK18" s="13">
        <f t="shared" si="35"/>
        <v>21.730321306378922</v>
      </c>
      <c r="AL18" s="20">
        <f t="shared" si="4"/>
        <v>174.28565960860999</v>
      </c>
      <c r="AM18" s="59">
        <f t="shared" si="5"/>
        <v>467.6189929419433</v>
      </c>
      <c r="AN18" s="59">
        <f ca="1">AVERAGE(OFFSET($AM$3,0,0,'Données projet'!$E$10+1,1))-AVERAGE(OFFSET($H$3,0,0,'Données projet'!$E$10+1,1))</f>
        <v>137.97244371990928</v>
      </c>
      <c r="AO18" s="59">
        <f t="shared" si="36"/>
        <v>340.50331317844757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131</v>
      </c>
      <c r="BB18" s="12">
        <f>VLOOKUP(A18,'Données projet'!$A$87:$I$107,9,0)</f>
        <v>21</v>
      </c>
      <c r="BC18" s="12">
        <f t="array" ref="BC18">INDEX(BB:BB,MIN(IF(ISNUMBER(BB18:BB214),ROW(BB18:BB214),"")))</f>
        <v>21</v>
      </c>
      <c r="BD18" s="12">
        <f>IF('Données projet'!$A$88&gt;35,BD17+BC18-BL17,IF(A18&lt;'Données projet'!$A$88,$BA$205^A18,IF(A18='Données projet'!$A$88,'Données projet'!$B$88,BD17+BC18-BL17)))</f>
        <v>131</v>
      </c>
      <c r="BE18" s="13">
        <f>BD18*VLOOKUP('Données projet'!$B$11,Paramètres!$A$1:$I$89,3,0)*VLOOKUP('Données projet'!$B$11,Paramètres!$A$1:$I$89,5,0)</f>
        <v>78.338000000000008</v>
      </c>
      <c r="BF18" s="13">
        <f t="shared" si="37"/>
        <v>21.730321306378922</v>
      </c>
      <c r="BG18" s="20">
        <f t="shared" si="7"/>
        <v>174.28565960860999</v>
      </c>
      <c r="BH18" s="59">
        <f t="shared" si="8"/>
        <v>467.6189929419433</v>
      </c>
      <c r="BI18" s="59">
        <f ca="1">AVERAGE(OFFSET($BH$3,0,0,'Données projet'!$E$11+1,1))-AVERAGE(OFFSET($H$3,0,0,'Données projet'!$E$11+1,1))</f>
        <v>137.97244371990928</v>
      </c>
      <c r="BJ18" s="59">
        <f t="shared" si="38"/>
        <v>340.50331317844757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8.1389924710801456</v>
      </c>
      <c r="BS18" s="22">
        <f t="shared" si="9"/>
        <v>8.1389924710801456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14.927585237660953</v>
      </c>
      <c r="CA18" s="13">
        <f t="shared" si="39"/>
        <v>5.0221449106318534</v>
      </c>
      <c r="CB18" s="20">
        <f t="shared" si="10"/>
        <v>34.745780008276633</v>
      </c>
      <c r="CC18" s="59">
        <f t="shared" si="11"/>
        <v>328.07911334160997</v>
      </c>
      <c r="CD18" s="59">
        <f ca="1">AVERAGE(OFFSET($CC$3,0,0,'Données projet'!$E$12+1,1))-AVERAGE(OFFSET($H$3,0,0,'Données projet'!$E$12+1,1))</f>
        <v>216.16148211123436</v>
      </c>
      <c r="CE18" s="59">
        <f t="shared" si="40"/>
        <v>132.59131750490178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14.476799999999999</v>
      </c>
      <c r="D19" s="11">
        <f t="shared" si="32"/>
        <v>4.8879004449090973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149.48189817122815</v>
      </c>
      <c r="H19" s="66">
        <f t="shared" si="1"/>
        <v>327.06018660821667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23.6</v>
      </c>
      <c r="N19" s="13">
        <f>IF('Données projet'!$A$36&gt;35,N18+M19-V18,IF(A19&lt;'Données projet'!$A$36,$K$205^A19,IF(A19='Données projet'!$A$36,'Données projet'!$B$36,N18+M19-V18)))</f>
        <v>131.6</v>
      </c>
      <c r="O19" s="13">
        <f>N19*VLOOKUP('Données projet'!$B$9,Paramètres!$A$1:$I$89,3,0)*VLOOKUP('Données projet'!$B$9,Paramètres!$A$1:$I$89,5,0)</f>
        <v>78.69680000000001</v>
      </c>
      <c r="P19" s="13">
        <f t="shared" si="33"/>
        <v>21.818241011661829</v>
      </c>
      <c r="Q19" s="20">
        <f t="shared" si="2"/>
        <v>175.06369642864436</v>
      </c>
      <c r="R19" s="59">
        <f t="shared" si="0"/>
        <v>468.39702976197771</v>
      </c>
      <c r="S19" s="59">
        <f ca="1">AVERAGE(OFFSET($R$3,0,0,'Données projet'!$E$9+1,1))-AVERAGE(OFFSET($H$3,0,0,'Données projet'!$E$9+1,1))</f>
        <v>443.63756287217456</v>
      </c>
      <c r="T19" s="59">
        <f t="shared" si="34"/>
        <v>384.990641425788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10.054049523099005</v>
      </c>
      <c r="AC19" s="22">
        <f t="shared" si="3"/>
        <v>10.054049523099005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153</v>
      </c>
      <c r="AG19" s="12">
        <f>VLOOKUP(A19,'Données projet'!$A$61:$I$81,9,0)</f>
        <v>22</v>
      </c>
      <c r="AH19" s="12">
        <f t="array" ref="AH19">INDEX(AG:AG,MIN(IF(ISNUMBER(AG19:AG215),ROW(AG19:AG215),"")))</f>
        <v>22</v>
      </c>
      <c r="AI19" s="13">
        <f>IF('Données projet'!$A$62&gt;35,AI18+AH19-AQ18,IF(A19&lt;'Données projet'!$A$62,$AF$205^A19,IF(A19='Données projet'!$A$62,'Données projet'!$B$62,AI18+AH19-AQ18)))</f>
        <v>153</v>
      </c>
      <c r="AJ19" s="13">
        <f>AI19*VLOOKUP('Données projet'!$B$10,Paramètres!$A$1:$I$89,3,0)*VLOOKUP('Données projet'!$B$10,Paramètres!$A$1:$I$89,5,0)</f>
        <v>91.494000000000014</v>
      </c>
      <c r="AK19" s="13">
        <f t="shared" si="35"/>
        <v>24.925195840896542</v>
      </c>
      <c r="AL19" s="20">
        <f t="shared" si="4"/>
        <v>202.76343275622813</v>
      </c>
      <c r="AM19" s="59">
        <f t="shared" si="5"/>
        <v>496.09676608956147</v>
      </c>
      <c r="AN19" s="59">
        <f ca="1">AVERAGE(OFFSET($AM$3,0,0,'Données projet'!$E$10+1,1))-AVERAGE(OFFSET($H$3,0,0,'Données projet'!$E$10+1,1))</f>
        <v>137.97244371990928</v>
      </c>
      <c r="AO19" s="59">
        <f t="shared" si="36"/>
        <v>340.50331317844757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>
        <f>VLOOKUP(A19,'Données projet'!$A$87:$I$107,2,0)</f>
        <v>153</v>
      </c>
      <c r="BB19" s="12">
        <f>VLOOKUP(A19,'Données projet'!$A$87:$I$107,9,0)</f>
        <v>22</v>
      </c>
      <c r="BC19" s="12">
        <f t="array" ref="BC19">INDEX(BB:BB,MIN(IF(ISNUMBER(BB19:BB215),ROW(BB19:BB215),"")))</f>
        <v>22</v>
      </c>
      <c r="BD19" s="12">
        <f>IF('Données projet'!$A$88&gt;35,BD18+BC19-BL18,IF(A19&lt;'Données projet'!$A$88,$BA$205^A19,IF(A19='Données projet'!$A$88,'Données projet'!$B$88,BD18+BC19-BL18)))</f>
        <v>153</v>
      </c>
      <c r="BE19" s="13">
        <f>BD19*VLOOKUP('Données projet'!$B$11,Paramètres!$A$1:$I$89,3,0)*VLOOKUP('Données projet'!$B$11,Paramètres!$A$1:$I$89,5,0)</f>
        <v>91.494000000000014</v>
      </c>
      <c r="BF19" s="13">
        <f t="shared" si="37"/>
        <v>24.925195840896542</v>
      </c>
      <c r="BG19" s="20">
        <f t="shared" si="7"/>
        <v>202.76343275622813</v>
      </c>
      <c r="BH19" s="59">
        <f t="shared" si="8"/>
        <v>496.09676608956147</v>
      </c>
      <c r="BI19" s="59">
        <f ca="1">AVERAGE(OFFSET($BH$3,0,0,'Données projet'!$E$11+1,1))-AVERAGE(OFFSET($H$3,0,0,'Données projet'!$E$11+1,1))</f>
        <v>137.97244371990928</v>
      </c>
      <c r="BJ19" s="59">
        <f t="shared" si="38"/>
        <v>340.50331317844757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5.7551367683270263</v>
      </c>
      <c r="BS19" s="22">
        <f t="shared" si="9"/>
        <v>5.7551367683270263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17.995007178485412</v>
      </c>
      <c r="CA19" s="13">
        <f t="shared" si="39"/>
        <v>5.9238546434872337</v>
      </c>
      <c r="CB19" s="20">
        <f t="shared" si="10"/>
        <v>41.658684339935689</v>
      </c>
      <c r="CC19" s="59">
        <f t="shared" si="11"/>
        <v>334.992017673269</v>
      </c>
      <c r="CD19" s="59">
        <f ca="1">AVERAGE(OFFSET($CC$3,0,0,'Données projet'!$E$12+1,1))-AVERAGE(OFFSET($H$3,0,0,'Données projet'!$E$12+1,1))</f>
        <v>216.16148211123436</v>
      </c>
      <c r="CE19" s="59">
        <f t="shared" si="40"/>
        <v>132.59131750490178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15.381599999999999</v>
      </c>
      <c r="D20" s="11">
        <f t="shared" si="32"/>
        <v>5.1568749710078112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158.54261381128836</v>
      </c>
      <c r="H20" s="66">
        <f t="shared" si="1"/>
        <v>329.10451057450524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23.6</v>
      </c>
      <c r="N20" s="13">
        <f>IF('Données projet'!$A$36&gt;35,N19+M20-V19,IF(A20&lt;'Données projet'!$A$36,$K$205^A20,IF(A20='Données projet'!$A$36,'Données projet'!$B$36,N19+M20-V19)))</f>
        <v>155.19999999999999</v>
      </c>
      <c r="O20" s="13">
        <f>N20*VLOOKUP('Données projet'!$B$9,Paramètres!$A$1:$I$89,3,0)*VLOOKUP('Données projet'!$B$9,Paramètres!$A$1:$I$89,5,0)</f>
        <v>92.809600000000003</v>
      </c>
      <c r="P20" s="13">
        <f t="shared" si="33"/>
        <v>25.241615800824192</v>
      </c>
      <c r="Q20" s="20">
        <f t="shared" si="2"/>
        <v>205.60586751976879</v>
      </c>
      <c r="R20" s="59">
        <f t="shared" si="0"/>
        <v>498.93920085310208</v>
      </c>
      <c r="S20" s="59">
        <f ca="1">AVERAGE(OFFSET($R$3,0,0,'Données projet'!$E$9+1,1))-AVERAGE(OFFSET($H$3,0,0,'Données projet'!$E$9+1,1))</f>
        <v>443.63756287217456</v>
      </c>
      <c r="T20" s="59">
        <f t="shared" si="34"/>
        <v>384.990641425788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7.1092865961686815</v>
      </c>
      <c r="AC20" s="22">
        <f t="shared" si="3"/>
        <v>7.1092865961686815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23</v>
      </c>
      <c r="AH20" s="12">
        <f t="array" ref="AH20">INDEX(AG:AG,MIN(IF(ISNUMBER(AG20:AG216),ROW(AG20:AG216),"")))</f>
        <v>23</v>
      </c>
      <c r="AI20" s="13">
        <f>IF('Données projet'!$A$62&gt;35,AI19+AH20-AQ19,IF(A20&lt;'Données projet'!$A$62,$AF$205^A20,IF(A20='Données projet'!$A$62,'Données projet'!$B$62,AI19+AH20-AQ19)))</f>
        <v>176</v>
      </c>
      <c r="AJ20" s="13">
        <f>AI20*VLOOKUP('Données projet'!$B$10,Paramètres!$A$1:$I$89,3,0)*VLOOKUP('Données projet'!$B$10,Paramètres!$A$1:$I$89,5,0)</f>
        <v>105.24800000000002</v>
      </c>
      <c r="AK20" s="13">
        <f t="shared" si="35"/>
        <v>28.208515027560551</v>
      </c>
      <c r="AL20" s="20">
        <f t="shared" si="4"/>
        <v>232.43676367300131</v>
      </c>
      <c r="AM20" s="59">
        <f t="shared" si="5"/>
        <v>525.77009700633459</v>
      </c>
      <c r="AN20" s="59">
        <f ca="1">AVERAGE(OFFSET($AM$3,0,0,'Données projet'!$E$10+1,1))-AVERAGE(OFFSET($H$3,0,0,'Données projet'!$E$10+1,1))</f>
        <v>137.97244371990928</v>
      </c>
      <c r="AO20" s="59">
        <f t="shared" si="36"/>
        <v>340.50331317844757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0.1125</v>
      </c>
      <c r="AS20" s="16">
        <f>IF(ISNA(VLOOKUP(A20,'Données projet'!$A$61:$I$81,6,0)),0%,VLOOKUP(A20,'Données projet'!$A$61:$I$81,6,0)*VLOOKUP('Données projet'!$B$10,Paramètres!$A$1:$I$89,7,0))</f>
        <v>0.33750000000000002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3.837518820806888</v>
      </c>
      <c r="AV20" s="21">
        <f>EXP(-LN(2)/25)*AV19+(1-EXP(-LN(2)/25))/(LN(2)/25)*Calculateur!AQ20*Calculateur!AS20*VLOOKUP('Données projet'!$B$10,Paramètres!$A$1:$I$89,3,0)*0.475*44/12</f>
        <v>11.467227141000196</v>
      </c>
      <c r="AW20" s="21">
        <f>EXP(-LN(2)/2)*AW19+(1-EXP(-LN(2)/2))/(LN(2)/2)*AQ20*AT20*VLOOKUP('Données projet'!$B$10,Paramètres!$A$1:$I$89,3,0)*0.475*44/12</f>
        <v>4.0694962355400728</v>
      </c>
      <c r="AX20" s="21">
        <f t="shared" si="6"/>
        <v>19.374242197347158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176</v>
      </c>
      <c r="BB20" s="12">
        <f>VLOOKUP(A20,'Données projet'!$A$87:$I$107,9,0)</f>
        <v>23</v>
      </c>
      <c r="BC20" s="12">
        <f t="array" ref="BC20">INDEX(BB:BB,MIN(IF(ISNUMBER(BB20:BB216),ROW(BB20:BB216),"")))</f>
        <v>23</v>
      </c>
      <c r="BD20" s="12">
        <f>IF('Données projet'!$A$88&gt;35,BD19+BC20-BL19,IF(A20&lt;'Données projet'!$A$88,$BA$205^A20,IF(A20='Données projet'!$A$88,'Données projet'!$B$88,BD19+BC20-BL19)))</f>
        <v>176</v>
      </c>
      <c r="BE20" s="13">
        <f>BD20*VLOOKUP('Données projet'!$B$11,Paramètres!$A$1:$I$89,3,0)*VLOOKUP('Données projet'!$B$11,Paramètres!$A$1:$I$89,5,0)</f>
        <v>105.24800000000002</v>
      </c>
      <c r="BF20" s="13">
        <f t="shared" si="37"/>
        <v>28.208515027560551</v>
      </c>
      <c r="BG20" s="20">
        <f t="shared" si="7"/>
        <v>232.43676367300131</v>
      </c>
      <c r="BH20" s="59">
        <f t="shared" si="8"/>
        <v>525.77009700633459</v>
      </c>
      <c r="BI20" s="59">
        <f ca="1">AVERAGE(OFFSET($BH$3,0,0,'Données projet'!$E$11+1,1))-AVERAGE(OFFSET($H$3,0,0,'Données projet'!$E$11+1,1))</f>
        <v>137.97244371990928</v>
      </c>
      <c r="BJ20" s="59">
        <f t="shared" si="38"/>
        <v>340.50331317844757</v>
      </c>
      <c r="BK20" s="15">
        <f>IF(ISNA(VLOOKUP(A20,'Données projet'!$A$87:$I$107,3,0)),0,VLOOKUP(A20,'Données projet'!$A$87:$I$107,3,0))</f>
        <v>2</v>
      </c>
      <c r="BL20" s="15">
        <f>IF(ISNA(VLOOKUP(A20,'Données projet'!$A$87:$I$107,4,0)),0,VLOOKUP(A20,'Données projet'!$A$87:$I$107,4,0))</f>
        <v>43</v>
      </c>
      <c r="BM20" s="16">
        <f>IF(ISNA(VLOOKUP(A20,'Données projet'!$A$87:$I$107,5,0)),0%,VLOOKUP(A20,'Données projet'!$A$87:$I$107,5,0)*VLOOKUP('Données projet'!$B$11,Paramètres!$A$1:$I$89,7,0))</f>
        <v>0.1125</v>
      </c>
      <c r="BN20" s="16">
        <f>IF(ISNA(VLOOKUP(A20,'Données projet'!$A$87:$I$107,6,0)),0%,VLOOKUP(A20,'Données projet'!$A$87:$I$107,6,0)*VLOOKUP('Données projet'!$B$11,Paramètres!$A$1:$I$89,7,0))</f>
        <v>0.33750000000000002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3.837518820806888</v>
      </c>
      <c r="BQ20" s="21">
        <f>EXP(-LN(2)/25)*BQ19+(1-EXP(-LN(2)/25))/(LN(2)/25)*Calculateur!BL20*Calculateur!BN20*VLOOKUP('Données projet'!$B$11,Paramètres!$A$1:$I$89,3,0)*0.475*44/12</f>
        <v>11.467227141000196</v>
      </c>
      <c r="BR20" s="21">
        <f>EXP(-LN(2)/2)*BR19+(1-EXP(-LN(2)/2))/(LN(2)/2)*BL20*BO20*VLOOKUP('Données projet'!$B$11,Paramètres!$A$1:$I$89,3,0)*0.475*44/12</f>
        <v>4.0694962355400728</v>
      </c>
      <c r="BS20" s="22">
        <f t="shared" si="9"/>
        <v>19.374242197347158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21.692743883101215</v>
      </c>
      <c r="CA20" s="13">
        <f t="shared" si="39"/>
        <v>6.98746341685115</v>
      </c>
      <c r="CB20" s="20">
        <f t="shared" si="10"/>
        <v>49.951361047417038</v>
      </c>
      <c r="CC20" s="59">
        <f t="shared" si="11"/>
        <v>343.28469438075035</v>
      </c>
      <c r="CD20" s="59">
        <f ca="1">AVERAGE(OFFSET($CC$3,0,0,'Données projet'!$E$12+1,1))-AVERAGE(OFFSET($H$3,0,0,'Données projet'!$E$12+1,1))</f>
        <v>216.16148211123436</v>
      </c>
      <c r="CE20" s="59">
        <f t="shared" si="40"/>
        <v>132.59131750490178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16.2864</v>
      </c>
      <c r="D21" s="11">
        <f t="shared" si="32"/>
        <v>5.4240129855342607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167.5891528707908</v>
      </c>
      <c r="H21" s="66">
        <f t="shared" si="1"/>
        <v>331.14563594980547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23.6</v>
      </c>
      <c r="N21" s="13">
        <f>IF('Données projet'!$A$36&gt;35,N20+M21-V20,IF(A21&lt;'Données projet'!$A$36,$K$205^A21,IF(A21='Données projet'!$A$36,'Données projet'!$B$36,N20+M21-V20)))</f>
        <v>178.79999999999998</v>
      </c>
      <c r="O21" s="13">
        <f>N21*VLOOKUP('Données projet'!$B$9,Paramètres!$A$1:$I$89,3,0)*VLOOKUP('Données projet'!$B$9,Paramètres!$A$1:$I$89,5,0)</f>
        <v>106.9224</v>
      </c>
      <c r="P21" s="13">
        <f t="shared" si="33"/>
        <v>28.604684816920809</v>
      </c>
      <c r="Q21" s="20">
        <f t="shared" si="2"/>
        <v>236.04300605613707</v>
      </c>
      <c r="R21" s="59">
        <f t="shared" si="0"/>
        <v>529.37633938947033</v>
      </c>
      <c r="S21" s="59">
        <f ca="1">AVERAGE(OFFSET($R$3,0,0,'Données projet'!$E$9+1,1))-AVERAGE(OFFSET($H$3,0,0,'Données projet'!$E$9+1,1))</f>
        <v>443.63756287217456</v>
      </c>
      <c r="T21" s="59">
        <f t="shared" si="34"/>
        <v>384.990641425788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5.0270247615495034</v>
      </c>
      <c r="AC21" s="22">
        <f t="shared" si="3"/>
        <v>5.0270247615495034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151</v>
      </c>
      <c r="AG21" s="12">
        <f>VLOOKUP(A21,'Données projet'!$A$61:$I$81,9,0)</f>
        <v>18</v>
      </c>
      <c r="AH21" s="12">
        <f t="array" ref="AH21">INDEX(AG:AG,MIN(IF(ISNUMBER(AG21:AG217),ROW(AG21:AG217),"")))</f>
        <v>18</v>
      </c>
      <c r="AI21" s="13">
        <f>IF('Données projet'!$A$62&gt;35,AI20+AH21-AQ20,IF(A21&lt;'Données projet'!$A$62,$AF$205^A21,IF(A21='Données projet'!$A$62,'Données projet'!$B$62,AI20+AH21-AQ20)))</f>
        <v>151</v>
      </c>
      <c r="AJ21" s="13">
        <f>AI21*VLOOKUP('Données projet'!$B$10,Paramètres!$A$1:$I$89,3,0)*VLOOKUP('Données projet'!$B$10,Paramètres!$A$1:$I$89,5,0)</f>
        <v>90.298000000000016</v>
      </c>
      <c r="AK21" s="13">
        <f t="shared" si="35"/>
        <v>24.637081585210524</v>
      </c>
      <c r="AL21" s="20">
        <f t="shared" si="4"/>
        <v>200.17860042757502</v>
      </c>
      <c r="AM21" s="59">
        <f t="shared" si="5"/>
        <v>493.51193376090833</v>
      </c>
      <c r="AN21" s="59">
        <f ca="1">AVERAGE(OFFSET($AM$3,0,0,'Données projet'!$E$10+1,1))-AVERAGE(OFFSET($H$3,0,0,'Données projet'!$E$10+1,1))</f>
        <v>137.97244371990928</v>
      </c>
      <c r="AO21" s="59">
        <f t="shared" si="36"/>
        <v>340.50331317844757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3.7622674173862252</v>
      </c>
      <c r="AV21" s="21">
        <f>EXP(-LN(2)/25)*AV20+(1-EXP(-LN(2)/25))/(LN(2)/25)*Calculateur!AQ21*Calculateur!AS21*VLOOKUP('Données projet'!$B$10,Paramètres!$A$1:$I$89,3,0)*0.475*44/12</f>
        <v>11.153655211794279</v>
      </c>
      <c r="AW21" s="21">
        <f>EXP(-LN(2)/2)*AW20+(1-EXP(-LN(2)/2))/(LN(2)/2)*AQ21*AT21*VLOOKUP('Données projet'!$B$10,Paramètres!$A$1:$I$89,3,0)*0.475*44/12</f>
        <v>2.8775683841635131</v>
      </c>
      <c r="AX21" s="21">
        <f t="shared" si="6"/>
        <v>17.793491013344017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151</v>
      </c>
      <c r="BB21" s="12">
        <f>VLOOKUP(A21,'Données projet'!$A$87:$I$107,9,0)</f>
        <v>18</v>
      </c>
      <c r="BC21" s="12">
        <f t="array" ref="BC21">INDEX(BB:BB,MIN(IF(ISNUMBER(BB21:BB217),ROW(BB21:BB217),"")))</f>
        <v>18</v>
      </c>
      <c r="BD21" s="12">
        <f>IF('Données projet'!$A$88&gt;35,BD20+BC21-BL20,IF(A21&lt;'Données projet'!$A$88,$BA$205^A21,IF(A21='Données projet'!$A$88,'Données projet'!$B$88,BD20+BC21-BL20)))</f>
        <v>151</v>
      </c>
      <c r="BE21" s="13">
        <f>BD21*VLOOKUP('Données projet'!$B$11,Paramètres!$A$1:$I$89,3,0)*VLOOKUP('Données projet'!$B$11,Paramètres!$A$1:$I$89,5,0)</f>
        <v>90.298000000000016</v>
      </c>
      <c r="BF21" s="13">
        <f t="shared" si="37"/>
        <v>24.637081585210524</v>
      </c>
      <c r="BG21" s="20">
        <f t="shared" si="7"/>
        <v>200.17860042757502</v>
      </c>
      <c r="BH21" s="59">
        <f t="shared" si="8"/>
        <v>493.51193376090833</v>
      </c>
      <c r="BI21" s="59">
        <f ca="1">AVERAGE(OFFSET($BH$3,0,0,'Données projet'!$E$11+1,1))-AVERAGE(OFFSET($H$3,0,0,'Données projet'!$E$11+1,1))</f>
        <v>137.97244371990928</v>
      </c>
      <c r="BJ21" s="59">
        <f t="shared" si="38"/>
        <v>340.50331317844757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3.7622674173862252</v>
      </c>
      <c r="BQ21" s="21">
        <f>EXP(-LN(2)/25)*BQ20+(1-EXP(-LN(2)/25))/(LN(2)/25)*Calculateur!BL21*Calculateur!BN21*VLOOKUP('Données projet'!$B$11,Paramètres!$A$1:$I$89,3,0)*0.475*44/12</f>
        <v>11.153655211794279</v>
      </c>
      <c r="BR21" s="21">
        <f>EXP(-LN(2)/2)*BR20+(1-EXP(-LN(2)/2))/(LN(2)/2)*BL21*BO21*VLOOKUP('Données projet'!$B$11,Paramètres!$A$1:$I$89,3,0)*0.475*44/12</f>
        <v>2.8775683841635131</v>
      </c>
      <c r="BS21" s="22">
        <f t="shared" si="9"/>
        <v>17.793491013344017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26.150316724543362</v>
      </c>
      <c r="CA21" s="13">
        <f t="shared" si="39"/>
        <v>8.2420396752158016</v>
      </c>
      <c r="CB21" s="20">
        <f t="shared" si="10"/>
        <v>59.900020729580547</v>
      </c>
      <c r="CC21" s="59">
        <f t="shared" si="11"/>
        <v>353.23335406291386</v>
      </c>
      <c r="CD21" s="59">
        <f ca="1">AVERAGE(OFFSET($CC$3,0,0,'Données projet'!$E$12+1,1))-AVERAGE(OFFSET($H$3,0,0,'Données projet'!$E$12+1,1))</f>
        <v>216.16148211123436</v>
      </c>
      <c r="CE21" s="59">
        <f t="shared" si="40"/>
        <v>132.59131750490178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17.191200000000002</v>
      </c>
      <c r="D22" s="11">
        <f t="shared" si="32"/>
        <v>5.6894281456126885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176.62239270297516</v>
      </c>
      <c r="H22" s="66">
        <f t="shared" si="1"/>
        <v>333.18376068694209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23.6</v>
      </c>
      <c r="N22" s="13">
        <f>IF('Données projet'!$A$36&gt;35,N21+M22-V21,IF(A22&lt;'Données projet'!$A$36,$K$205^A22,IF(A22='Données projet'!$A$36,'Données projet'!$B$36,N21+M22-V21)))</f>
        <v>202.39999999999998</v>
      </c>
      <c r="O22" s="13">
        <f>N22*VLOOKUP('Données projet'!$B$9,Paramètres!$A$1:$I$89,3,0)*VLOOKUP('Données projet'!$B$9,Paramètres!$A$1:$I$89,5,0)</f>
        <v>121.0352</v>
      </c>
      <c r="P22" s="13">
        <f t="shared" si="33"/>
        <v>31.916321859626926</v>
      </c>
      <c r="Q22" s="20">
        <f t="shared" si="2"/>
        <v>266.39056723885022</v>
      </c>
      <c r="R22" s="59">
        <f t="shared" si="0"/>
        <v>559.72390057218354</v>
      </c>
      <c r="S22" s="59">
        <f ca="1">AVERAGE(OFFSET($R$3,0,0,'Données projet'!$E$9+1,1))-AVERAGE(OFFSET($H$3,0,0,'Données projet'!$E$9+1,1))</f>
        <v>443.63756287217456</v>
      </c>
      <c r="T22" s="59">
        <f t="shared" si="34"/>
        <v>384.990641425788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3.5546432980843412</v>
      </c>
      <c r="AC22" s="22">
        <f t="shared" si="3"/>
        <v>3.5546432980843412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171</v>
      </c>
      <c r="AG22" s="12">
        <f>VLOOKUP(A22,'Données projet'!$A$61:$I$81,9,0)</f>
        <v>20</v>
      </c>
      <c r="AH22" s="12">
        <f t="array" ref="AH22">INDEX(AG:AG,MIN(IF(ISNUMBER(AG22:AG218),ROW(AG22:AG218),"")))</f>
        <v>20</v>
      </c>
      <c r="AI22" s="13">
        <f>IF('Données projet'!$A$62&gt;35,AI21+AH22-AQ21,IF(A22&lt;'Données projet'!$A$62,$AF$205^A22,IF(A22='Données projet'!$A$62,'Données projet'!$B$62,AI21+AH22-AQ21)))</f>
        <v>171</v>
      </c>
      <c r="AJ22" s="13">
        <f>AI22*VLOOKUP('Données projet'!$B$10,Paramètres!$A$1:$I$89,3,0)*VLOOKUP('Données projet'!$B$10,Paramètres!$A$1:$I$89,5,0)</f>
        <v>102.258</v>
      </c>
      <c r="AK22" s="13">
        <f t="shared" si="35"/>
        <v>27.499233847895859</v>
      </c>
      <c r="AL22" s="20">
        <f t="shared" si="4"/>
        <v>225.99384895175194</v>
      </c>
      <c r="AM22" s="59">
        <f t="shared" si="5"/>
        <v>519.3271822850852</v>
      </c>
      <c r="AN22" s="59">
        <f ca="1">AVERAGE(OFFSET($AM$3,0,0,'Données projet'!$E$10+1,1))-AVERAGE(OFFSET($H$3,0,0,'Données projet'!$E$10+1,1))</f>
        <v>137.97244371990928</v>
      </c>
      <c r="AO22" s="59">
        <f t="shared" si="36"/>
        <v>340.50331317844757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3.6884916480878176</v>
      </c>
      <c r="AV22" s="21">
        <f>EXP(-LN(2)/25)*AV21+(1-EXP(-LN(2)/25))/(LN(2)/25)*Calculateur!AQ22*Calculateur!AS22*VLOOKUP('Données projet'!$B$10,Paramètres!$A$1:$I$89,3,0)*0.475*44/12</f>
        <v>10.848657923482529</v>
      </c>
      <c r="AW22" s="21">
        <f>EXP(-LN(2)/2)*AW21+(1-EXP(-LN(2)/2))/(LN(2)/2)*AQ22*AT22*VLOOKUP('Données projet'!$B$10,Paramètres!$A$1:$I$89,3,0)*0.475*44/12</f>
        <v>2.0347481177700364</v>
      </c>
      <c r="AX22" s="21">
        <f t="shared" si="6"/>
        <v>16.571897689340382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>
        <f>VLOOKUP(A22,'Données projet'!$A$87:$I$107,2,0)</f>
        <v>171</v>
      </c>
      <c r="BB22" s="12">
        <f>VLOOKUP(A22,'Données projet'!$A$87:$I$107,9,0)</f>
        <v>20</v>
      </c>
      <c r="BC22" s="12">
        <f t="array" ref="BC22">INDEX(BB:BB,MIN(IF(ISNUMBER(BB22:BB218),ROW(BB22:BB218),"")))</f>
        <v>20</v>
      </c>
      <c r="BD22" s="12">
        <f>IF('Données projet'!$A$88&gt;35,BD21+BC22-BL21,IF(A22&lt;'Données projet'!$A$88,$BA$205^A22,IF(A22='Données projet'!$A$88,'Données projet'!$B$88,BD21+BC22-BL21)))</f>
        <v>171</v>
      </c>
      <c r="BE22" s="13">
        <f>BD22*VLOOKUP('Données projet'!$B$11,Paramètres!$A$1:$I$89,3,0)*VLOOKUP('Données projet'!$B$11,Paramètres!$A$1:$I$89,5,0)</f>
        <v>102.258</v>
      </c>
      <c r="BF22" s="13">
        <f t="shared" si="37"/>
        <v>27.499233847895859</v>
      </c>
      <c r="BG22" s="20">
        <f t="shared" si="7"/>
        <v>225.99384895175194</v>
      </c>
      <c r="BH22" s="59">
        <f t="shared" si="8"/>
        <v>519.3271822850852</v>
      </c>
      <c r="BI22" s="59">
        <f ca="1">AVERAGE(OFFSET($BH$3,0,0,'Données projet'!$E$11+1,1))-AVERAGE(OFFSET($H$3,0,0,'Données projet'!$E$11+1,1))</f>
        <v>137.97244371990928</v>
      </c>
      <c r="BJ22" s="59">
        <f t="shared" si="38"/>
        <v>340.50331317844757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3.6884916480878176</v>
      </c>
      <c r="BQ22" s="21">
        <f>EXP(-LN(2)/25)*BQ21+(1-EXP(-LN(2)/25))/(LN(2)/25)*Calculateur!BL22*Calculateur!BN22*VLOOKUP('Données projet'!$B$11,Paramètres!$A$1:$I$89,3,0)*0.475*44/12</f>
        <v>10.848657923482529</v>
      </c>
      <c r="BR22" s="21">
        <f>EXP(-LN(2)/2)*BR21+(1-EXP(-LN(2)/2))/(LN(2)/2)*BL22*BO22*VLOOKUP('Données projet'!$B$11,Paramètres!$A$1:$I$89,3,0)*0.475*44/12</f>
        <v>2.0347481177700364</v>
      </c>
      <c r="BS22" s="22">
        <f t="shared" si="9"/>
        <v>16.571897689340382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31.52386201022027</v>
      </c>
      <c r="CA22" s="13">
        <f t="shared" si="39"/>
        <v>9.7218710074397983</v>
      </c>
      <c r="CB22" s="20">
        <f t="shared" si="10"/>
        <v>71.836318339091292</v>
      </c>
      <c r="CC22" s="59">
        <f t="shared" si="11"/>
        <v>365.16965167242461</v>
      </c>
      <c r="CD22" s="59">
        <f ca="1">AVERAGE(OFFSET($CC$3,0,0,'Données projet'!$E$12+1,1))-AVERAGE(OFFSET($H$3,0,0,'Données projet'!$E$12+1,1))</f>
        <v>216.16148211123436</v>
      </c>
      <c r="CE22" s="59">
        <f t="shared" si="40"/>
        <v>132.59131750490178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18.096000000000004</v>
      </c>
      <c r="D23" s="11">
        <f t="shared" si="32"/>
        <v>5.9532214687411624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185.64311309203708</v>
      </c>
      <c r="H23" s="66">
        <f t="shared" si="1"/>
        <v>335.21906072472416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226</v>
      </c>
      <c r="L23" s="12">
        <f>VLOOKUP(A23,'Données projet'!$A$35:$I$55,9,0)</f>
        <v>23.6</v>
      </c>
      <c r="M23" s="12">
        <f t="array" ref="M23">INDEX(L:L,MIN(IF(ISNUMBER(L23:L219),ROW(L23:L219),"")))</f>
        <v>23.6</v>
      </c>
      <c r="N23" s="13">
        <f>IF('Données projet'!$A$36&gt;35,N22+M23-V22,IF(A23&lt;'Données projet'!$A$36,$K$205^A23,IF(A23='Données projet'!$A$36,'Données projet'!$B$36,N22+M23-V22)))</f>
        <v>225.99999999999997</v>
      </c>
      <c r="O23" s="13">
        <f>N23*VLOOKUP('Données projet'!$B$9,Paramètres!$A$1:$I$89,3,0)*VLOOKUP('Données projet'!$B$9,Paramètres!$A$1:$I$89,5,0)</f>
        <v>135.148</v>
      </c>
      <c r="P23" s="13">
        <f t="shared" si="33"/>
        <v>35.183208974998173</v>
      </c>
      <c r="Q23" s="20">
        <f t="shared" si="2"/>
        <v>296.66018896478846</v>
      </c>
      <c r="R23" s="59">
        <f t="shared" si="0"/>
        <v>589.99352229812177</v>
      </c>
      <c r="S23" s="59">
        <f ca="1">AVERAGE(OFFSET($R$3,0,0,'Données projet'!$E$9+1,1))-AVERAGE(OFFSET($H$3,0,0,'Données projet'!$E$9+1,1))</f>
        <v>443.63756287217456</v>
      </c>
      <c r="T23" s="59">
        <f t="shared" si="34"/>
        <v>384.990641425788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0.45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24.890105422326002</v>
      </c>
      <c r="AB23" s="21">
        <f>EXP(-LN(2)/2)*AB22+(1-EXP(-LN(2)/2))/(LN(2)/2)*V23*Y23*VLOOKUP('Données projet'!$B$9,Paramètres!$A$1:$I$89,3,0)*0.475*44/12</f>
        <v>2.5135123807747521</v>
      </c>
      <c r="AC23" s="22">
        <f t="shared" si="3"/>
        <v>27.403617803100754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192</v>
      </c>
      <c r="AG23" s="12">
        <f>VLOOKUP(A23,'Données projet'!$A$61:$I$81,9,0)</f>
        <v>21</v>
      </c>
      <c r="AH23" s="12">
        <f t="array" ref="AH23">INDEX(AG:AG,MIN(IF(ISNUMBER(AG23:AG219),ROW(AG23:AG219),"")))</f>
        <v>21</v>
      </c>
      <c r="AI23" s="13">
        <f>IF('Données projet'!$A$62&gt;35,AI22+AH23-AQ22,IF(A23&lt;'Données projet'!$A$62,$AF$205^A23,IF(A23='Données projet'!$A$62,'Données projet'!$B$62,AI22+AH23-AQ22)))</f>
        <v>192</v>
      </c>
      <c r="AJ23" s="13">
        <f>AI23*VLOOKUP('Données projet'!$B$10,Paramètres!$A$1:$I$89,3,0)*VLOOKUP('Données projet'!$B$10,Paramètres!$A$1:$I$89,5,0)</f>
        <v>114.81600000000002</v>
      </c>
      <c r="AK23" s="13">
        <f t="shared" si="35"/>
        <v>30.462826482209831</v>
      </c>
      <c r="AL23" s="20">
        <f t="shared" si="4"/>
        <v>253.02728945651543</v>
      </c>
      <c r="AM23" s="59">
        <f t="shared" si="5"/>
        <v>546.36062278984878</v>
      </c>
      <c r="AN23" s="59">
        <f ca="1">AVERAGE(OFFSET($AM$3,0,0,'Données projet'!$E$10+1,1))-AVERAGE(OFFSET($H$3,0,0,'Données projet'!$E$10+1,1))</f>
        <v>137.97244371990928</v>
      </c>
      <c r="AO23" s="59">
        <f t="shared" si="36"/>
        <v>340.50331317844757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3.6161625766265759</v>
      </c>
      <c r="AV23" s="21">
        <f>EXP(-LN(2)/25)*AV22+(1-EXP(-LN(2)/25))/(LN(2)/25)*Calculateur!AQ23*Calculateur!AS23*VLOOKUP('Données projet'!$B$10,Paramètres!$A$1:$I$89,3,0)*0.475*44/12</f>
        <v>10.552000802058775</v>
      </c>
      <c r="AW23" s="21">
        <f>EXP(-LN(2)/2)*AW22+(1-EXP(-LN(2)/2))/(LN(2)/2)*AQ23*AT23*VLOOKUP('Données projet'!$B$10,Paramètres!$A$1:$I$89,3,0)*0.475*44/12</f>
        <v>1.4387841920817566</v>
      </c>
      <c r="AX23" s="21">
        <f t="shared" si="6"/>
        <v>15.606947570767106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192</v>
      </c>
      <c r="BB23" s="12">
        <f>VLOOKUP(A23,'Données projet'!$A$87:$I$107,9,0)</f>
        <v>21</v>
      </c>
      <c r="BC23" s="12">
        <f t="array" ref="BC23">INDEX(BB:BB,MIN(IF(ISNUMBER(BB23:BB219),ROW(BB23:BB219),"")))</f>
        <v>21</v>
      </c>
      <c r="BD23" s="12">
        <f>IF('Données projet'!$A$88&gt;35,BD22+BC23-BL22,IF(A23&lt;'Données projet'!$A$88,$BA$205^A23,IF(A23='Données projet'!$A$88,'Données projet'!$B$88,BD22+BC23-BL22)))</f>
        <v>192</v>
      </c>
      <c r="BE23" s="13">
        <f>BD23*VLOOKUP('Données projet'!$B$11,Paramètres!$A$1:$I$89,3,0)*VLOOKUP('Données projet'!$B$11,Paramètres!$A$1:$I$89,5,0)</f>
        <v>114.81600000000002</v>
      </c>
      <c r="BF23" s="13">
        <f t="shared" si="37"/>
        <v>30.462826482209831</v>
      </c>
      <c r="BG23" s="20">
        <f t="shared" si="7"/>
        <v>253.02728945651543</v>
      </c>
      <c r="BH23" s="59">
        <f t="shared" si="8"/>
        <v>546.36062278984878</v>
      </c>
      <c r="BI23" s="59">
        <f ca="1">AVERAGE(OFFSET($BH$3,0,0,'Données projet'!$E$11+1,1))-AVERAGE(OFFSET($H$3,0,0,'Données projet'!$E$11+1,1))</f>
        <v>137.97244371990928</v>
      </c>
      <c r="BJ23" s="59">
        <f t="shared" si="38"/>
        <v>340.50331317844757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3.6161625766265759</v>
      </c>
      <c r="BQ23" s="21">
        <f>EXP(-LN(2)/25)*BQ22+(1-EXP(-LN(2)/25))/(LN(2)/25)*Calculateur!BL23*Calculateur!BN23*VLOOKUP('Données projet'!$B$11,Paramètres!$A$1:$I$89,3,0)*0.475*44/12</f>
        <v>10.552000802058775</v>
      </c>
      <c r="BR23" s="21">
        <f>EXP(-LN(2)/2)*BR22+(1-EXP(-LN(2)/2))/(LN(2)/2)*BL23*BO23*VLOOKUP('Données projet'!$B$11,Paramètres!$A$1:$I$89,3,0)*0.475*44/12</f>
        <v>1.4387841920817566</v>
      </c>
      <c r="BS23" s="22">
        <f t="shared" si="9"/>
        <v>15.606947570767106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38.001600000000003</v>
      </c>
      <c r="CA23" s="13">
        <f t="shared" si="39"/>
        <v>11.467401227090512</v>
      </c>
      <c r="CB23" s="20">
        <f t="shared" si="10"/>
        <v>86.158510470515978</v>
      </c>
      <c r="CC23" s="59">
        <f t="shared" si="11"/>
        <v>379.49184380384929</v>
      </c>
      <c r="CD23" s="59">
        <f ca="1">AVERAGE(OFFSET($CC$3,0,0,'Données projet'!$E$12+1,1))-AVERAGE(OFFSET($H$3,0,0,'Données projet'!$E$12+1,1))</f>
        <v>216.16148211123436</v>
      </c>
      <c r="CE23" s="59">
        <f t="shared" si="40"/>
        <v>132.59131750490178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19.000800000000005</v>
      </c>
      <c r="D24" s="11">
        <f t="shared" si="32"/>
        <v>6.2154833000252001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194.65201143879105</v>
      </c>
      <c r="H24" s="66">
        <f t="shared" si="1"/>
        <v>337.25169341421054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25</v>
      </c>
      <c r="N24" s="13">
        <f>IF('Données projet'!$A$36&gt;35,N23+M24-V23,IF(A24&lt;'Données projet'!$A$36,$K$205^A24,IF(A24='Données projet'!$A$36,'Données projet'!$B$36,N23+M24-V23)))</f>
        <v>180.99999999999997</v>
      </c>
      <c r="O24" s="13">
        <f>N24*VLOOKUP('Données projet'!$B$9,Paramètres!$A$1:$I$89,3,0)*VLOOKUP('Données projet'!$B$9,Paramètres!$A$1:$I$89,5,0)</f>
        <v>108.23799999999999</v>
      </c>
      <c r="P24" s="13">
        <f t="shared" si="33"/>
        <v>28.915454284197679</v>
      </c>
      <c r="Q24" s="20">
        <f t="shared" si="2"/>
        <v>238.8755995449776</v>
      </c>
      <c r="R24" s="59">
        <f t="shared" si="0"/>
        <v>532.20893287831086</v>
      </c>
      <c r="S24" s="59">
        <f ca="1">AVERAGE(OFFSET($R$3,0,0,'Données projet'!$E$9+1,1))-AVERAGE(OFFSET($H$3,0,0,'Données projet'!$E$9+1,1))</f>
        <v>443.63756287217456</v>
      </c>
      <c r="T24" s="59">
        <f t="shared" si="34"/>
        <v>384.990641425788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24.209484180638739</v>
      </c>
      <c r="AB24" s="21">
        <f>EXP(-LN(2)/2)*AB23+(1-EXP(-LN(2)/2))/(LN(2)/2)*V24*Y24*VLOOKUP('Données projet'!$B$9,Paramètres!$A$1:$I$89,3,0)*0.475*44/12</f>
        <v>1.7773216490421708</v>
      </c>
      <c r="AC24" s="22">
        <f t="shared" si="3"/>
        <v>25.986805829680911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212</v>
      </c>
      <c r="AG24" s="12">
        <f>VLOOKUP(A24,'Données projet'!$A$61:$I$81,9,0)</f>
        <v>20</v>
      </c>
      <c r="AH24" s="12">
        <f t="array" ref="AH24">INDEX(AG:AG,MIN(IF(ISNUMBER(AG24:AG220),ROW(AG24:AG220),"")))</f>
        <v>20</v>
      </c>
      <c r="AI24" s="13">
        <f>IF('Données projet'!$A$62&gt;35,AI23+AH24-AQ23,IF(A24&lt;'Données projet'!$A$62,$AF$205^A24,IF(A24='Données projet'!$A$62,'Données projet'!$B$62,AI23+AH24-AQ23)))</f>
        <v>212</v>
      </c>
      <c r="AJ24" s="13">
        <f>AI24*VLOOKUP('Données projet'!$B$10,Paramètres!$A$1:$I$89,3,0)*VLOOKUP('Données projet'!$B$10,Paramètres!$A$1:$I$89,5,0)</f>
        <v>126.77600000000002</v>
      </c>
      <c r="AK24" s="13">
        <f t="shared" si="35"/>
        <v>33.250302273150254</v>
      </c>
      <c r="AL24" s="20">
        <f t="shared" si="4"/>
        <v>278.7124764590701</v>
      </c>
      <c r="AM24" s="59">
        <f t="shared" si="5"/>
        <v>572.04580979240336</v>
      </c>
      <c r="AN24" s="59">
        <f ca="1">AVERAGE(OFFSET($AM$3,0,0,'Données projet'!$E$10+1,1))-AVERAGE(OFFSET($H$3,0,0,'Données projet'!$E$10+1,1))</f>
        <v>137.97244371990928</v>
      </c>
      <c r="AO24" s="59">
        <f t="shared" si="36"/>
        <v>340.50331317844757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3.5452518341403114</v>
      </c>
      <c r="AV24" s="21">
        <f>EXP(-LN(2)/25)*AV23+(1-EXP(-LN(2)/25))/(LN(2)/25)*Calculateur!AQ24*Calculateur!AS24*VLOOKUP('Données projet'!$B$10,Paramètres!$A$1:$I$89,3,0)*0.475*44/12</f>
        <v>10.263455785220872</v>
      </c>
      <c r="AW24" s="21">
        <f>EXP(-LN(2)/2)*AW23+(1-EXP(-LN(2)/2))/(LN(2)/2)*AQ24*AT24*VLOOKUP('Données projet'!$B$10,Paramètres!$A$1:$I$89,3,0)*0.475*44/12</f>
        <v>1.0173740588850182</v>
      </c>
      <c r="AX24" s="21">
        <f t="shared" si="6"/>
        <v>14.826081678246201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212</v>
      </c>
      <c r="BB24" s="12">
        <f>VLOOKUP(A24,'Données projet'!$A$87:$I$107,9,0)</f>
        <v>20</v>
      </c>
      <c r="BC24" s="12">
        <f t="array" ref="BC24">INDEX(BB:BB,MIN(IF(ISNUMBER(BB24:BB220),ROW(BB24:BB220),"")))</f>
        <v>20</v>
      </c>
      <c r="BD24" s="12">
        <f>IF('Données projet'!$A$88&gt;35,BD23+BC24-BL23,IF(A24&lt;'Données projet'!$A$88,$BA$205^A24,IF(A24='Données projet'!$A$88,'Données projet'!$B$88,BD23+BC24-BL23)))</f>
        <v>212</v>
      </c>
      <c r="BE24" s="13">
        <f>BD24*VLOOKUP('Données projet'!$B$11,Paramètres!$A$1:$I$89,3,0)*VLOOKUP('Données projet'!$B$11,Paramètres!$A$1:$I$89,5,0)</f>
        <v>126.77600000000002</v>
      </c>
      <c r="BF24" s="13">
        <f t="shared" si="37"/>
        <v>33.250302273150254</v>
      </c>
      <c r="BG24" s="20">
        <f t="shared" si="7"/>
        <v>278.7124764590701</v>
      </c>
      <c r="BH24" s="59">
        <f t="shared" si="8"/>
        <v>572.04580979240336</v>
      </c>
      <c r="BI24" s="59">
        <f ca="1">AVERAGE(OFFSET($BH$3,0,0,'Données projet'!$E$11+1,1))-AVERAGE(OFFSET($H$3,0,0,'Données projet'!$E$11+1,1))</f>
        <v>137.97244371990928</v>
      </c>
      <c r="BJ24" s="59">
        <f t="shared" si="38"/>
        <v>340.50331317844757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3.5452518341403114</v>
      </c>
      <c r="BQ24" s="21">
        <f>EXP(-LN(2)/25)*BQ23+(1-EXP(-LN(2)/25))/(LN(2)/25)*Calculateur!BL24*Calculateur!BN24*VLOOKUP('Données projet'!$B$11,Paramètres!$A$1:$I$89,3,0)*0.475*44/12</f>
        <v>10.263455785220872</v>
      </c>
      <c r="BR24" s="21">
        <f>EXP(-LN(2)/2)*BR23+(1-EXP(-LN(2)/2))/(LN(2)/2)*BL24*BO24*VLOOKUP('Données projet'!$B$11,Paramètres!$A$1:$I$89,3,0)*0.475*44/12</f>
        <v>1.0173740588850182</v>
      </c>
      <c r="BS24" s="22">
        <f t="shared" si="9"/>
        <v>14.826081678246201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5.6</v>
      </c>
      <c r="BY24" s="12">
        <f>IF('Données projet'!$A$114&gt;35,BY23+BX24-CG23,IF(A24&lt;'Données projet'!$A$114,$BV$205^A24,IF(A24='Données projet'!$A$114,'Données projet'!$B$114,BY23+BX24-CG23)))</f>
        <v>47.6</v>
      </c>
      <c r="BZ24" s="13">
        <f>BY24*VLOOKUP('Données projet'!$B$12,Paramètres!$A$1:$I$89,3,0)*VLOOKUP('Données projet'!$B$12,Paramètres!$A$1:$I$89,5,0)</f>
        <v>43.068480000000001</v>
      </c>
      <c r="CA24" s="13">
        <f t="shared" si="39"/>
        <v>12.808416415102187</v>
      </c>
      <c r="CB24" s="20">
        <f t="shared" si="10"/>
        <v>97.318927922969635</v>
      </c>
      <c r="CC24" s="59">
        <f t="shared" si="11"/>
        <v>390.65226125630295</v>
      </c>
      <c r="CD24" s="59">
        <f ca="1">AVERAGE(OFFSET($CC$3,0,0,'Données projet'!$E$12+1,1))-AVERAGE(OFFSET($H$3,0,0,'Données projet'!$E$12+1,1))</f>
        <v>216.16148211123436</v>
      </c>
      <c r="CE24" s="59">
        <f t="shared" si="40"/>
        <v>132.59131750490178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19.905600000000007</v>
      </c>
      <c r="D25" s="11">
        <f t="shared" si="32"/>
        <v>6.4762948940833889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203.64971497187184</v>
      </c>
      <c r="H25" s="66">
        <f t="shared" si="1"/>
        <v>339.2818002738619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25</v>
      </c>
      <c r="N25" s="13">
        <f>IF('Données projet'!$A$36&gt;35,N24+M25-V24,IF(A25&lt;'Données projet'!$A$36,$K$205^A25,IF(A25='Données projet'!$A$36,'Données projet'!$B$36,N24+M25-V24)))</f>
        <v>205.99999999999997</v>
      </c>
      <c r="O25" s="13">
        <f>N25*VLOOKUP('Données projet'!$B$9,Paramètres!$A$1:$I$89,3,0)*VLOOKUP('Données projet'!$B$9,Paramètres!$A$1:$I$89,5,0)</f>
        <v>123.18799999999999</v>
      </c>
      <c r="P25" s="13">
        <f t="shared" si="33"/>
        <v>32.417409489939047</v>
      </c>
      <c r="Q25" s="20">
        <f t="shared" si="2"/>
        <v>271.01275486164383</v>
      </c>
      <c r="R25" s="59">
        <f t="shared" si="0"/>
        <v>564.34608819497714</v>
      </c>
      <c r="S25" s="59">
        <f ca="1">AVERAGE(OFFSET($R$3,0,0,'Données projet'!$E$9+1,1))-AVERAGE(OFFSET($H$3,0,0,'Données projet'!$E$9+1,1))</f>
        <v>443.63756287217456</v>
      </c>
      <c r="T25" s="59">
        <f t="shared" si="34"/>
        <v>384.990641425788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23.547474562597731</v>
      </c>
      <c r="AB25" s="21">
        <f>EXP(-LN(2)/2)*AB24+(1-EXP(-LN(2)/2))/(LN(2)/2)*V25*Y25*VLOOKUP('Données projet'!$B$9,Paramètres!$A$1:$I$89,3,0)*0.475*44/12</f>
        <v>1.2567561903873763</v>
      </c>
      <c r="AC25" s="22">
        <f t="shared" si="3"/>
        <v>24.804230752985106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20</v>
      </c>
      <c r="AH25" s="12">
        <f t="array" ref="AH25">INDEX(AG:AG,MIN(IF(ISNUMBER(AG25:AG221),ROW(AG25:AG221),"")))</f>
        <v>20</v>
      </c>
      <c r="AI25" s="13">
        <f>IF('Données projet'!$A$62&gt;35,AI24+AH25-AQ24,IF(A25&lt;'Données projet'!$A$62,$AF$205^A25,IF(A25='Données projet'!$A$62,'Données projet'!$B$62,AI24+AH25-AQ24)))</f>
        <v>232</v>
      </c>
      <c r="AJ25" s="13">
        <f>AI25*VLOOKUP('Données projet'!$B$10,Paramètres!$A$1:$I$89,3,0)*VLOOKUP('Données projet'!$B$10,Paramètres!$A$1:$I$89,5,0)</f>
        <v>138.73599999999999</v>
      </c>
      <c r="AK25" s="13">
        <f t="shared" si="35"/>
        <v>36.007288175538044</v>
      </c>
      <c r="AL25" s="20">
        <f t="shared" si="4"/>
        <v>304.34456023906205</v>
      </c>
      <c r="AM25" s="59">
        <f t="shared" si="5"/>
        <v>597.67789357239531</v>
      </c>
      <c r="AN25" s="59">
        <f ca="1">AVERAGE(OFFSET($AM$3,0,0,'Données projet'!$E$10+1,1))-AVERAGE(OFFSET($H$3,0,0,'Données projet'!$E$10+1,1))</f>
        <v>137.97244371990928</v>
      </c>
      <c r="AO25" s="59">
        <f t="shared" si="36"/>
        <v>340.50331317844757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0.27</v>
      </c>
      <c r="AS25" s="16">
        <f>IF(ISNA(VLOOKUP(A25,'Données projet'!$A$61:$I$81,6,0)),0%,VLOOKUP(A25,'Données projet'!$A$61:$I$81,6,0)*VLOOKUP('Données projet'!$B$10,Paramètres!$A$1:$I$89,7,0))</f>
        <v>0.18000000000000002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15.47020903867794</v>
      </c>
      <c r="AV25" s="21">
        <f>EXP(-LN(2)/25)*AV24+(1-EXP(-LN(2)/25))/(LN(2)/25)*Calculateur!AQ25*Calculateur!AS25*VLOOKUP('Données projet'!$B$10,Paramètres!$A$1:$I$89,3,0)*0.475*44/12</f>
        <v>17.947634782186647</v>
      </c>
      <c r="AW25" s="21">
        <f>EXP(-LN(2)/2)*AW24+(1-EXP(-LN(2)/2))/(LN(2)/2)*AQ25*AT25*VLOOKUP('Données projet'!$B$10,Paramètres!$A$1:$I$89,3,0)*0.475*44/12</f>
        <v>0.71939209604087828</v>
      </c>
      <c r="AX25" s="21">
        <f t="shared" si="6"/>
        <v>34.137235916905468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>
        <f>VLOOKUP(A25,'Données projet'!$A$87:$I$107,2,0)</f>
        <v>232</v>
      </c>
      <c r="BB25" s="12">
        <f>VLOOKUP(A25,'Données projet'!$A$87:$I$107,9,0)</f>
        <v>20</v>
      </c>
      <c r="BC25" s="12">
        <f t="array" ref="BC25">INDEX(BB:BB,MIN(IF(ISNUMBER(BB25:BB221),ROW(BB25:BB221),"")))</f>
        <v>20</v>
      </c>
      <c r="BD25" s="12">
        <f>IF('Données projet'!$A$88&gt;35,BD24+BC25-BL24,IF(A25&lt;'Données projet'!$A$88,$BA$205^A25,IF(A25='Données projet'!$A$88,'Données projet'!$B$88,BD24+BC25-BL24)))</f>
        <v>232</v>
      </c>
      <c r="BE25" s="13">
        <f>BD25*VLOOKUP('Données projet'!$B$11,Paramètres!$A$1:$I$89,3,0)*VLOOKUP('Données projet'!$B$11,Paramètres!$A$1:$I$89,5,0)</f>
        <v>138.73599999999999</v>
      </c>
      <c r="BF25" s="13">
        <f t="shared" si="37"/>
        <v>36.007288175538044</v>
      </c>
      <c r="BG25" s="20">
        <f t="shared" si="7"/>
        <v>304.34456023906205</v>
      </c>
      <c r="BH25" s="59">
        <f t="shared" si="8"/>
        <v>597.67789357239531</v>
      </c>
      <c r="BI25" s="59">
        <f ca="1">AVERAGE(OFFSET($BH$3,0,0,'Données projet'!$E$11+1,1))-AVERAGE(OFFSET($H$3,0,0,'Données projet'!$E$11+1,1))</f>
        <v>137.97244371990928</v>
      </c>
      <c r="BJ25" s="59">
        <f t="shared" si="38"/>
        <v>340.50331317844757</v>
      </c>
      <c r="BK25" s="15">
        <f>IF(ISNA(VLOOKUP(A25,'Données projet'!$A$87:$I$107,3,0)),0,VLOOKUP(A25,'Données projet'!$A$87:$I$107,3,0))</f>
        <v>3</v>
      </c>
      <c r="BL25" s="15">
        <f>IF(ISNA(VLOOKUP(A25,'Données projet'!$A$87:$I$107,4,0)),0,VLOOKUP(A25,'Données projet'!$A$87:$I$107,4,0))</f>
        <v>56</v>
      </c>
      <c r="BM25" s="16">
        <f>IF(ISNA(VLOOKUP(A25,'Données projet'!$A$87:$I$107,5,0)),0%,VLOOKUP(A25,'Données projet'!$A$87:$I$107,5,0)*VLOOKUP('Données projet'!$B$11,Paramètres!$A$1:$I$89,7,0))</f>
        <v>0.27</v>
      </c>
      <c r="BN25" s="16">
        <f>IF(ISNA(VLOOKUP(A25,'Données projet'!$A$87:$I$107,6,0)),0%,VLOOKUP(A25,'Données projet'!$A$87:$I$107,6,0)*VLOOKUP('Données projet'!$B$11,Paramètres!$A$1:$I$89,7,0))</f>
        <v>0.18000000000000002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15.47020903867794</v>
      </c>
      <c r="BQ25" s="21">
        <f>EXP(-LN(2)/25)*BQ24+(1-EXP(-LN(2)/25))/(LN(2)/25)*Calculateur!BL25*Calculateur!BN25*VLOOKUP('Données projet'!$B$11,Paramètres!$A$1:$I$89,3,0)*0.475*44/12</f>
        <v>17.947634782186647</v>
      </c>
      <c r="BR25" s="21">
        <f>EXP(-LN(2)/2)*BR24+(1-EXP(-LN(2)/2))/(LN(2)/2)*BL25*BO25*VLOOKUP('Données projet'!$B$11,Paramètres!$A$1:$I$89,3,0)*0.475*44/12</f>
        <v>0.71939209604087828</v>
      </c>
      <c r="BS25" s="22">
        <f t="shared" si="9"/>
        <v>34.137235916905468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5.6</v>
      </c>
      <c r="BY25" s="12">
        <f>IF('Données projet'!$A$114&gt;35,BY24+BX25-CG24,IF(A25&lt;'Données projet'!$A$114,$BV$205^A25,IF(A25='Données projet'!$A$114,'Données projet'!$B$114,BY24+BX25-CG24)))</f>
        <v>53.2</v>
      </c>
      <c r="BZ25" s="13">
        <f>BY25*VLOOKUP('Données projet'!$B$12,Paramètres!$A$1:$I$89,3,0)*VLOOKUP('Données projet'!$B$12,Paramètres!$A$1:$I$89,5,0)</f>
        <v>48.135359999999999</v>
      </c>
      <c r="CA25" s="13">
        <f t="shared" si="39"/>
        <v>14.131148275361113</v>
      </c>
      <c r="CB25" s="20">
        <f t="shared" si="10"/>
        <v>108.4475019129206</v>
      </c>
      <c r="CC25" s="59">
        <f t="shared" si="11"/>
        <v>401.7808352462539</v>
      </c>
      <c r="CD25" s="59">
        <f ca="1">AVERAGE(OFFSET($CC$3,0,0,'Données projet'!$E$12+1,1))-AVERAGE(OFFSET($H$3,0,0,'Données projet'!$E$12+1,1))</f>
        <v>216.16148211123436</v>
      </c>
      <c r="CE25" s="59">
        <f t="shared" si="40"/>
        <v>132.59131750490178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20.810400000000008</v>
      </c>
      <c r="D26" s="11">
        <f t="shared" si="32"/>
        <v>6.7357297012034678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212.63679067595663</v>
      </c>
      <c r="H26" s="66">
        <f t="shared" si="1"/>
        <v>341.30950922959602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25</v>
      </c>
      <c r="N26" s="13">
        <f>IF('Données projet'!$A$36&gt;35,N25+M26-V25,IF(A26&lt;'Données projet'!$A$36,$K$205^A26,IF(A26='Données projet'!$A$36,'Données projet'!$B$36,N25+M26-V25)))</f>
        <v>230.99999999999997</v>
      </c>
      <c r="O26" s="13">
        <f>N26*VLOOKUP('Données projet'!$B$9,Paramètres!$A$1:$I$89,3,0)*VLOOKUP('Données projet'!$B$9,Paramètres!$A$1:$I$89,5,0)</f>
        <v>138.13800000000001</v>
      </c>
      <c r="P26" s="13">
        <f t="shared" si="33"/>
        <v>35.870115614757175</v>
      </c>
      <c r="Q26" s="20">
        <f t="shared" si="2"/>
        <v>303.06413469570208</v>
      </c>
      <c r="R26" s="59">
        <f t="shared" si="0"/>
        <v>596.39746802903539</v>
      </c>
      <c r="S26" s="59">
        <f ca="1">AVERAGE(OFFSET($R$3,0,0,'Données projet'!$E$9+1,1))-AVERAGE(OFFSET($H$3,0,0,'Données projet'!$E$9+1,1))</f>
        <v>443.63756287217456</v>
      </c>
      <c r="T26" s="59">
        <f t="shared" si="34"/>
        <v>384.990641425788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22.903567632375626</v>
      </c>
      <c r="AB26" s="21">
        <f>EXP(-LN(2)/2)*AB25+(1-EXP(-LN(2)/2))/(LN(2)/2)*V26*Y26*VLOOKUP('Données projet'!$B$9,Paramètres!$A$1:$I$89,3,0)*0.475*44/12</f>
        <v>0.88866082452108563</v>
      </c>
      <c r="AC26" s="22">
        <f t="shared" si="3"/>
        <v>23.792228456896712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192</v>
      </c>
      <c r="AG26" s="12">
        <f>VLOOKUP(A26,'Données projet'!$A$61:$I$81,9,0)</f>
        <v>16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192</v>
      </c>
      <c r="AJ26" s="13">
        <f>AI26*VLOOKUP('Données projet'!$B$10,Paramètres!$A$1:$I$89,3,0)*VLOOKUP('Données projet'!$B$10,Paramètres!$A$1:$I$89,5,0)</f>
        <v>114.81600000000002</v>
      </c>
      <c r="AK26" s="13">
        <f t="shared" si="35"/>
        <v>30.462826482209831</v>
      </c>
      <c r="AL26" s="20">
        <f t="shared" si="4"/>
        <v>253.02728945651543</v>
      </c>
      <c r="AM26" s="59">
        <f t="shared" si="5"/>
        <v>546.36062278984878</v>
      </c>
      <c r="AN26" s="59">
        <f ca="1">AVERAGE(OFFSET($AM$3,0,0,'Données projet'!$E$10+1,1))-AVERAGE(OFFSET($H$3,0,0,'Données projet'!$E$10+1,1))</f>
        <v>137.97244371990928</v>
      </c>
      <c r="AO26" s="59">
        <f t="shared" si="36"/>
        <v>340.50331317844757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15.166847675325261</v>
      </c>
      <c r="AV26" s="21">
        <f>EXP(-LN(2)/25)*AV25+(1-EXP(-LN(2)/25))/(LN(2)/25)*Calculateur!AQ26*Calculateur!AS26*VLOOKUP('Données projet'!$B$10,Paramètres!$A$1:$I$89,3,0)*0.475*44/12</f>
        <v>17.456855765242661</v>
      </c>
      <c r="AW26" s="21">
        <f>EXP(-LN(2)/2)*AW25+(1-EXP(-LN(2)/2))/(LN(2)/2)*AQ26*AT26*VLOOKUP('Données projet'!$B$10,Paramètres!$A$1:$I$89,3,0)*0.475*44/12</f>
        <v>0.5086870294425091</v>
      </c>
      <c r="AX26" s="21">
        <f t="shared" si="6"/>
        <v>33.132390470010435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192</v>
      </c>
      <c r="BB26" s="12">
        <f>VLOOKUP(A26,'Données projet'!$A$87:$I$107,9,0)</f>
        <v>16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192</v>
      </c>
      <c r="BE26" s="13">
        <f>BD26*VLOOKUP('Données projet'!$B$11,Paramètres!$A$1:$I$89,3,0)*VLOOKUP('Données projet'!$B$11,Paramètres!$A$1:$I$89,5,0)</f>
        <v>114.81600000000002</v>
      </c>
      <c r="BF26" s="13">
        <f t="shared" si="37"/>
        <v>30.462826482209831</v>
      </c>
      <c r="BG26" s="20">
        <f t="shared" si="7"/>
        <v>253.02728945651543</v>
      </c>
      <c r="BH26" s="59">
        <f t="shared" si="8"/>
        <v>546.36062278984878</v>
      </c>
      <c r="BI26" s="59">
        <f ca="1">AVERAGE(OFFSET($BH$3,0,0,'Données projet'!$E$11+1,1))-AVERAGE(OFFSET($H$3,0,0,'Données projet'!$E$11+1,1))</f>
        <v>137.97244371990928</v>
      </c>
      <c r="BJ26" s="59">
        <f t="shared" si="38"/>
        <v>340.50331317844757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15.166847675325261</v>
      </c>
      <c r="BQ26" s="21">
        <f>EXP(-LN(2)/25)*BQ25+(1-EXP(-LN(2)/25))/(LN(2)/25)*Calculateur!BL26*Calculateur!BN26*VLOOKUP('Données projet'!$B$11,Paramètres!$A$1:$I$89,3,0)*0.475*44/12</f>
        <v>17.456855765242661</v>
      </c>
      <c r="BR26" s="21">
        <f>EXP(-LN(2)/2)*BR25+(1-EXP(-LN(2)/2))/(LN(2)/2)*BL26*BO26*VLOOKUP('Données projet'!$B$11,Paramètres!$A$1:$I$89,3,0)*0.475*44/12</f>
        <v>0.5086870294425091</v>
      </c>
      <c r="BS26" s="22">
        <f t="shared" si="9"/>
        <v>33.132390470010435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5.6</v>
      </c>
      <c r="BY26" s="12">
        <f>IF('Données projet'!$A$114&gt;35,BY25+BX26-CG25,IF(A26&lt;'Données projet'!$A$114,$BV$205^A26,IF(A26='Données projet'!$A$114,'Données projet'!$B$114,BY25+BX26-CG25)))</f>
        <v>58.800000000000004</v>
      </c>
      <c r="BZ26" s="13">
        <f>BY26*VLOOKUP('Données projet'!$B$12,Paramètres!$A$1:$I$89,3,0)*VLOOKUP('Données projet'!$B$12,Paramètres!$A$1:$I$89,5,0)</f>
        <v>53.202240000000003</v>
      </c>
      <c r="CA26" s="13">
        <f t="shared" si="39"/>
        <v>15.437740642425908</v>
      </c>
      <c r="CB26" s="20">
        <f t="shared" si="10"/>
        <v>119.54796628555846</v>
      </c>
      <c r="CC26" s="59">
        <f t="shared" si="11"/>
        <v>412.88129961889177</v>
      </c>
      <c r="CD26" s="59">
        <f ca="1">AVERAGE(OFFSET($CC$3,0,0,'Données projet'!$E$12+1,1))-AVERAGE(OFFSET($H$3,0,0,'Données projet'!$E$12+1,1))</f>
        <v>216.16148211123436</v>
      </c>
      <c r="CE26" s="59">
        <f t="shared" si="40"/>
        <v>132.59131750490178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21.71520000000001</v>
      </c>
      <c r="D27" s="11">
        <f t="shared" si="32"/>
        <v>6.9938544235075604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221.61375344461987</v>
      </c>
      <c r="H27" s="66">
        <f t="shared" si="1"/>
        <v>343.33493645427563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25</v>
      </c>
      <c r="N27" s="13">
        <f>IF('Données projet'!$A$36&gt;35,N26+M27-V26,IF(A27&lt;'Données projet'!$A$36,$K$205^A27,IF(A27='Données projet'!$A$36,'Données projet'!$B$36,N26+M27-V26)))</f>
        <v>255.99999999999997</v>
      </c>
      <c r="O27" s="13">
        <f>N27*VLOOKUP('Données projet'!$B$9,Paramètres!$A$1:$I$89,3,0)*VLOOKUP('Données projet'!$B$9,Paramètres!$A$1:$I$89,5,0)</f>
        <v>153.08799999999999</v>
      </c>
      <c r="P27" s="13">
        <f t="shared" si="33"/>
        <v>39.279510265435114</v>
      </c>
      <c r="Q27" s="20">
        <f t="shared" si="2"/>
        <v>335.04008037896614</v>
      </c>
      <c r="R27" s="59">
        <f t="shared" si="0"/>
        <v>628.37341371229945</v>
      </c>
      <c r="S27" s="59">
        <f ca="1">AVERAGE(OFFSET($R$3,0,0,'Données projet'!$E$9+1,1))-AVERAGE(OFFSET($H$3,0,0,'Données projet'!$E$9+1,1))</f>
        <v>443.63756287217456</v>
      </c>
      <c r="T27" s="59">
        <f t="shared" si="34"/>
        <v>384.990641425788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22.277268371022039</v>
      </c>
      <c r="AB27" s="21">
        <f>EXP(-LN(2)/2)*AB26+(1-EXP(-LN(2)/2))/(LN(2)/2)*V27*Y27*VLOOKUP('Données projet'!$B$9,Paramètres!$A$1:$I$89,3,0)*0.475*44/12</f>
        <v>0.62837809519368826</v>
      </c>
      <c r="AC27" s="22">
        <f t="shared" si="3"/>
        <v>22.905646466215728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209</v>
      </c>
      <c r="AG27" s="12">
        <f>VLOOKUP(A27,'Données projet'!$A$61:$I$81,9,0)</f>
        <v>17</v>
      </c>
      <c r="AH27" s="12">
        <f t="array" ref="AH27">INDEX(AG:AG,MIN(IF(ISNUMBER(AG27:AG223),ROW(AG27:AG223),"")))</f>
        <v>17</v>
      </c>
      <c r="AI27" s="13">
        <f>IF('Données projet'!$A$62&gt;35,AI26+AH27-AQ26,IF(A27&lt;'Données projet'!$A$62,$AF$205^A27,IF(A27='Données projet'!$A$62,'Données projet'!$B$62,AI26+AH27-AQ26)))</f>
        <v>209</v>
      </c>
      <c r="AJ27" s="13">
        <f>AI27*VLOOKUP('Données projet'!$B$10,Paramètres!$A$1:$I$89,3,0)*VLOOKUP('Données projet'!$B$10,Paramètres!$A$1:$I$89,5,0)</f>
        <v>124.982</v>
      </c>
      <c r="AK27" s="13">
        <f t="shared" si="35"/>
        <v>32.834203796212122</v>
      </c>
      <c r="AL27" s="20">
        <f t="shared" si="4"/>
        <v>274.86322161173604</v>
      </c>
      <c r="AM27" s="59">
        <f t="shared" si="5"/>
        <v>568.19655494506935</v>
      </c>
      <c r="AN27" s="59">
        <f ca="1">AVERAGE(OFFSET($AM$3,0,0,'Données projet'!$E$10+1,1))-AVERAGE(OFFSET($H$3,0,0,'Données projet'!$E$10+1,1))</f>
        <v>137.97244371990928</v>
      </c>
      <c r="AO27" s="59">
        <f t="shared" si="36"/>
        <v>340.50331317844757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14.869435043275768</v>
      </c>
      <c r="AV27" s="21">
        <f>EXP(-LN(2)/25)*AV26+(1-EXP(-LN(2)/25))/(LN(2)/25)*Calculateur!AQ27*Calculateur!AS27*VLOOKUP('Données projet'!$B$10,Paramètres!$A$1:$I$89,3,0)*0.475*44/12</f>
        <v>16.979497126325953</v>
      </c>
      <c r="AW27" s="21">
        <f>EXP(-LN(2)/2)*AW26+(1-EXP(-LN(2)/2))/(LN(2)/2)*AQ27*AT27*VLOOKUP('Données projet'!$B$10,Paramètres!$A$1:$I$89,3,0)*0.475*44/12</f>
        <v>0.35969604802043914</v>
      </c>
      <c r="AX27" s="21">
        <f t="shared" si="6"/>
        <v>32.208628217622163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209</v>
      </c>
      <c r="BB27" s="12">
        <f>VLOOKUP(A27,'Données projet'!$A$87:$I$107,9,0)</f>
        <v>17</v>
      </c>
      <c r="BC27" s="12">
        <f t="array" ref="BC27">INDEX(BB:BB,MIN(IF(ISNUMBER(BB27:BB223),ROW(BB27:BB223),"")))</f>
        <v>17</v>
      </c>
      <c r="BD27" s="12">
        <f>IF('Données projet'!$A$88&gt;35,BD26+BC27-BL26,IF(A27&lt;'Données projet'!$A$88,$BA$205^A27,IF(A27='Données projet'!$A$88,'Données projet'!$B$88,BD26+BC27-BL26)))</f>
        <v>209</v>
      </c>
      <c r="BE27" s="13">
        <f>BD27*VLOOKUP('Données projet'!$B$11,Paramètres!$A$1:$I$89,3,0)*VLOOKUP('Données projet'!$B$11,Paramètres!$A$1:$I$89,5,0)</f>
        <v>124.982</v>
      </c>
      <c r="BF27" s="13">
        <f t="shared" si="37"/>
        <v>32.834203796212122</v>
      </c>
      <c r="BG27" s="20">
        <f t="shared" si="7"/>
        <v>274.86322161173604</v>
      </c>
      <c r="BH27" s="59">
        <f t="shared" si="8"/>
        <v>568.19655494506935</v>
      </c>
      <c r="BI27" s="59">
        <f ca="1">AVERAGE(OFFSET($BH$3,0,0,'Données projet'!$E$11+1,1))-AVERAGE(OFFSET($H$3,0,0,'Données projet'!$E$11+1,1))</f>
        <v>137.97244371990928</v>
      </c>
      <c r="BJ27" s="59">
        <f t="shared" si="38"/>
        <v>340.50331317844757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14.869435043275768</v>
      </c>
      <c r="BQ27" s="21">
        <f>EXP(-LN(2)/25)*BQ26+(1-EXP(-LN(2)/25))/(LN(2)/25)*Calculateur!BL27*Calculateur!BN27*VLOOKUP('Données projet'!$B$11,Paramètres!$A$1:$I$89,3,0)*0.475*44/12</f>
        <v>16.979497126325953</v>
      </c>
      <c r="BR27" s="21">
        <f>EXP(-LN(2)/2)*BR26+(1-EXP(-LN(2)/2))/(LN(2)/2)*BL27*BO27*VLOOKUP('Données projet'!$B$11,Paramètres!$A$1:$I$89,3,0)*0.475*44/12</f>
        <v>0.35969604802043914</v>
      </c>
      <c r="BS27" s="22">
        <f t="shared" si="9"/>
        <v>32.208628217622163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5.6</v>
      </c>
      <c r="BY27" s="12">
        <f>IF('Données projet'!$A$114&gt;35,BY26+BX27-CG26,IF(A27&lt;'Données projet'!$A$114,$BV$205^A27,IF(A27='Données projet'!$A$114,'Données projet'!$B$114,BY26+BX27-CG26)))</f>
        <v>64.400000000000006</v>
      </c>
      <c r="BZ27" s="13">
        <f>BY27*VLOOKUP('Données projet'!$B$12,Paramètres!$A$1:$I$89,3,0)*VLOOKUP('Données projet'!$B$12,Paramètres!$A$1:$I$89,5,0)</f>
        <v>58.269120000000008</v>
      </c>
      <c r="CA27" s="13">
        <f t="shared" si="39"/>
        <v>16.729905486873804</v>
      </c>
      <c r="CB27" s="20">
        <f t="shared" si="10"/>
        <v>130.62330272297189</v>
      </c>
      <c r="CC27" s="59">
        <f t="shared" si="11"/>
        <v>423.95663605630523</v>
      </c>
      <c r="CD27" s="59">
        <f ca="1">AVERAGE(OFFSET($CC$3,0,0,'Données projet'!$E$12+1,1))-AVERAGE(OFFSET($H$3,0,0,'Données projet'!$E$12+1,1))</f>
        <v>216.16148211123436</v>
      </c>
      <c r="CE27" s="59">
        <f t="shared" si="40"/>
        <v>132.59131750490178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22.620000000000012</v>
      </c>
      <c r="D28" s="11">
        <f t="shared" si="32"/>
        <v>7.2507298901297039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230.58107283608908</v>
      </c>
      <c r="H28" s="66">
        <f t="shared" si="1"/>
        <v>345.35818789197589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281</v>
      </c>
      <c r="L28" s="12">
        <f>VLOOKUP(A28,'Données projet'!$A$35:$I$55,9,0)</f>
        <v>25</v>
      </c>
      <c r="M28" s="12">
        <f t="array" ref="M28">INDEX(L:L,MIN(IF(ISNUMBER(L28:L224),ROW(L28:L224),"")))</f>
        <v>25</v>
      </c>
      <c r="N28" s="13">
        <f>IF('Données projet'!$A$36&gt;35,N27+M28-V27,IF(A28&lt;'Données projet'!$A$36,$K$205^A28,IF(A28='Données projet'!$A$36,'Données projet'!$B$36,N27+M28-V27)))</f>
        <v>281</v>
      </c>
      <c r="O28" s="13">
        <f>N28*VLOOKUP('Données projet'!$B$9,Paramètres!$A$1:$I$89,3,0)*VLOOKUP('Données projet'!$B$9,Paramètres!$A$1:$I$89,5,0)</f>
        <v>168.03800000000004</v>
      </c>
      <c r="P28" s="13">
        <f t="shared" si="33"/>
        <v>42.650304418351887</v>
      </c>
      <c r="Q28" s="20">
        <f t="shared" si="2"/>
        <v>366.94879686196288</v>
      </c>
      <c r="R28" s="59">
        <f t="shared" si="0"/>
        <v>660.28213019529619</v>
      </c>
      <c r="S28" s="59">
        <f ca="1">AVERAGE(OFFSET($R$3,0,0,'Données projet'!$E$9+1,1))-AVERAGE(OFFSET($H$3,0,0,'Données projet'!$E$9+1,1))</f>
        <v>443.63756287217456</v>
      </c>
      <c r="T28" s="59">
        <f t="shared" si="34"/>
        <v>384.990641425788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70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0.45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46.558200718231816</v>
      </c>
      <c r="AB28" s="21">
        <f>EXP(-LN(2)/2)*AB27+(1-EXP(-LN(2)/2))/(LN(2)/2)*V28*Y28*VLOOKUP('Données projet'!$B$9,Paramètres!$A$1:$I$89,3,0)*0.475*44/12</f>
        <v>0.44433041226054287</v>
      </c>
      <c r="AC28" s="22">
        <f t="shared" si="3"/>
        <v>47.002531130492358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226</v>
      </c>
      <c r="AG28" s="12">
        <f>VLOOKUP(A28,'Données projet'!$A$61:$I$81,9,0)</f>
        <v>17</v>
      </c>
      <c r="AH28" s="12">
        <f t="array" ref="AH28">INDEX(AG:AG,MIN(IF(ISNUMBER(AG28:AG224),ROW(AG28:AG224),"")))</f>
        <v>17</v>
      </c>
      <c r="AI28" s="13">
        <f>IF('Données projet'!$A$62&gt;35,AI27+AH28-AQ27,IF(A28&lt;'Données projet'!$A$62,$AF$205^A28,IF(A28='Données projet'!$A$62,'Données projet'!$B$62,AI27+AH28-AQ27)))</f>
        <v>226</v>
      </c>
      <c r="AJ28" s="13">
        <f>AI28*VLOOKUP('Données projet'!$B$10,Paramètres!$A$1:$I$89,3,0)*VLOOKUP('Données projet'!$B$10,Paramètres!$A$1:$I$89,5,0)</f>
        <v>135.14800000000002</v>
      </c>
      <c r="AK28" s="13">
        <f t="shared" si="35"/>
        <v>35.183208974998173</v>
      </c>
      <c r="AL28" s="20">
        <f t="shared" si="4"/>
        <v>296.66018896478852</v>
      </c>
      <c r="AM28" s="59">
        <f t="shared" si="5"/>
        <v>589.99352229812189</v>
      </c>
      <c r="AN28" s="59">
        <f ca="1">AVERAGE(OFFSET($AM$3,0,0,'Données projet'!$E$10+1,1))-AVERAGE(OFFSET($H$3,0,0,'Données projet'!$E$10+1,1))</f>
        <v>137.97244371990928</v>
      </c>
      <c r="AO28" s="59">
        <f t="shared" si="36"/>
        <v>340.50331317844757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14.577854491536971</v>
      </c>
      <c r="AV28" s="21">
        <f>EXP(-LN(2)/25)*AV27+(1-EXP(-LN(2)/25))/(LN(2)/25)*Calculateur!AQ28*Calculateur!AS28*VLOOKUP('Données projet'!$B$10,Paramètres!$A$1:$I$89,3,0)*0.475*44/12</f>
        <v>16.515191884493621</v>
      </c>
      <c r="AW28" s="21">
        <f>EXP(-LN(2)/2)*AW27+(1-EXP(-LN(2)/2))/(LN(2)/2)*AQ28*AT28*VLOOKUP('Données projet'!$B$10,Paramètres!$A$1:$I$89,3,0)*0.475*44/12</f>
        <v>0.25434351472125455</v>
      </c>
      <c r="AX28" s="21">
        <f t="shared" si="6"/>
        <v>31.347389890751849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226</v>
      </c>
      <c r="BB28" s="12">
        <f>VLOOKUP(A28,'Données projet'!$A$87:$I$107,9,0)</f>
        <v>17</v>
      </c>
      <c r="BC28" s="12">
        <f t="array" ref="BC28">INDEX(BB:BB,MIN(IF(ISNUMBER(BB28:BB224),ROW(BB28:BB224),"")))</f>
        <v>17</v>
      </c>
      <c r="BD28" s="12">
        <f>IF('Données projet'!$A$88&gt;35,BD27+BC28-BL27,IF(A28&lt;'Données projet'!$A$88,$BA$205^A28,IF(A28='Données projet'!$A$88,'Données projet'!$B$88,BD27+BC28-BL27)))</f>
        <v>226</v>
      </c>
      <c r="BE28" s="13">
        <f>BD28*VLOOKUP('Données projet'!$B$11,Paramètres!$A$1:$I$89,3,0)*VLOOKUP('Données projet'!$B$11,Paramètres!$A$1:$I$89,5,0)</f>
        <v>135.14800000000002</v>
      </c>
      <c r="BF28" s="13">
        <f t="shared" si="37"/>
        <v>35.183208974998173</v>
      </c>
      <c r="BG28" s="20">
        <f t="shared" si="7"/>
        <v>296.66018896478852</v>
      </c>
      <c r="BH28" s="59">
        <f t="shared" si="8"/>
        <v>589.99352229812189</v>
      </c>
      <c r="BI28" s="59">
        <f ca="1">AVERAGE(OFFSET($BH$3,0,0,'Données projet'!$E$11+1,1))-AVERAGE(OFFSET($H$3,0,0,'Données projet'!$E$11+1,1))</f>
        <v>137.97244371990928</v>
      </c>
      <c r="BJ28" s="59">
        <f t="shared" si="38"/>
        <v>340.50331317844757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14.577854491536971</v>
      </c>
      <c r="BQ28" s="21">
        <f>EXP(-LN(2)/25)*BQ27+(1-EXP(-LN(2)/25))/(LN(2)/25)*Calculateur!BL28*Calculateur!BN28*VLOOKUP('Données projet'!$B$11,Paramètres!$A$1:$I$89,3,0)*0.475*44/12</f>
        <v>16.515191884493621</v>
      </c>
      <c r="BR28" s="21">
        <f>EXP(-LN(2)/2)*BR27+(1-EXP(-LN(2)/2))/(LN(2)/2)*BL28*BO28*VLOOKUP('Données projet'!$B$11,Paramètres!$A$1:$I$89,3,0)*0.475*44/12</f>
        <v>0.25434351472125455</v>
      </c>
      <c r="BS28" s="22">
        <f t="shared" si="9"/>
        <v>31.347389890751849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70</v>
      </c>
      <c r="BW28" s="12">
        <f>VLOOKUP(A28,'Données projet'!$A$113:$I$133,9,0)</f>
        <v>5.6</v>
      </c>
      <c r="BX28" s="12">
        <f t="array" ref="BX28">INDEX(BW:BW,MIN(IF(ISNUMBER(BW28:BW224),ROW(BW28:BW224),"")))</f>
        <v>5.6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63.335999999999991</v>
      </c>
      <c r="CA28" s="13">
        <f t="shared" si="39"/>
        <v>18.009040022946227</v>
      </c>
      <c r="CB28" s="20">
        <f t="shared" si="10"/>
        <v>141.67594470663133</v>
      </c>
      <c r="CC28" s="59">
        <f t="shared" si="11"/>
        <v>435.00927803996467</v>
      </c>
      <c r="CD28" s="59">
        <f ca="1">AVERAGE(OFFSET($CC$3,0,0,'Données projet'!$E$12+1,1))-AVERAGE(OFFSET($H$3,0,0,'Données projet'!$E$12+1,1))</f>
        <v>216.16148211123436</v>
      </c>
      <c r="CE28" s="59">
        <f t="shared" si="40"/>
        <v>132.59131750490178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23.524800000000013</v>
      </c>
      <c r="D29" s="11">
        <f t="shared" si="32"/>
        <v>7.5064117884233585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239.53917871765407</v>
      </c>
      <c r="H29" s="66">
        <f t="shared" si="1"/>
        <v>347.37936053150401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26.6</v>
      </c>
      <c r="N29" s="13">
        <f>IF('Données projet'!$A$36&gt;35,N28+M29-V28,IF(A29&lt;'Données projet'!$A$36,$K$205^A29,IF(A29='Données projet'!$A$36,'Données projet'!$B$36,N28+M29-V28)))</f>
        <v>237.60000000000002</v>
      </c>
      <c r="O29" s="13">
        <f>N29*VLOOKUP('Données projet'!$B$9,Paramètres!$A$1:$I$89,3,0)*VLOOKUP('Données projet'!$B$9,Paramètres!$A$1:$I$89,5,0)</f>
        <v>142.08480000000003</v>
      </c>
      <c r="P29" s="13">
        <f t="shared" si="33"/>
        <v>36.774192249654888</v>
      </c>
      <c r="Q29" s="20">
        <f t="shared" si="2"/>
        <v>311.51274483481569</v>
      </c>
      <c r="R29" s="59">
        <f t="shared" si="0"/>
        <v>604.84607816814901</v>
      </c>
      <c r="S29" s="59">
        <f ca="1">AVERAGE(OFFSET($R$3,0,0,'Données projet'!$E$9+1,1))-AVERAGE(OFFSET($H$3,0,0,'Données projet'!$E$9+1,1))</f>
        <v>443.63756287217456</v>
      </c>
      <c r="T29" s="59">
        <f t="shared" si="34"/>
        <v>384.990641425788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45.285064271202401</v>
      </c>
      <c r="AB29" s="21">
        <f>EXP(-LN(2)/2)*AB28+(1-EXP(-LN(2)/2))/(LN(2)/2)*V29*Y29*VLOOKUP('Données projet'!$B$9,Paramètres!$A$1:$I$89,3,0)*0.475*44/12</f>
        <v>0.31418904759684418</v>
      </c>
      <c r="AC29" s="22">
        <f t="shared" si="3"/>
        <v>45.599253318799242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>
        <f>VLOOKUP(A29,'Données projet'!$A$61:$I$81,2,0)</f>
        <v>244</v>
      </c>
      <c r="AG29" s="12">
        <f>VLOOKUP(A29,'Données projet'!$A$61:$I$81,9,0)</f>
        <v>18</v>
      </c>
      <c r="AH29" s="12">
        <f t="array" ref="AH29">INDEX(AG:AG,MIN(IF(ISNUMBER(AG29:AG225),ROW(AG29:AG225),"")))</f>
        <v>18</v>
      </c>
      <c r="AI29" s="13">
        <f>IF('Données projet'!$A$62&gt;35,AI28+AH29-AQ28,IF(A29&lt;'Données projet'!$A$62,$AF$205^A29,IF(A29='Données projet'!$A$62,'Données projet'!$B$62,AI28+AH29-AQ28)))</f>
        <v>244</v>
      </c>
      <c r="AJ29" s="13">
        <f>AI29*VLOOKUP('Données projet'!$B$10,Paramètres!$A$1:$I$89,3,0)*VLOOKUP('Données projet'!$B$10,Paramètres!$A$1:$I$89,5,0)</f>
        <v>145.91200000000001</v>
      </c>
      <c r="AK29" s="13">
        <f t="shared" si="35"/>
        <v>37.648084239987625</v>
      </c>
      <c r="AL29" s="20">
        <f t="shared" si="4"/>
        <v>319.70048005131179</v>
      </c>
      <c r="AM29" s="59">
        <f t="shared" si="5"/>
        <v>613.0338133846451</v>
      </c>
      <c r="AN29" s="59">
        <f ca="1">AVERAGE(OFFSET($AM$3,0,0,'Données projet'!$E$10+1,1))-AVERAGE(OFFSET($H$3,0,0,'Données projet'!$E$10+1,1))</f>
        <v>137.97244371990928</v>
      </c>
      <c r="AO29" s="59">
        <f t="shared" si="36"/>
        <v>340.50331317844757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14.291991656571197</v>
      </c>
      <c r="AV29" s="21">
        <f>EXP(-LN(2)/25)*AV28+(1-EXP(-LN(2)/25))/(LN(2)/25)*Calculateur!AQ29*Calculateur!AS29*VLOOKUP('Données projet'!$B$10,Paramètres!$A$1:$I$89,3,0)*0.475*44/12</f>
        <v>16.063583093915948</v>
      </c>
      <c r="AW29" s="21">
        <f>EXP(-LN(2)/2)*AW28+(1-EXP(-LN(2)/2))/(LN(2)/2)*AQ29*AT29*VLOOKUP('Données projet'!$B$10,Paramètres!$A$1:$I$89,3,0)*0.475*44/12</f>
        <v>0.17984802401021957</v>
      </c>
      <c r="AX29" s="21">
        <f t="shared" si="6"/>
        <v>30.535422774497363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>
        <f>VLOOKUP(A29,'Données projet'!$A$87:$I$107,2,0)</f>
        <v>244</v>
      </c>
      <c r="BB29" s="12">
        <f>VLOOKUP(A29,'Données projet'!$A$87:$I$107,9,0)</f>
        <v>18</v>
      </c>
      <c r="BC29" s="12">
        <f t="array" ref="BC29">INDEX(BB:BB,MIN(IF(ISNUMBER(BB29:BB225),ROW(BB29:BB225),"")))</f>
        <v>18</v>
      </c>
      <c r="BD29" s="12">
        <f>IF('Données projet'!$A$88&gt;35,BD28+BC29-BL28,IF(A29&lt;'Données projet'!$A$88,$BA$205^A29,IF(A29='Données projet'!$A$88,'Données projet'!$B$88,BD28+BC29-BL28)))</f>
        <v>244</v>
      </c>
      <c r="BE29" s="13">
        <f>BD29*VLOOKUP('Données projet'!$B$11,Paramètres!$A$1:$I$89,3,0)*VLOOKUP('Données projet'!$B$11,Paramètres!$A$1:$I$89,5,0)</f>
        <v>145.91200000000001</v>
      </c>
      <c r="BF29" s="13">
        <f t="shared" si="37"/>
        <v>37.648084239987625</v>
      </c>
      <c r="BG29" s="20">
        <f t="shared" si="7"/>
        <v>319.70048005131179</v>
      </c>
      <c r="BH29" s="59">
        <f t="shared" si="8"/>
        <v>613.0338133846451</v>
      </c>
      <c r="BI29" s="59">
        <f ca="1">AVERAGE(OFFSET($BH$3,0,0,'Données projet'!$E$11+1,1))-AVERAGE(OFFSET($H$3,0,0,'Données projet'!$E$11+1,1))</f>
        <v>137.97244371990928</v>
      </c>
      <c r="BJ29" s="59">
        <f t="shared" si="38"/>
        <v>340.50331317844757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14.291991656571197</v>
      </c>
      <c r="BQ29" s="21">
        <f>EXP(-LN(2)/25)*BQ28+(1-EXP(-LN(2)/25))/(LN(2)/25)*Calculateur!BL29*Calculateur!BN29*VLOOKUP('Données projet'!$B$11,Paramètres!$A$1:$I$89,3,0)*0.475*44/12</f>
        <v>16.063583093915948</v>
      </c>
      <c r="BR29" s="21">
        <f>EXP(-LN(2)/2)*BR28+(1-EXP(-LN(2)/2))/(LN(2)/2)*BL29*BO29*VLOOKUP('Données projet'!$B$11,Paramètres!$A$1:$I$89,3,0)*0.475*44/12</f>
        <v>0.17984802401021957</v>
      </c>
      <c r="BS29" s="22">
        <f t="shared" si="9"/>
        <v>30.535422774497363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62.431199999999997</v>
      </c>
      <c r="CA29" s="13">
        <f t="shared" si="39"/>
        <v>17.781524466058684</v>
      </c>
      <c r="CB29" s="20">
        <f t="shared" si="10"/>
        <v>139.70382844505221</v>
      </c>
      <c r="CC29" s="59">
        <f t="shared" si="11"/>
        <v>433.03716177838555</v>
      </c>
      <c r="CD29" s="59">
        <f ca="1">AVERAGE(OFFSET($CC$3,0,0,'Données projet'!$E$12+1,1))-AVERAGE(OFFSET($H$3,0,0,'Données projet'!$E$12+1,1))</f>
        <v>216.16148211123436</v>
      </c>
      <c r="CE29" s="59">
        <f t="shared" si="40"/>
        <v>132.59131750490178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24.429600000000015</v>
      </c>
      <c r="D30" s="11">
        <f t="shared" si="32"/>
        <v>7.760951279511322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248.48846601728056</v>
      </c>
      <c r="H30" s="66">
        <f t="shared" si="1"/>
        <v>349.39854347848222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26.6</v>
      </c>
      <c r="N30" s="13">
        <f>IF('Données projet'!$A$36&gt;35,N29+M30-V29,IF(A30&lt;'Données projet'!$A$36,$K$205^A30,IF(A30='Données projet'!$A$36,'Données projet'!$B$36,N29+M30-V29)))</f>
        <v>264.20000000000005</v>
      </c>
      <c r="O30" s="13">
        <f>N30*VLOOKUP('Données projet'!$B$9,Paramètres!$A$1:$I$89,3,0)*VLOOKUP('Données projet'!$B$9,Paramètres!$A$1:$I$89,5,0)</f>
        <v>157.99160000000003</v>
      </c>
      <c r="P30" s="13">
        <f t="shared" si="33"/>
        <v>40.389182682530297</v>
      </c>
      <c r="Q30" s="20">
        <f t="shared" si="2"/>
        <v>345.513196505407</v>
      </c>
      <c r="R30" s="59">
        <f t="shared" si="0"/>
        <v>638.84652983874025</v>
      </c>
      <c r="S30" s="59">
        <f ca="1">AVERAGE(OFFSET($R$3,0,0,'Données projet'!$E$9+1,1))-AVERAGE(OFFSET($H$3,0,0,'Données projet'!$E$9+1,1))</f>
        <v>443.63756287217456</v>
      </c>
      <c r="T30" s="59">
        <f t="shared" si="34"/>
        <v>384.990641425788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44.04674180726834</v>
      </c>
      <c r="AB30" s="21">
        <f>EXP(-LN(2)/2)*AB29+(1-EXP(-LN(2)/2))/(LN(2)/2)*V30*Y30*VLOOKUP('Données projet'!$B$9,Paramètres!$A$1:$I$89,3,0)*0.475*44/12</f>
        <v>0.22216520613027149</v>
      </c>
      <c r="AC30" s="22">
        <f t="shared" si="3"/>
        <v>44.268907013398611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>
        <f>VLOOKUP(A30,'Données projet'!$A$61:$I$81,2,0)</f>
        <v>261</v>
      </c>
      <c r="AG30" s="12">
        <f>VLOOKUP(A30,'Données projet'!$A$61:$I$81,9,0)</f>
        <v>17</v>
      </c>
      <c r="AH30" s="12">
        <f t="array" ref="AH30">INDEX(AG:AG,MIN(IF(ISNUMBER(AG30:AG226),ROW(AG30:AG226),"")))</f>
        <v>17</v>
      </c>
      <c r="AI30" s="13">
        <f>IF('Données projet'!$A$62&gt;35,AI29+AH30-AQ29,IF(A30&lt;'Données projet'!$A$62,$AF$205^A30,IF(A30='Données projet'!$A$62,'Données projet'!$B$62,AI29+AH30-AQ29)))</f>
        <v>261</v>
      </c>
      <c r="AJ30" s="13">
        <f>AI30*VLOOKUP('Données projet'!$B$10,Paramètres!$A$1:$I$89,3,0)*VLOOKUP('Données projet'!$B$10,Paramètres!$A$1:$I$89,5,0)</f>
        <v>156.078</v>
      </c>
      <c r="AK30" s="13">
        <f t="shared" si="35"/>
        <v>39.956623674978466</v>
      </c>
      <c r="AL30" s="20">
        <f t="shared" si="4"/>
        <v>341.42696956725416</v>
      </c>
      <c r="AM30" s="59">
        <f t="shared" si="5"/>
        <v>634.76030290058748</v>
      </c>
      <c r="AN30" s="59">
        <f ca="1">AVERAGE(OFFSET($AM$3,0,0,'Données projet'!$E$10+1,1))-AVERAGE(OFFSET($H$3,0,0,'Données projet'!$E$10+1,1))</f>
        <v>137.97244371990928</v>
      </c>
      <c r="AO30" s="59">
        <f t="shared" si="36"/>
        <v>340.50331317844757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14.011734417439989</v>
      </c>
      <c r="AV30" s="21">
        <f>EXP(-LN(2)/25)*AV29+(1-EXP(-LN(2)/25))/(LN(2)/25)*Calculateur!AQ30*Calculateur!AS30*VLOOKUP('Données projet'!$B$10,Paramètres!$A$1:$I$89,3,0)*0.475*44/12</f>
        <v>15.624323569465696</v>
      </c>
      <c r="AW30" s="21">
        <f>EXP(-LN(2)/2)*AW29+(1-EXP(-LN(2)/2))/(LN(2)/2)*AQ30*AT30*VLOOKUP('Données projet'!$B$10,Paramètres!$A$1:$I$89,3,0)*0.475*44/12</f>
        <v>0.12717175736062727</v>
      </c>
      <c r="AX30" s="21">
        <f t="shared" si="6"/>
        <v>29.763229744266312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>
        <f>VLOOKUP(A30,'Données projet'!$A$87:$I$107,2,0)</f>
        <v>261</v>
      </c>
      <c r="BB30" s="12">
        <f>VLOOKUP(A30,'Données projet'!$A$87:$I$107,9,0)</f>
        <v>17</v>
      </c>
      <c r="BC30" s="12">
        <f t="array" ref="BC30">INDEX(BB:BB,MIN(IF(ISNUMBER(BB30:BB226),ROW(BB30:BB226),"")))</f>
        <v>17</v>
      </c>
      <c r="BD30" s="12">
        <f>IF('Données projet'!$A$88&gt;35,BD29+BC30-BL29,IF(A30&lt;'Données projet'!$A$88,$BA$205^A30,IF(A30='Données projet'!$A$88,'Données projet'!$B$88,BD29+BC30-BL29)))</f>
        <v>261</v>
      </c>
      <c r="BE30" s="13">
        <f>BD30*VLOOKUP('Données projet'!$B$11,Paramètres!$A$1:$I$89,3,0)*VLOOKUP('Données projet'!$B$11,Paramètres!$A$1:$I$89,5,0)</f>
        <v>156.078</v>
      </c>
      <c r="BF30" s="13">
        <f t="shared" si="37"/>
        <v>39.956623674978466</v>
      </c>
      <c r="BG30" s="20">
        <f t="shared" si="7"/>
        <v>341.42696956725416</v>
      </c>
      <c r="BH30" s="59">
        <f t="shared" si="8"/>
        <v>634.76030290058748</v>
      </c>
      <c r="BI30" s="59">
        <f ca="1">AVERAGE(OFFSET($BH$3,0,0,'Données projet'!$E$11+1,1))-AVERAGE(OFFSET($H$3,0,0,'Données projet'!$E$11+1,1))</f>
        <v>137.97244371990928</v>
      </c>
      <c r="BJ30" s="59">
        <f t="shared" si="38"/>
        <v>340.50331317844757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14.011734417439989</v>
      </c>
      <c r="BQ30" s="21">
        <f>EXP(-LN(2)/25)*BQ29+(1-EXP(-LN(2)/25))/(LN(2)/25)*Calculateur!BL30*Calculateur!BN30*VLOOKUP('Données projet'!$B$11,Paramètres!$A$1:$I$89,3,0)*0.475*44/12</f>
        <v>15.624323569465696</v>
      </c>
      <c r="BR30" s="21">
        <f>EXP(-LN(2)/2)*BR29+(1-EXP(-LN(2)/2))/(LN(2)/2)*BL30*BO30*VLOOKUP('Données projet'!$B$11,Paramètres!$A$1:$I$89,3,0)*0.475*44/12</f>
        <v>0.12717175736062727</v>
      </c>
      <c r="BS30" s="22">
        <f t="shared" si="9"/>
        <v>29.763229744266312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68.764799999999994</v>
      </c>
      <c r="CA30" s="13">
        <f t="shared" si="39"/>
        <v>19.366396769521369</v>
      </c>
      <c r="CB30" s="20">
        <f t="shared" si="10"/>
        <v>153.49516770691636</v>
      </c>
      <c r="CC30" s="59">
        <f t="shared" si="11"/>
        <v>446.82850104024965</v>
      </c>
      <c r="CD30" s="59">
        <f ca="1">AVERAGE(OFFSET($CC$3,0,0,'Données projet'!$E$12+1,1))-AVERAGE(OFFSET($H$3,0,0,'Données projet'!$E$12+1,1))</f>
        <v>216.16148211123436</v>
      </c>
      <c r="CE30" s="59">
        <f t="shared" si="40"/>
        <v>132.59131750490178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25.334400000000016</v>
      </c>
      <c r="D31" s="11">
        <f t="shared" si="32"/>
        <v>8.0143955200794608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257.42929875149071</v>
      </c>
      <c r="H31" s="66">
        <f t="shared" si="1"/>
        <v>351.41581886413837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26.6</v>
      </c>
      <c r="N31" s="13">
        <f>IF('Données projet'!$A$36&gt;35,N30+M31-V30,IF(A31&lt;'Données projet'!$A$36,$K$205^A31,IF(A31='Données projet'!$A$36,'Données projet'!$B$36,N30+M31-V30)))</f>
        <v>290.80000000000007</v>
      </c>
      <c r="O31" s="13">
        <f>N31*VLOOKUP('Données projet'!$B$9,Paramètres!$A$1:$I$89,3,0)*VLOOKUP('Données projet'!$B$9,Paramètres!$A$1:$I$89,5,0)</f>
        <v>173.89840000000004</v>
      </c>
      <c r="P31" s="13">
        <f t="shared" si="33"/>
        <v>43.961980047450574</v>
      </c>
      <c r="Q31" s="20">
        <f t="shared" si="2"/>
        <v>379.44016191597643</v>
      </c>
      <c r="R31" s="59">
        <f t="shared" si="0"/>
        <v>672.77349524930969</v>
      </c>
      <c r="S31" s="59">
        <f ca="1">AVERAGE(OFFSET($R$3,0,0,'Données projet'!$E$9+1,1))-AVERAGE(OFFSET($H$3,0,0,'Données projet'!$E$9+1,1))</f>
        <v>443.63756287217456</v>
      </c>
      <c r="T31" s="59">
        <f t="shared" si="34"/>
        <v>384.990641425788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42.842281336231103</v>
      </c>
      <c r="AB31" s="21">
        <f>EXP(-LN(2)/2)*AB30+(1-EXP(-LN(2)/2))/(LN(2)/2)*V31*Y31*VLOOKUP('Données projet'!$B$9,Paramètres!$A$1:$I$89,3,0)*0.475*44/12</f>
        <v>0.15709452379842212</v>
      </c>
      <c r="AC31" s="22">
        <f t="shared" si="3"/>
        <v>42.999375860029524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277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277</v>
      </c>
      <c r="AJ31" s="13">
        <f>AI31*VLOOKUP('Données projet'!$B$10,Paramètres!$A$1:$I$89,3,0)*VLOOKUP('Données projet'!$B$10,Paramètres!$A$1:$I$89,5,0)</f>
        <v>165.64600000000002</v>
      </c>
      <c r="AK31" s="13">
        <f t="shared" si="35"/>
        <v>42.113404814327666</v>
      </c>
      <c r="AL31" s="20">
        <f t="shared" si="4"/>
        <v>361.84763005162068</v>
      </c>
      <c r="AM31" s="59">
        <f t="shared" si="5"/>
        <v>655.180963384954</v>
      </c>
      <c r="AN31" s="59">
        <f ca="1">AVERAGE(OFFSET($AM$3,0,0,'Données projet'!$E$10+1,1))-AVERAGE(OFFSET($H$3,0,0,'Données projet'!$E$10+1,1))</f>
        <v>137.97244371990928</v>
      </c>
      <c r="AO31" s="59">
        <f t="shared" si="36"/>
        <v>340.50331317844757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13.736972851828106</v>
      </c>
      <c r="AV31" s="21">
        <f>EXP(-LN(2)/25)*AV30+(1-EXP(-LN(2)/25))/(LN(2)/25)*Calculateur!AQ31*Calculateur!AS31*VLOOKUP('Données projet'!$B$10,Paramètres!$A$1:$I$89,3,0)*0.475*44/12</f>
        <v>15.197075619811191</v>
      </c>
      <c r="AW31" s="21">
        <f>EXP(-LN(2)/2)*AW30+(1-EXP(-LN(2)/2))/(LN(2)/2)*AQ31*AT31*VLOOKUP('Données projet'!$B$10,Paramètres!$A$1:$I$89,3,0)*0.475*44/12</f>
        <v>8.9924012005109785E-2</v>
      </c>
      <c r="AX31" s="21">
        <f t="shared" si="6"/>
        <v>29.023972483644407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277</v>
      </c>
      <c r="BB31" s="12">
        <f>VLOOKUP(A31,'Données projet'!$A$87:$I$107,9,0)</f>
        <v>16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277</v>
      </c>
      <c r="BE31" s="13">
        <f>BD31*VLOOKUP('Données projet'!$B$11,Paramètres!$A$1:$I$89,3,0)*VLOOKUP('Données projet'!$B$11,Paramètres!$A$1:$I$89,5,0)</f>
        <v>165.64600000000002</v>
      </c>
      <c r="BF31" s="13">
        <f t="shared" si="37"/>
        <v>42.113404814327666</v>
      </c>
      <c r="BG31" s="20">
        <f t="shared" si="7"/>
        <v>361.84763005162068</v>
      </c>
      <c r="BH31" s="59">
        <f t="shared" si="8"/>
        <v>655.180963384954</v>
      </c>
      <c r="BI31" s="59">
        <f ca="1">AVERAGE(OFFSET($BH$3,0,0,'Données projet'!$E$11+1,1))-AVERAGE(OFFSET($H$3,0,0,'Données projet'!$E$11+1,1))</f>
        <v>137.97244371990928</v>
      </c>
      <c r="BJ31" s="59">
        <f t="shared" si="38"/>
        <v>340.50331317844757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13.736972851828106</v>
      </c>
      <c r="BQ31" s="21">
        <f>EXP(-LN(2)/25)*BQ30+(1-EXP(-LN(2)/25))/(LN(2)/25)*Calculateur!BL31*Calculateur!BN31*VLOOKUP('Données projet'!$B$11,Paramètres!$A$1:$I$89,3,0)*0.475*44/12</f>
        <v>15.197075619811191</v>
      </c>
      <c r="BR31" s="21">
        <f>EXP(-LN(2)/2)*BR30+(1-EXP(-LN(2)/2))/(LN(2)/2)*BL31*BO31*VLOOKUP('Données projet'!$B$11,Paramètres!$A$1:$I$89,3,0)*0.475*44/12</f>
        <v>8.9924012005109785E-2</v>
      </c>
      <c r="BS31" s="22">
        <f t="shared" si="9"/>
        <v>29.023972483644407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75.098399999999998</v>
      </c>
      <c r="CA31" s="13">
        <f t="shared" si="39"/>
        <v>20.934343091450742</v>
      </c>
      <c r="CB31" s="20">
        <f t="shared" si="10"/>
        <v>167.25702755094335</v>
      </c>
      <c r="CC31" s="59">
        <f t="shared" si="11"/>
        <v>460.59036088427666</v>
      </c>
      <c r="CD31" s="59">
        <f ca="1">AVERAGE(OFFSET($CC$3,0,0,'Données projet'!$E$12+1,1))-AVERAGE(OFFSET($H$3,0,0,'Données projet'!$E$12+1,1))</f>
        <v>216.16148211123436</v>
      </c>
      <c r="CE31" s="59">
        <f t="shared" si="40"/>
        <v>132.59131750490178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26.239200000000018</v>
      </c>
      <c r="D32" s="11">
        <f t="shared" si="32"/>
        <v>8.2667881075338148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266.36201346166467</v>
      </c>
      <c r="H32" s="66">
        <f t="shared" si="1"/>
        <v>353.4312626206214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26.6</v>
      </c>
      <c r="N32" s="13">
        <f>IF('Données projet'!$A$36&gt;35,N31+M32-V31,IF(A32&lt;'Données projet'!$A$36,$K$205^A32,IF(A32='Données projet'!$A$36,'Données projet'!$B$36,N31+M32-V31)))</f>
        <v>317.40000000000009</v>
      </c>
      <c r="O32" s="13">
        <f>N32*VLOOKUP('Données projet'!$B$9,Paramètres!$A$1:$I$89,3,0)*VLOOKUP('Données projet'!$B$9,Paramètres!$A$1:$I$89,5,0)</f>
        <v>189.80520000000007</v>
      </c>
      <c r="P32" s="13">
        <f t="shared" si="33"/>
        <v>47.496882766206909</v>
      </c>
      <c r="Q32" s="20">
        <f t="shared" si="2"/>
        <v>413.30112748447715</v>
      </c>
      <c r="R32" s="59">
        <f t="shared" si="0"/>
        <v>706.63446081781046</v>
      </c>
      <c r="S32" s="59">
        <f ca="1">AVERAGE(OFFSET($R$3,0,0,'Données projet'!$E$9+1,1))-AVERAGE(OFFSET($H$3,0,0,'Données projet'!$E$9+1,1))</f>
        <v>443.63756287217456</v>
      </c>
      <c r="T32" s="59">
        <f t="shared" si="34"/>
        <v>384.990641425788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41.670756900114206</v>
      </c>
      <c r="AB32" s="21">
        <f>EXP(-LN(2)/2)*AB31+(1-EXP(-LN(2)/2))/(LN(2)/2)*V32*Y32*VLOOKUP('Données projet'!$B$9,Paramètres!$A$1:$I$89,3,0)*0.475*44/12</f>
        <v>0.11108260306513576</v>
      </c>
      <c r="AC32" s="22">
        <f t="shared" si="3"/>
        <v>41.781839503179341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293</v>
      </c>
      <c r="AG32" s="12">
        <f>VLOOKUP(A32,'Données projet'!$A$61:$I$81,9,0)</f>
        <v>16</v>
      </c>
      <c r="AH32" s="12">
        <f t="array" ref="AH32">INDEX(AG:AG,MIN(IF(ISNUMBER(AG32:AG228),ROW(AG32:AG228),"")))</f>
        <v>16</v>
      </c>
      <c r="AI32" s="13">
        <f>IF('Données projet'!$A$62&gt;35,AI31+AH32-AQ31,IF(A32&lt;'Données projet'!$A$62,$AF$205^A32,IF(A32='Données projet'!$A$62,'Données projet'!$B$62,AI31+AH32-AQ31)))</f>
        <v>293</v>
      </c>
      <c r="AJ32" s="13">
        <f>AI32*VLOOKUP('Données projet'!$B$10,Paramètres!$A$1:$I$89,3,0)*VLOOKUP('Données projet'!$B$10,Paramètres!$A$1:$I$89,5,0)</f>
        <v>175.214</v>
      </c>
      <c r="AK32" s="13">
        <f t="shared" si="35"/>
        <v>44.255725061661991</v>
      </c>
      <c r="AL32" s="20">
        <f t="shared" si="4"/>
        <v>382.24310448239459</v>
      </c>
      <c r="AM32" s="59">
        <f t="shared" si="5"/>
        <v>675.5764378157279</v>
      </c>
      <c r="AN32" s="59">
        <f ca="1">AVERAGE(OFFSET($AM$3,0,0,'Données projet'!$E$10+1,1))-AVERAGE(OFFSET($H$3,0,0,'Données projet'!$E$10+1,1))</f>
        <v>137.97244371990928</v>
      </c>
      <c r="AO32" s="59">
        <f t="shared" si="36"/>
        <v>340.50331317844757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13.467599192929866</v>
      </c>
      <c r="AV32" s="21">
        <f>EXP(-LN(2)/25)*AV31+(1-EXP(-LN(2)/25))/(LN(2)/25)*Calculateur!AQ32*Calculateur!AS32*VLOOKUP('Données projet'!$B$10,Paramètres!$A$1:$I$89,3,0)*0.475*44/12</f>
        <v>14.78151078780798</v>
      </c>
      <c r="AW32" s="21">
        <f>EXP(-LN(2)/2)*AW31+(1-EXP(-LN(2)/2))/(LN(2)/2)*AQ32*AT32*VLOOKUP('Données projet'!$B$10,Paramètres!$A$1:$I$89,3,0)*0.475*44/12</f>
        <v>6.3585878680313637E-2</v>
      </c>
      <c r="AX32" s="21">
        <f t="shared" si="6"/>
        <v>28.312695859418159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>
        <f>VLOOKUP(A32,'Données projet'!$A$87:$I$107,2,0)</f>
        <v>293</v>
      </c>
      <c r="BB32" s="12">
        <f>VLOOKUP(A32,'Données projet'!$A$87:$I$107,9,0)</f>
        <v>16</v>
      </c>
      <c r="BC32" s="12">
        <f t="array" ref="BC32">INDEX(BB:BB,MIN(IF(ISNUMBER(BB32:BB228),ROW(BB32:BB228),"")))</f>
        <v>16</v>
      </c>
      <c r="BD32" s="12">
        <f>IF('Données projet'!$A$88&gt;35,BD31+BC32-BL31,IF(A32&lt;'Données projet'!$A$88,$BA$205^A32,IF(A32='Données projet'!$A$88,'Données projet'!$B$88,BD31+BC32-BL31)))</f>
        <v>293</v>
      </c>
      <c r="BE32" s="13">
        <f>BD32*VLOOKUP('Données projet'!$B$11,Paramètres!$A$1:$I$89,3,0)*VLOOKUP('Données projet'!$B$11,Paramètres!$A$1:$I$89,5,0)</f>
        <v>175.214</v>
      </c>
      <c r="BF32" s="13">
        <f t="shared" si="37"/>
        <v>44.255725061661991</v>
      </c>
      <c r="BG32" s="20">
        <f t="shared" si="7"/>
        <v>382.24310448239459</v>
      </c>
      <c r="BH32" s="59">
        <f t="shared" si="8"/>
        <v>675.5764378157279</v>
      </c>
      <c r="BI32" s="59">
        <f ca="1">AVERAGE(OFFSET($BH$3,0,0,'Données projet'!$E$11+1,1))-AVERAGE(OFFSET($H$3,0,0,'Données projet'!$E$11+1,1))</f>
        <v>137.97244371990928</v>
      </c>
      <c r="BJ32" s="59">
        <f t="shared" si="38"/>
        <v>340.50331317844757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13.467599192929866</v>
      </c>
      <c r="BQ32" s="21">
        <f>EXP(-LN(2)/25)*BQ31+(1-EXP(-LN(2)/25))/(LN(2)/25)*Calculateur!BL32*Calculateur!BN32*VLOOKUP('Données projet'!$B$11,Paramètres!$A$1:$I$89,3,0)*0.475*44/12</f>
        <v>14.78151078780798</v>
      </c>
      <c r="BR32" s="21">
        <f>EXP(-LN(2)/2)*BR31+(1-EXP(-LN(2)/2))/(LN(2)/2)*BL32*BO32*VLOOKUP('Données projet'!$B$11,Paramètres!$A$1:$I$89,3,0)*0.475*44/12</f>
        <v>6.3585878680313637E-2</v>
      </c>
      <c r="BS32" s="22">
        <f t="shared" si="9"/>
        <v>28.312695859418159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81.432000000000002</v>
      </c>
      <c r="CA32" s="13">
        <f t="shared" si="39"/>
        <v>22.486953220240881</v>
      </c>
      <c r="CB32" s="20">
        <f t="shared" si="10"/>
        <v>180.99217685858619</v>
      </c>
      <c r="CC32" s="59">
        <f t="shared" si="11"/>
        <v>474.32551019191953</v>
      </c>
      <c r="CD32" s="59">
        <f ca="1">AVERAGE(OFFSET($CC$3,0,0,'Données projet'!$E$12+1,1))-AVERAGE(OFFSET($H$3,0,0,'Données projet'!$E$12+1,1))</f>
        <v>216.16148211123436</v>
      </c>
      <c r="CE32" s="59">
        <f t="shared" si="40"/>
        <v>132.59131750490178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27.14400000000002</v>
      </c>
      <c r="D33" s="11">
        <f t="shared" si="32"/>
        <v>8.5181694620316382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275.28692216305143</v>
      </c>
      <c r="H33" s="66">
        <f t="shared" si="1"/>
        <v>355.44494514637177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344</v>
      </c>
      <c r="L33" s="12">
        <f>VLOOKUP(A33,'Données projet'!$A$35:$I$55,9,0)</f>
        <v>26.6</v>
      </c>
      <c r="M33" s="12">
        <f t="array" ref="M33">INDEX(L:L,MIN(IF(ISNUMBER(L33:L229),ROW(L33:L229),"")))</f>
        <v>26.6</v>
      </c>
      <c r="N33" s="13">
        <f>IF('Données projet'!$A$36&gt;35,N32+M33-V32,IF(A33&lt;'Données projet'!$A$36,$K$205^A33,IF(A33='Données projet'!$A$36,'Données projet'!$B$36,N32+M33-V32)))</f>
        <v>344.00000000000011</v>
      </c>
      <c r="O33" s="13">
        <f>N33*VLOOKUP('Données projet'!$B$9,Paramètres!$A$1:$I$89,3,0)*VLOOKUP('Données projet'!$B$9,Paramètres!$A$1:$I$89,5,0)</f>
        <v>205.7120000000001</v>
      </c>
      <c r="P33" s="13">
        <f t="shared" si="33"/>
        <v>50.997427696933762</v>
      </c>
      <c r="Q33" s="20">
        <f t="shared" si="2"/>
        <v>447.10225323882645</v>
      </c>
      <c r="R33" s="59">
        <f t="shared" si="0"/>
        <v>740.43558657215976</v>
      </c>
      <c r="S33" s="59">
        <f ca="1">AVERAGE(OFFSET($R$3,0,0,'Données projet'!$E$9+1,1))-AVERAGE(OFFSET($H$3,0,0,'Données projet'!$E$9+1,1))</f>
        <v>443.63756287217456</v>
      </c>
      <c r="T33" s="59">
        <f t="shared" si="34"/>
        <v>384.990641425788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70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65.421373283636711</v>
      </c>
      <c r="AB33" s="21">
        <f>EXP(-LN(2)/2)*AB32+(1-EXP(-LN(2)/2))/(LN(2)/2)*V33*Y33*VLOOKUP('Données projet'!$B$9,Paramètres!$A$1:$I$89,3,0)*0.475*44/12</f>
        <v>7.8547261899211074E-2</v>
      </c>
      <c r="AC33" s="22">
        <f t="shared" si="3"/>
        <v>65.499920545535929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</v>
      </c>
      <c r="AH33" s="12">
        <f t="array" ref="AH33">INDEX(AG:AG,MIN(IF(ISNUMBER(AG33:AG229),ROW(AG33:AG229),"")))</f>
        <v>16</v>
      </c>
      <c r="AI33" s="13">
        <f>IF('Données projet'!$A$62&gt;35,AI32+AH33-AQ32,IF(A33&lt;'Données projet'!$A$62,$AF$205^A33,IF(A33='Données projet'!$A$62,'Données projet'!$B$62,AI32+AH33-AQ32)))</f>
        <v>309</v>
      </c>
      <c r="AJ33" s="13">
        <f>AI33*VLOOKUP('Données projet'!$B$10,Paramètres!$A$1:$I$89,3,0)*VLOOKUP('Données projet'!$B$10,Paramètres!$A$1:$I$89,5,0)</f>
        <v>184.78200000000004</v>
      </c>
      <c r="AK33" s="13">
        <f t="shared" si="35"/>
        <v>46.384464109944147</v>
      </c>
      <c r="AL33" s="20">
        <f t="shared" si="4"/>
        <v>402.61492499148608</v>
      </c>
      <c r="AM33" s="59">
        <f t="shared" si="5"/>
        <v>695.94825832481934</v>
      </c>
      <c r="AN33" s="59">
        <f ca="1">AVERAGE(OFFSET($AM$3,0,0,'Données projet'!$E$10+1,1))-AVERAGE(OFFSET($H$3,0,0,'Données projet'!$E$10+1,1))</f>
        <v>137.97244371990928</v>
      </c>
      <c r="AO33" s="59">
        <f t="shared" si="36"/>
        <v>340.50331317844757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0.45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123.50986272944402</v>
      </c>
      <c r="AV33" s="21">
        <f>EXP(-LN(2)/25)*AV32+(1-EXP(-LN(2)/25))/(LN(2)/25)*Calculateur!AQ33*Calculateur!AS33*VLOOKUP('Données projet'!$B$10,Paramètres!$A$1:$I$89,3,0)*0.475*44/12</f>
        <v>14.377309597989502</v>
      </c>
      <c r="AW33" s="21">
        <f>EXP(-LN(2)/2)*AW32+(1-EXP(-LN(2)/2))/(LN(2)/2)*AQ33*AT33*VLOOKUP('Données projet'!$B$10,Paramètres!$A$1:$I$89,3,0)*0.475*44/12</f>
        <v>4.4962006002554893E-2</v>
      </c>
      <c r="AX33" s="21">
        <f t="shared" si="6"/>
        <v>137.93213433343607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309</v>
      </c>
      <c r="BB33" s="12">
        <f>VLOOKUP(A33,'Données projet'!$A$87:$I$107,9,0)</f>
        <v>16</v>
      </c>
      <c r="BC33" s="12">
        <f t="array" ref="BC33">INDEX(BB:BB,MIN(IF(ISNUMBER(BB33:BB229),ROW(BB33:BB229),"")))</f>
        <v>16</v>
      </c>
      <c r="BD33" s="12">
        <f>IF('Données projet'!$A$88&gt;35,BD32+BC33-BL32,IF(A33&lt;'Données projet'!$A$88,$BA$205^A33,IF(A33='Données projet'!$A$88,'Données projet'!$B$88,BD32+BC33-BL32)))</f>
        <v>309</v>
      </c>
      <c r="BE33" s="13">
        <f>BD33*VLOOKUP('Données projet'!$B$11,Paramètres!$A$1:$I$89,3,0)*VLOOKUP('Données projet'!$B$11,Paramètres!$A$1:$I$89,5,0)</f>
        <v>184.78200000000004</v>
      </c>
      <c r="BF33" s="13">
        <f t="shared" si="37"/>
        <v>46.384464109944147</v>
      </c>
      <c r="BG33" s="20">
        <f t="shared" si="7"/>
        <v>402.61492499148608</v>
      </c>
      <c r="BH33" s="59">
        <f t="shared" si="8"/>
        <v>695.94825832481934</v>
      </c>
      <c r="BI33" s="59">
        <f ca="1">AVERAGE(OFFSET($BH$3,0,0,'Données projet'!$E$11+1,1))-AVERAGE(OFFSET($H$3,0,0,'Données projet'!$E$11+1,1))</f>
        <v>137.97244371990928</v>
      </c>
      <c r="BJ33" s="59">
        <f t="shared" si="38"/>
        <v>340.50331317844757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309</v>
      </c>
      <c r="BM33" s="16">
        <f>IF(ISNA(VLOOKUP(A33,'Données projet'!$A$87:$I$107,5,0)),0%,VLOOKUP(A33,'Données projet'!$A$87:$I$107,5,0)*VLOOKUP('Données projet'!$B$11,Paramètres!$A$1:$I$89,7,0))</f>
        <v>0.45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123.50986272944402</v>
      </c>
      <c r="BQ33" s="21">
        <f>EXP(-LN(2)/25)*BQ32+(1-EXP(-LN(2)/25))/(LN(2)/25)*Calculateur!BL33*Calculateur!BN33*VLOOKUP('Données projet'!$B$11,Paramètres!$A$1:$I$89,3,0)*0.475*44/12</f>
        <v>14.377309597989502</v>
      </c>
      <c r="BR33" s="21">
        <f>EXP(-LN(2)/2)*BR32+(1-EXP(-LN(2)/2))/(LN(2)/2)*BL33*BO33*VLOOKUP('Données projet'!$B$11,Paramètres!$A$1:$I$89,3,0)*0.475*44/12</f>
        <v>4.4962006002554893E-2</v>
      </c>
      <c r="BS33" s="22">
        <f t="shared" si="9"/>
        <v>137.93213433343607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87.765600000000006</v>
      </c>
      <c r="CA33" s="13">
        <f t="shared" si="39"/>
        <v>24.025555589247954</v>
      </c>
      <c r="CB33" s="20">
        <f t="shared" si="10"/>
        <v>194.7029293179402</v>
      </c>
      <c r="CC33" s="59">
        <f t="shared" si="11"/>
        <v>488.03626265127355</v>
      </c>
      <c r="CD33" s="59">
        <f ca="1">AVERAGE(OFFSET($CC$3,0,0,'Données projet'!$E$12+1,1))-AVERAGE(OFFSET($H$3,0,0,'Données projet'!$E$12+1,1))</f>
        <v>216.16148211123436</v>
      </c>
      <c r="CE33" s="59">
        <f t="shared" si="40"/>
        <v>132.59131750490178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28.048800000000021</v>
      </c>
      <c r="D34" s="11">
        <f t="shared" si="32"/>
        <v>8.7685771561441008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284.20431488953358</v>
      </c>
      <c r="H34" s="66">
        <f t="shared" si="1"/>
        <v>357.45693188028429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300.80000000000013</v>
      </c>
      <c r="O34" s="13">
        <f>N34*VLOOKUP('Données projet'!$B$9,Paramètres!$A$1:$I$89,3,0)*VLOOKUP('Données projet'!$B$9,Paramètres!$A$1:$I$89,5,0)</f>
        <v>179.87840000000008</v>
      </c>
      <c r="P34" s="13">
        <f t="shared" si="33"/>
        <v>45.295131342961916</v>
      </c>
      <c r="Q34" s="20">
        <f t="shared" si="2"/>
        <v>392.17723375565879</v>
      </c>
      <c r="R34" s="59">
        <f t="shared" si="0"/>
        <v>685.51056708899205</v>
      </c>
      <c r="S34" s="59">
        <f ca="1">AVERAGE(OFFSET($R$3,0,0,'Données projet'!$E$9+1,1))-AVERAGE(OFFSET($H$3,0,0,'Données projet'!$E$9+1,1))</f>
        <v>443.63756287217456</v>
      </c>
      <c r="T34" s="59">
        <f t="shared" si="34"/>
        <v>384.990641425788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63.632422390835167</v>
      </c>
      <c r="AB34" s="21">
        <f>EXP(-LN(2)/2)*AB33+(1-EXP(-LN(2)/2))/(LN(2)/2)*V34*Y34*VLOOKUP('Données projet'!$B$9,Paramètres!$A$1:$I$89,3,0)*0.475*44/12</f>
        <v>5.5541301532567887E-2</v>
      </c>
      <c r="AC34" s="22">
        <f t="shared" si="3"/>
        <v>63.687963692367738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137.97244371990928</v>
      </c>
      <c r="AO34" s="59">
        <f t="shared" si="36"/>
        <v>340.50331317844757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121.08790965489732</v>
      </c>
      <c r="AV34" s="21">
        <f>EXP(-LN(2)/25)*AV33+(1-EXP(-LN(2)/25))/(LN(2)/25)*Calculateur!AQ34*Calculateur!AS34*VLOOKUP('Données projet'!$B$10,Paramètres!$A$1:$I$89,3,0)*0.475*44/12</f>
        <v>13.984161310962627</v>
      </c>
      <c r="AW34" s="21">
        <f>EXP(-LN(2)/2)*AW33+(1-EXP(-LN(2)/2))/(LN(2)/2)*AQ34*AT34*VLOOKUP('Données projet'!$B$10,Paramètres!$A$1:$I$89,3,0)*0.475*44/12</f>
        <v>3.1792939340156819E-2</v>
      </c>
      <c r="AX34" s="21">
        <f t="shared" si="6"/>
        <v>135.10386390520011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137.97244371990928</v>
      </c>
      <c r="BJ34" s="59">
        <f t="shared" si="38"/>
        <v>340.50331317844757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121.08790965489732</v>
      </c>
      <c r="BQ34" s="21">
        <f>EXP(-LN(2)/25)*BQ33+(1-EXP(-LN(2)/25))/(LN(2)/25)*Calculateur!BL34*Calculateur!BN34*VLOOKUP('Données projet'!$B$11,Paramètres!$A$1:$I$89,3,0)*0.475*44/12</f>
        <v>13.984161310962627</v>
      </c>
      <c r="BR34" s="21">
        <f>EXP(-LN(2)/2)*BR33+(1-EXP(-LN(2)/2))/(LN(2)/2)*BL34*BO34*VLOOKUP('Données projet'!$B$11,Paramètres!$A$1:$I$89,3,0)*0.475*44/12</f>
        <v>3.1792939340156819E-2</v>
      </c>
      <c r="BS34" s="22">
        <f t="shared" si="9"/>
        <v>135.10386390520011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76.003200000000007</v>
      </c>
      <c r="CA34" s="13">
        <f t="shared" si="39"/>
        <v>21.157049992000456</v>
      </c>
      <c r="CB34" s="20">
        <f t="shared" si="10"/>
        <v>169.22076873606747</v>
      </c>
      <c r="CC34" s="59">
        <f t="shared" si="11"/>
        <v>462.55410206940076</v>
      </c>
      <c r="CD34" s="59">
        <f ca="1">AVERAGE(OFFSET($CC$3,0,0,'Données projet'!$E$12+1,1))-AVERAGE(OFFSET($H$3,0,0,'Données projet'!$E$12+1,1))</f>
        <v>216.16148211123436</v>
      </c>
      <c r="CE34" s="59">
        <f t="shared" si="40"/>
        <v>132.59131750490178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28.953600000000023</v>
      </c>
      <c r="D35" s="11">
        <f t="shared" si="32"/>
        <v>9.0180462007869373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293.11446190081165</v>
      </c>
      <c r="H35" s="66">
        <f t="shared" si="1"/>
        <v>359.46728379970392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327.60000000000014</v>
      </c>
      <c r="O35" s="13">
        <f>N35*VLOOKUP('Données projet'!$B$9,Paramètres!$A$1:$I$89,3,0)*VLOOKUP('Données projet'!$B$9,Paramètres!$A$1:$I$89,5,0)</f>
        <v>195.90480000000011</v>
      </c>
      <c r="P35" s="13">
        <f t="shared" si="33"/>
        <v>48.843085918490004</v>
      </c>
      <c r="Q35" s="20">
        <f t="shared" ref="Q35:Q66" si="53">(O35+P35)*0.475*44/12</f>
        <v>426.2692346413703</v>
      </c>
      <c r="R35" s="59">
        <f t="shared" si="0"/>
        <v>719.60256797470356</v>
      </c>
      <c r="S35" s="59">
        <f ca="1">AVERAGE(OFFSET($R$3,0,0,'Données projet'!$E$9+1,1))-AVERAGE(OFFSET($H$3,0,0,'Données projet'!$E$9+1,1))</f>
        <v>443.63756287217456</v>
      </c>
      <c r="T35" s="59">
        <f t="shared" si="34"/>
        <v>384.990641425788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61.892390454274121</v>
      </c>
      <c r="AB35" s="21">
        <f>EXP(-LN(2)/2)*AB34+(1-EXP(-LN(2)/2))/(LN(2)/2)*V35*Y35*VLOOKUP('Données projet'!$B$9,Paramètres!$A$1:$I$89,3,0)*0.475*44/12</f>
        <v>3.9273630949605537E-2</v>
      </c>
      <c r="AC35" s="22">
        <f t="shared" si="3"/>
        <v>61.93166408522373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137.97244371990928</v>
      </c>
      <c r="AO35" s="59">
        <f t="shared" si="36"/>
        <v>340.50331317844757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118.71344960289696</v>
      </c>
      <c r="AV35" s="21">
        <f>EXP(-LN(2)/25)*AV34+(1-EXP(-LN(2)/25))/(LN(2)/25)*Calculateur!AQ35*Calculateur!AS35*VLOOKUP('Données projet'!$B$10,Paramètres!$A$1:$I$89,3,0)*0.475*44/12</f>
        <v>13.601763684519272</v>
      </c>
      <c r="AW35" s="21">
        <f>EXP(-LN(2)/2)*AW34+(1-EXP(-LN(2)/2))/(LN(2)/2)*AQ35*AT35*VLOOKUP('Données projet'!$B$10,Paramètres!$A$1:$I$89,3,0)*0.475*44/12</f>
        <v>2.2481003001277446E-2</v>
      </c>
      <c r="AX35" s="21">
        <f t="shared" si="6"/>
        <v>132.33769429041752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137.97244371990928</v>
      </c>
      <c r="BJ35" s="59">
        <f t="shared" si="38"/>
        <v>340.50331317844757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118.71344960289696</v>
      </c>
      <c r="BQ35" s="21">
        <f>EXP(-LN(2)/25)*BQ34+(1-EXP(-LN(2)/25))/(LN(2)/25)*Calculateur!BL35*Calculateur!BN35*VLOOKUP('Données projet'!$B$11,Paramètres!$A$1:$I$89,3,0)*0.475*44/12</f>
        <v>13.601763684519272</v>
      </c>
      <c r="BR35" s="21">
        <f>EXP(-LN(2)/2)*BR34+(1-EXP(-LN(2)/2))/(LN(2)/2)*BL35*BO35*VLOOKUP('Données projet'!$B$11,Paramètres!$A$1:$I$89,3,0)*0.475*44/12</f>
        <v>2.2481003001277446E-2</v>
      </c>
      <c r="BS35" s="22">
        <f t="shared" si="9"/>
        <v>132.33769429041752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83.241600000000005</v>
      </c>
      <c r="CA35" s="13">
        <f t="shared" si="39"/>
        <v>22.927930643846508</v>
      </c>
      <c r="CB35" s="20">
        <f t="shared" si="10"/>
        <v>184.91193253803269</v>
      </c>
      <c r="CC35" s="59">
        <f t="shared" si="11"/>
        <v>478.24526587136597</v>
      </c>
      <c r="CD35" s="59">
        <f ca="1">AVERAGE(OFFSET($CC$3,0,0,'Données projet'!$E$12+1,1))-AVERAGE(OFFSET($H$3,0,0,'Données projet'!$E$12+1,1))</f>
        <v>216.16148211123436</v>
      </c>
      <c r="CE35" s="59">
        <f t="shared" si="40"/>
        <v>132.59131750490178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29.858400000000024</v>
      </c>
      <c r="D36" s="11">
        <f t="shared" si="32"/>
        <v>9.2666092944057183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302.01761560593906</v>
      </c>
      <c r="H36" s="66">
        <f t="shared" si="1"/>
        <v>361.47605785442329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354.40000000000015</v>
      </c>
      <c r="O36" s="13">
        <f>N36*VLOOKUP('Données projet'!$B$9,Paramètres!$A$1:$I$89,3,0)*VLOOKUP('Données projet'!$B$9,Paramètres!$A$1:$I$89,5,0)</f>
        <v>211.93120000000013</v>
      </c>
      <c r="P36" s="13">
        <f t="shared" si="33"/>
        <v>52.357376385254923</v>
      </c>
      <c r="Q36" s="20">
        <f t="shared" si="53"/>
        <v>460.30260387098588</v>
      </c>
      <c r="R36" s="59">
        <f t="shared" si="0"/>
        <v>753.63593720431913</v>
      </c>
      <c r="S36" s="59">
        <f ca="1">AVERAGE(OFFSET($R$3,0,0,'Données projet'!$E$9+1,1))-AVERAGE(OFFSET($H$3,0,0,'Données projet'!$E$9+1,1))</f>
        <v>443.63756287217456</v>
      </c>
      <c r="T36" s="59">
        <f t="shared" si="34"/>
        <v>384.990641425788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60.199939782522641</v>
      </c>
      <c r="AB36" s="21">
        <f>EXP(-LN(2)/2)*AB35+(1-EXP(-LN(2)/2))/(LN(2)/2)*V36*Y36*VLOOKUP('Données projet'!$B$9,Paramètres!$A$1:$I$89,3,0)*0.475*44/12</f>
        <v>2.7770650766283943E-2</v>
      </c>
      <c r="AC36" s="22">
        <f t="shared" si="3"/>
        <v>60.227710433288927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137.97244371990928</v>
      </c>
      <c r="AO36" s="59">
        <f t="shared" si="36"/>
        <v>340.50331317844757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116.3855512642387</v>
      </c>
      <c r="AV36" s="21">
        <f>EXP(-LN(2)/25)*AV35+(1-EXP(-LN(2)/25))/(LN(2)/25)*Calculateur!AQ36*Calculateur!AS36*VLOOKUP('Données projet'!$B$10,Paramètres!$A$1:$I$89,3,0)*0.475*44/12</f>
        <v>13.229822741280428</v>
      </c>
      <c r="AW36" s="21">
        <f>EXP(-LN(2)/2)*AW35+(1-EXP(-LN(2)/2))/(LN(2)/2)*AQ36*AT36*VLOOKUP('Données projet'!$B$10,Paramètres!$A$1:$I$89,3,0)*0.475*44/12</f>
        <v>1.5896469670078409E-2</v>
      </c>
      <c r="AX36" s="21">
        <f t="shared" si="6"/>
        <v>129.63127047518921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137.97244371990928</v>
      </c>
      <c r="BJ36" s="59">
        <f t="shared" si="38"/>
        <v>340.50331317844757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116.3855512642387</v>
      </c>
      <c r="BQ36" s="21">
        <f>EXP(-LN(2)/25)*BQ35+(1-EXP(-LN(2)/25))/(LN(2)/25)*Calculateur!BL36*Calculateur!BN36*VLOOKUP('Données projet'!$B$11,Paramètres!$A$1:$I$89,3,0)*0.475*44/12</f>
        <v>13.229822741280428</v>
      </c>
      <c r="BR36" s="21">
        <f>EXP(-LN(2)/2)*BR35+(1-EXP(-LN(2)/2))/(LN(2)/2)*BL36*BO36*VLOOKUP('Données projet'!$B$11,Paramètres!$A$1:$I$89,3,0)*0.475*44/12</f>
        <v>1.5896469670078409E-2</v>
      </c>
      <c r="BS36" s="22">
        <f t="shared" si="9"/>
        <v>129.63127047518921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90.47999999999999</v>
      </c>
      <c r="CA36" s="13">
        <f t="shared" si="39"/>
        <v>24.680953573367994</v>
      </c>
      <c r="CB36" s="20">
        <f t="shared" si="10"/>
        <v>200.57199414028256</v>
      </c>
      <c r="CC36" s="59">
        <f t="shared" si="11"/>
        <v>493.9053274736159</v>
      </c>
      <c r="CD36" s="59">
        <f ca="1">AVERAGE(OFFSET($CC$3,0,0,'Données projet'!$E$12+1,1))-AVERAGE(OFFSET($H$3,0,0,'Données projet'!$E$12+1,1))</f>
        <v>216.16148211123436</v>
      </c>
      <c r="CE36" s="59">
        <f t="shared" si="40"/>
        <v>132.59131750490178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30.763200000000026</v>
      </c>
      <c r="D37" s="11">
        <f t="shared" si="32"/>
        <v>9.5142970411082342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310.9140122471515</v>
      </c>
      <c r="H37" s="66">
        <f t="shared" si="1"/>
        <v>363.48330734659686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381.20000000000016</v>
      </c>
      <c r="O37" s="13">
        <f>N37*VLOOKUP('Données projet'!$B$9,Paramètres!$A$1:$I$89,3,0)*VLOOKUP('Données projet'!$B$9,Paramètres!$A$1:$I$89,5,0)</f>
        <v>227.95760000000013</v>
      </c>
      <c r="P37" s="13">
        <f t="shared" si="33"/>
        <v>55.840837908542632</v>
      </c>
      <c r="Q37" s="20">
        <f t="shared" si="53"/>
        <v>494.28227935737863</v>
      </c>
      <c r="R37" s="59">
        <f t="shared" si="0"/>
        <v>787.61561269071194</v>
      </c>
      <c r="S37" s="59">
        <f ca="1">AVERAGE(OFFSET($R$3,0,0,'Données projet'!$E$9+1,1))-AVERAGE(OFFSET($H$3,0,0,'Données projet'!$E$9+1,1))</f>
        <v>443.63756287217456</v>
      </c>
      <c r="T37" s="59">
        <f t="shared" si="34"/>
        <v>384.990641425788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58.553769263392319</v>
      </c>
      <c r="AB37" s="21">
        <f>EXP(-LN(2)/2)*AB36+(1-EXP(-LN(2)/2))/(LN(2)/2)*V37*Y37*VLOOKUP('Données projet'!$B$9,Paramètres!$A$1:$I$89,3,0)*0.475*44/12</f>
        <v>1.9636815474802768E-2</v>
      </c>
      <c r="AC37" s="22">
        <f t="shared" si="3"/>
        <v>58.573406078867123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137.97244371990928</v>
      </c>
      <c r="AO37" s="59">
        <f t="shared" si="36"/>
        <v>340.50331317844757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114.10330159212376</v>
      </c>
      <c r="AV37" s="21">
        <f>EXP(-LN(2)/25)*AV36+(1-EXP(-LN(2)/25))/(LN(2)/25)*Calculateur!AQ37*Calculateur!AS37*VLOOKUP('Données projet'!$B$10,Paramètres!$A$1:$I$89,3,0)*0.475*44/12</f>
        <v>12.868052542693974</v>
      </c>
      <c r="AW37" s="21">
        <f>EXP(-LN(2)/2)*AW36+(1-EXP(-LN(2)/2))/(LN(2)/2)*AQ37*AT37*VLOOKUP('Données projet'!$B$10,Paramètres!$A$1:$I$89,3,0)*0.475*44/12</f>
        <v>1.1240501500638723E-2</v>
      </c>
      <c r="AX37" s="21">
        <f t="shared" si="6"/>
        <v>126.98259463631837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137.97244371990928</v>
      </c>
      <c r="BJ37" s="59">
        <f t="shared" si="38"/>
        <v>340.50331317844757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114.10330159212376</v>
      </c>
      <c r="BQ37" s="21">
        <f>EXP(-LN(2)/25)*BQ36+(1-EXP(-LN(2)/25))/(LN(2)/25)*Calculateur!BL37*Calculateur!BN37*VLOOKUP('Données projet'!$B$11,Paramètres!$A$1:$I$89,3,0)*0.475*44/12</f>
        <v>12.868052542693974</v>
      </c>
      <c r="BR37" s="21">
        <f>EXP(-LN(2)/2)*BR36+(1-EXP(-LN(2)/2))/(LN(2)/2)*BL37*BO37*VLOOKUP('Données projet'!$B$11,Paramètres!$A$1:$I$89,3,0)*0.475*44/12</f>
        <v>1.1240501500638723E-2</v>
      </c>
      <c r="BS37" s="22">
        <f t="shared" si="9"/>
        <v>126.98259463631837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97.718399999999988</v>
      </c>
      <c r="CA37" s="13">
        <f t="shared" si="39"/>
        <v>26.417709819192194</v>
      </c>
      <c r="CB37" s="20">
        <f t="shared" si="10"/>
        <v>216.20372460175972</v>
      </c>
      <c r="CC37" s="59">
        <f t="shared" si="11"/>
        <v>509.537057935093</v>
      </c>
      <c r="CD37" s="59">
        <f ca="1">AVERAGE(OFFSET($CC$3,0,0,'Données projet'!$E$12+1,1))-AVERAGE(OFFSET($H$3,0,0,'Données projet'!$E$12+1,1))</f>
        <v>216.16148211123436</v>
      </c>
      <c r="CE37" s="59">
        <f t="shared" si="40"/>
        <v>132.59131750490178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31.668000000000028</v>
      </c>
      <c r="D38" s="11">
        <f t="shared" si="32"/>
        <v>9.7611381424130741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319.80387338003095</v>
      </c>
      <c r="H38" s="66">
        <f t="shared" si="1"/>
        <v>365.4890822647028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408</v>
      </c>
      <c r="L38" s="12">
        <f>VLOOKUP(A38,'Données projet'!$A$35:$I$55,9,0)</f>
        <v>26.8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408.00000000000017</v>
      </c>
      <c r="O38" s="13">
        <f>N38*VLOOKUP('Données projet'!$B$9,Paramètres!$A$1:$I$89,3,0)*VLOOKUP('Données projet'!$B$9,Paramètres!$A$1:$I$89,5,0)</f>
        <v>243.98400000000012</v>
      </c>
      <c r="P38" s="13">
        <f t="shared" si="33"/>
        <v>59.295884425255011</v>
      </c>
      <c r="Q38" s="20">
        <f t="shared" si="53"/>
        <v>528.21246537398599</v>
      </c>
      <c r="R38" s="59">
        <f t="shared" si="0"/>
        <v>821.54579870731936</v>
      </c>
      <c r="S38" s="59">
        <f ca="1">AVERAGE(OFFSET($R$3,0,0,'Données projet'!$E$9+1,1))-AVERAGE(OFFSET($H$3,0,0,'Données projet'!$E$9+1,1))</f>
        <v>443.63756287217456</v>
      </c>
      <c r="T38" s="59">
        <f t="shared" si="34"/>
        <v>384.990641425788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70</v>
      </c>
      <c r="W38" s="16">
        <f>IF(ISNA(VLOOKUP(A38,'Données projet'!$A$35:$I$55,5,0)),0%,VLOOKUP(A38,'Données projet'!$A$35:$I$55,5,0)*VLOOKUP('Données projet'!$B$9,Paramètres!$A$1:$I$89,7,0))</f>
        <v>0.45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24.988494647114621</v>
      </c>
      <c r="AA38" s="21">
        <f>EXP(-LN(2)/25)*AA37+(1-EXP(-LN(2)/25))/(LN(2)/25)*Calculateur!V38*Calculateur!X38*VLOOKUP('Données projet'!$B$9,Paramètres!$A$1:$I$89,3,0)*0.475*44/12</f>
        <v>56.952613363675958</v>
      </c>
      <c r="AB38" s="21">
        <f>EXP(-LN(2)/2)*AB37+(1-EXP(-LN(2)/2))/(LN(2)/2)*V38*Y38*VLOOKUP('Données projet'!$B$9,Paramètres!$A$1:$I$89,3,0)*0.475*44/12</f>
        <v>1.3885325383141972E-2</v>
      </c>
      <c r="AC38" s="22">
        <f t="shared" si="3"/>
        <v>81.954993336173715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137.97244371990928</v>
      </c>
      <c r="AO38" s="59">
        <f t="shared" si="36"/>
        <v>340.50331317844757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111.86580544404413</v>
      </c>
      <c r="AV38" s="21">
        <f>EXP(-LN(2)/25)*AV37+(1-EXP(-LN(2)/25))/(LN(2)/25)*Calculateur!AQ38*Calculateur!AS38*VLOOKUP('Données projet'!$B$10,Paramètres!$A$1:$I$89,3,0)*0.475*44/12</f>
        <v>12.516174969212534</v>
      </c>
      <c r="AW38" s="21">
        <f>EXP(-LN(2)/2)*AW37+(1-EXP(-LN(2)/2))/(LN(2)/2)*AQ38*AT38*VLOOKUP('Données projet'!$B$10,Paramètres!$A$1:$I$89,3,0)*0.475*44/12</f>
        <v>7.9482348350392047E-3</v>
      </c>
      <c r="AX38" s="21">
        <f t="shared" si="6"/>
        <v>124.3899286480917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137.97244371990928</v>
      </c>
      <c r="BJ38" s="59">
        <f t="shared" si="38"/>
        <v>340.50331317844757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111.86580544404413</v>
      </c>
      <c r="BQ38" s="21">
        <f>EXP(-LN(2)/25)*BQ37+(1-EXP(-LN(2)/25))/(LN(2)/25)*Calculateur!BL38*Calculateur!BN38*VLOOKUP('Données projet'!$B$11,Paramètres!$A$1:$I$89,3,0)*0.475*44/12</f>
        <v>12.516174969212534</v>
      </c>
      <c r="BR38" s="21">
        <f>EXP(-LN(2)/2)*BR37+(1-EXP(-LN(2)/2))/(LN(2)/2)*BL38*BO38*VLOOKUP('Données projet'!$B$11,Paramètres!$A$1:$I$89,3,0)*0.475*44/12</f>
        <v>7.9482348350392047E-3</v>
      </c>
      <c r="BS38" s="22">
        <f t="shared" si="9"/>
        <v>124.3899286480917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104.9568</v>
      </c>
      <c r="CA38" s="13">
        <f t="shared" si="39"/>
        <v>28.139541339232373</v>
      </c>
      <c r="CB38" s="20">
        <f t="shared" si="10"/>
        <v>231.8094611658297</v>
      </c>
      <c r="CC38" s="59">
        <f t="shared" si="11"/>
        <v>525.14279449916307</v>
      </c>
      <c r="CD38" s="59">
        <f ca="1">AVERAGE(OFFSET($CC$3,0,0,'Données projet'!$E$12+1,1))-AVERAGE(OFFSET($H$3,0,0,'Données projet'!$E$12+1,1))</f>
        <v>216.16148211123436</v>
      </c>
      <c r="CE38" s="59">
        <f t="shared" si="40"/>
        <v>132.59131750490178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9.0320732825947605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9.0320732825947605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32.572800000000029</v>
      </c>
      <c r="D39" s="11">
        <f t="shared" si="32"/>
        <v>10.007159566468198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328.68740717975476</v>
      </c>
      <c r="H39" s="66">
        <f t="shared" si="1"/>
        <v>367.49342957826548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25.8</v>
      </c>
      <c r="N39" s="13">
        <f>IF('Données projet'!$A$36&gt;35,N38+M39-V38,IF(A39&lt;'Données projet'!$A$36,$K$205^A39,IF(A39='Données projet'!$A$36,'Données projet'!$B$36,N38+M39-V38)))</f>
        <v>363.80000000000018</v>
      </c>
      <c r="O39" s="13">
        <f>N39*VLOOKUP('Données projet'!$B$9,Paramètres!$A$1:$I$89,3,0)*VLOOKUP('Données projet'!$B$9,Paramètres!$A$1:$I$89,5,0)</f>
        <v>217.55240000000015</v>
      </c>
      <c r="P39" s="13">
        <f t="shared" si="33"/>
        <v>53.58256606538</v>
      </c>
      <c r="Q39" s="20">
        <f t="shared" si="53"/>
        <v>472.22673256387026</v>
      </c>
      <c r="R39" s="59">
        <f t="shared" si="0"/>
        <v>765.56006589720357</v>
      </c>
      <c r="S39" s="59">
        <f ca="1">AVERAGE(OFFSET($R$3,0,0,'Données projet'!$E$9+1,1))-AVERAGE(OFFSET($H$3,0,0,'Données projet'!$E$9+1,1))</f>
        <v>443.63756287217456</v>
      </c>
      <c r="T39" s="59">
        <f t="shared" si="34"/>
        <v>384.990641425788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24.498485508561465</v>
      </c>
      <c r="AA39" s="21">
        <f>EXP(-LN(2)/25)*AA38+(1-EXP(-LN(2)/25))/(LN(2)/25)*Calculateur!V39*Calculateur!X39*VLOOKUP('Données projet'!$B$9,Paramètres!$A$1:$I$89,3,0)*0.475*44/12</f>
        <v>55.39524115623847</v>
      </c>
      <c r="AB39" s="21">
        <f>EXP(-LN(2)/2)*AB38+(1-EXP(-LN(2)/2))/(LN(2)/2)*V39*Y39*VLOOKUP('Données projet'!$B$9,Paramètres!$A$1:$I$89,3,0)*0.475*44/12</f>
        <v>9.8184077374013842E-3</v>
      </c>
      <c r="AC39" s="22">
        <f t="shared" si="3"/>
        <v>79.903545072537341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137.97244371990928</v>
      </c>
      <c r="AO39" s="59">
        <f t="shared" si="36"/>
        <v>340.50331317844757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109.67218523069045</v>
      </c>
      <c r="AV39" s="21">
        <f>EXP(-LN(2)/25)*AV38+(1-EXP(-LN(2)/25))/(LN(2)/25)*Calculateur!AQ39*Calculateur!AS39*VLOOKUP('Données projet'!$B$10,Paramètres!$A$1:$I$89,3,0)*0.475*44/12</f>
        <v>12.173919506482381</v>
      </c>
      <c r="AW39" s="21">
        <f>EXP(-LN(2)/2)*AW38+(1-EXP(-LN(2)/2))/(LN(2)/2)*AQ39*AT39*VLOOKUP('Données projet'!$B$10,Paramètres!$A$1:$I$89,3,0)*0.475*44/12</f>
        <v>5.6202507503193616E-3</v>
      </c>
      <c r="AX39" s="21">
        <f t="shared" si="6"/>
        <v>121.85172498792315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137.97244371990928</v>
      </c>
      <c r="BJ39" s="59">
        <f t="shared" si="38"/>
        <v>340.50331317844757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109.67218523069045</v>
      </c>
      <c r="BQ39" s="21">
        <f>EXP(-LN(2)/25)*BQ38+(1-EXP(-LN(2)/25))/(LN(2)/25)*Calculateur!BL39*Calculateur!BN39*VLOOKUP('Données projet'!$B$11,Paramètres!$A$1:$I$89,3,0)*0.475*44/12</f>
        <v>12.173919506482381</v>
      </c>
      <c r="BR39" s="21">
        <f>EXP(-LN(2)/2)*BR38+(1-EXP(-LN(2)/2))/(LN(2)/2)*BL39*BO39*VLOOKUP('Données projet'!$B$11,Paramètres!$A$1:$I$89,3,0)*0.475*44/12</f>
        <v>5.6202507503193616E-3</v>
      </c>
      <c r="BS39" s="22">
        <f t="shared" si="9"/>
        <v>121.85172498792315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93.556319999999999</v>
      </c>
      <c r="CA39" s="13">
        <f t="shared" si="39"/>
        <v>25.420979659258073</v>
      </c>
      <c r="CB39" s="20">
        <f t="shared" si="10"/>
        <v>207.21879690654114</v>
      </c>
      <c r="CC39" s="59">
        <f t="shared" si="11"/>
        <v>500.55213023987449</v>
      </c>
      <c r="CD39" s="59">
        <f ca="1">AVERAGE(OFFSET($CC$3,0,0,'Données projet'!$E$12+1,1))-AVERAGE(OFFSET($H$3,0,0,'Données projet'!$E$12+1,1))</f>
        <v>216.16148211123436</v>
      </c>
      <c r="CE39" s="59">
        <f t="shared" si="40"/>
        <v>132.59131750490178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8.8549598345438092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8.8549598345438092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33.477600000000031</v>
      </c>
      <c r="D40" s="11">
        <f t="shared" si="32"/>
        <v>10.252386697938803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337.56480959812433</v>
      </c>
      <c r="H40" s="66">
        <f t="shared" si="1"/>
        <v>369.49639349891009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25.8</v>
      </c>
      <c r="N40" s="13">
        <f>IF('Données projet'!$A$36&gt;35,N39+M40-V39,IF(A40&lt;'Données projet'!$A$36,$K$205^A40,IF(A40='Données projet'!$A$36,'Données projet'!$B$36,N39+M40-V39)))</f>
        <v>389.60000000000019</v>
      </c>
      <c r="O40" s="13">
        <f>N40*VLOOKUP('Données projet'!$B$9,Paramètres!$A$1:$I$89,3,0)*VLOOKUP('Données projet'!$B$9,Paramètres!$A$1:$I$89,5,0)</f>
        <v>232.98080000000013</v>
      </c>
      <c r="P40" s="13">
        <f t="shared" si="33"/>
        <v>56.926716368527195</v>
      </c>
      <c r="Q40" s="20">
        <f t="shared" si="53"/>
        <v>504.92225767518511</v>
      </c>
      <c r="R40" s="59">
        <f t="shared" si="0"/>
        <v>798.25559100851842</v>
      </c>
      <c r="S40" s="59">
        <f ca="1">AVERAGE(OFFSET($R$3,0,0,'Données projet'!$E$9+1,1))-AVERAGE(OFFSET($H$3,0,0,'Données projet'!$E$9+1,1))</f>
        <v>443.63756287217456</v>
      </c>
      <c r="T40" s="59">
        <f t="shared" si="34"/>
        <v>384.990641425788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24.018085150339274</v>
      </c>
      <c r="AA40" s="21">
        <f>EXP(-LN(2)/25)*AA39+(1-EXP(-LN(2)/25))/(LN(2)/25)*Calculateur!V40*Calculateur!X40*VLOOKUP('Données projet'!$B$9,Paramètres!$A$1:$I$89,3,0)*0.475*44/12</f>
        <v>53.880455373712003</v>
      </c>
      <c r="AB40" s="21">
        <f>EXP(-LN(2)/2)*AB39+(1-EXP(-LN(2)/2))/(LN(2)/2)*V40*Y40*VLOOKUP('Données projet'!$B$9,Paramètres!$A$1:$I$89,3,0)*0.475*44/12</f>
        <v>6.9426626915709859E-3</v>
      </c>
      <c r="AC40" s="22">
        <f t="shared" si="3"/>
        <v>77.905483186742842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137.97244371990928</v>
      </c>
      <c r="AO40" s="59">
        <f t="shared" si="36"/>
        <v>340.50331317844757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107.52158057174442</v>
      </c>
      <c r="AV40" s="21">
        <f>EXP(-LN(2)/25)*AV39+(1-EXP(-LN(2)/25))/(LN(2)/25)*Calculateur!AQ40*Calculateur!AS40*VLOOKUP('Données projet'!$B$10,Paramètres!$A$1:$I$89,3,0)*0.475*44/12</f>
        <v>11.841023037379017</v>
      </c>
      <c r="AW40" s="21">
        <f>EXP(-LN(2)/2)*AW39+(1-EXP(-LN(2)/2))/(LN(2)/2)*AQ40*AT40*VLOOKUP('Données projet'!$B$10,Paramètres!$A$1:$I$89,3,0)*0.475*44/12</f>
        <v>3.9741174175196023E-3</v>
      </c>
      <c r="AX40" s="21">
        <f t="shared" si="6"/>
        <v>119.36657772654095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137.97244371990928</v>
      </c>
      <c r="BJ40" s="59">
        <f t="shared" si="38"/>
        <v>340.50331317844757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107.52158057174442</v>
      </c>
      <c r="BQ40" s="21">
        <f>EXP(-LN(2)/25)*BQ39+(1-EXP(-LN(2)/25))/(LN(2)/25)*Calculateur!BL40*Calculateur!BN40*VLOOKUP('Données projet'!$B$11,Paramètres!$A$1:$I$89,3,0)*0.475*44/12</f>
        <v>11.841023037379017</v>
      </c>
      <c r="BR40" s="21">
        <f>EXP(-LN(2)/2)*BR39+(1-EXP(-LN(2)/2))/(LN(2)/2)*BL40*BO40*VLOOKUP('Données projet'!$B$11,Paramètres!$A$1:$I$89,3,0)*0.475*44/12</f>
        <v>3.9741174175196023E-3</v>
      </c>
      <c r="BS40" s="22">
        <f t="shared" si="9"/>
        <v>119.36657772654095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101.15664000000001</v>
      </c>
      <c r="CA40" s="13">
        <f t="shared" si="39"/>
        <v>27.237366379381644</v>
      </c>
      <c r="CB40" s="20">
        <f t="shared" si="10"/>
        <v>223.61956111075639</v>
      </c>
      <c r="CC40" s="59">
        <f t="shared" si="11"/>
        <v>516.95289444408968</v>
      </c>
      <c r="CD40" s="59">
        <f ca="1">AVERAGE(OFFSET($CC$3,0,0,'Données projet'!$E$12+1,1))-AVERAGE(OFFSET($H$3,0,0,'Données projet'!$E$12+1,1))</f>
        <v>216.16148211123436</v>
      </c>
      <c r="CE40" s="59">
        <f t="shared" si="40"/>
        <v>132.59131750490178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8.6813194731806007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8.6813194731806007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34.382400000000032</v>
      </c>
      <c r="D41" s="11">
        <f t="shared" si="32"/>
        <v>10.496843471235424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346.43626539199295</v>
      </c>
      <c r="H41" s="66">
        <f t="shared" si="1"/>
        <v>371.49801571240175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25.8</v>
      </c>
      <c r="N41" s="13">
        <f>IF('Données projet'!$A$36&gt;35,N40+M41-V40,IF(A41&lt;'Données projet'!$A$36,$K$205^A41,IF(A41='Données projet'!$A$36,'Données projet'!$B$36,N40+M41-V40)))</f>
        <v>415.4000000000002</v>
      </c>
      <c r="O41" s="13">
        <f>N41*VLOOKUP('Données projet'!$B$9,Paramètres!$A$1:$I$89,3,0)*VLOOKUP('Données projet'!$B$9,Paramètres!$A$1:$I$89,5,0)</f>
        <v>248.40920000000011</v>
      </c>
      <c r="P41" s="13">
        <f t="shared" si="33"/>
        <v>60.245168520988734</v>
      </c>
      <c r="Q41" s="20">
        <f t="shared" si="53"/>
        <v>537.57302517405549</v>
      </c>
      <c r="R41" s="59">
        <f t="shared" si="0"/>
        <v>830.90635850738886</v>
      </c>
      <c r="S41" s="59">
        <f ca="1">AVERAGE(OFFSET($R$3,0,0,'Données projet'!$E$9+1,1))-AVERAGE(OFFSET($H$3,0,0,'Données projet'!$E$9+1,1))</f>
        <v>443.63756287217456</v>
      </c>
      <c r="T41" s="59">
        <f t="shared" si="34"/>
        <v>384.990641425788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23.547105150126537</v>
      </c>
      <c r="AA41" s="21">
        <f>EXP(-LN(2)/25)*AA40+(1-EXP(-LN(2)/25))/(LN(2)/25)*Calculateur!V41*Calculateur!X41*VLOOKUP('Données projet'!$B$9,Paramètres!$A$1:$I$89,3,0)*0.475*44/12</f>
        <v>52.407091488067849</v>
      </c>
      <c r="AB41" s="21">
        <f>EXP(-LN(2)/2)*AB40+(1-EXP(-LN(2)/2))/(LN(2)/2)*V41*Y41*VLOOKUP('Données projet'!$B$9,Paramètres!$A$1:$I$89,3,0)*0.475*44/12</f>
        <v>4.9092038687006921E-3</v>
      </c>
      <c r="AC41" s="22">
        <f t="shared" si="3"/>
        <v>75.959105842063096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137.97244371990928</v>
      </c>
      <c r="AO41" s="59">
        <f t="shared" si="36"/>
        <v>340.50331317844757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105.41314795842101</v>
      </c>
      <c r="AV41" s="21">
        <f>EXP(-LN(2)/25)*AV40+(1-EXP(-LN(2)/25))/(LN(2)/25)*Calculateur!AQ41*Calculateur!AS41*VLOOKUP('Données projet'!$B$10,Paramètres!$A$1:$I$89,3,0)*0.475*44/12</f>
        <v>11.51722963972955</v>
      </c>
      <c r="AW41" s="21">
        <f>EXP(-LN(2)/2)*AW40+(1-EXP(-LN(2)/2))/(LN(2)/2)*AQ41*AT41*VLOOKUP('Données projet'!$B$10,Paramètres!$A$1:$I$89,3,0)*0.475*44/12</f>
        <v>2.8101253751596808E-3</v>
      </c>
      <c r="AX41" s="21">
        <f t="shared" si="6"/>
        <v>116.93318772352572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137.97244371990928</v>
      </c>
      <c r="BJ41" s="59">
        <f t="shared" si="38"/>
        <v>340.50331317844757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105.41314795842101</v>
      </c>
      <c r="BQ41" s="21">
        <f>EXP(-LN(2)/25)*BQ40+(1-EXP(-LN(2)/25))/(LN(2)/25)*Calculateur!BL41*Calculateur!BN41*VLOOKUP('Données projet'!$B$11,Paramètres!$A$1:$I$89,3,0)*0.475*44/12</f>
        <v>11.51722963972955</v>
      </c>
      <c r="BR41" s="21">
        <f>EXP(-LN(2)/2)*BR40+(1-EXP(-LN(2)/2))/(LN(2)/2)*BL41*BO41*VLOOKUP('Données projet'!$B$11,Paramètres!$A$1:$I$89,3,0)*0.475*44/12</f>
        <v>2.8101253751596808E-3</v>
      </c>
      <c r="BS41" s="22">
        <f t="shared" si="9"/>
        <v>116.93318772352572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108.75696000000002</v>
      </c>
      <c r="CA41" s="13">
        <f t="shared" si="39"/>
        <v>29.037921223305609</v>
      </c>
      <c r="CB41" s="20">
        <f t="shared" si="10"/>
        <v>239.99275146392395</v>
      </c>
      <c r="CC41" s="59">
        <f t="shared" si="11"/>
        <v>533.32608479725729</v>
      </c>
      <c r="CD41" s="59">
        <f ca="1">AVERAGE(OFFSET($CC$3,0,0,'Données projet'!$E$12+1,1))-AVERAGE(OFFSET($H$3,0,0,'Données projet'!$E$12+1,1))</f>
        <v>216.16148211123436</v>
      </c>
      <c r="CE41" s="59">
        <f t="shared" si="40"/>
        <v>132.59131750490178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8.5110840933935616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8.5110840933935616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35.287200000000034</v>
      </c>
      <c r="D42" s="11">
        <f t="shared" si="32"/>
        <v>10.740552489323534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355.30194904039246</v>
      </c>
      <c r="H42" s="66">
        <f t="shared" si="1"/>
        <v>373.49833558557185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25.8</v>
      </c>
      <c r="N42" s="13">
        <f>IF('Données projet'!$A$36&gt;35,N41+M42-V41,IF(A42&lt;'Données projet'!$A$36,$K$205^A42,IF(A42='Données projet'!$A$36,'Données projet'!$B$36,N41+M42-V41)))</f>
        <v>441.20000000000022</v>
      </c>
      <c r="O42" s="13">
        <f>N42*VLOOKUP('Données projet'!$B$9,Paramètres!$A$1:$I$89,3,0)*VLOOKUP('Données projet'!$B$9,Paramètres!$A$1:$I$89,5,0)</f>
        <v>263.83760000000018</v>
      </c>
      <c r="P42" s="13">
        <f t="shared" si="33"/>
        <v>63.539700318692688</v>
      </c>
      <c r="Q42" s="20">
        <f t="shared" si="53"/>
        <v>570.18213138839008</v>
      </c>
      <c r="R42" s="59">
        <f t="shared" si="0"/>
        <v>863.51546472172345</v>
      </c>
      <c r="S42" s="59">
        <f ca="1">AVERAGE(OFFSET($R$3,0,0,'Données projet'!$E$9+1,1))-AVERAGE(OFFSET($H$3,0,0,'Données projet'!$E$9+1,1))</f>
        <v>443.63756287217456</v>
      </c>
      <c r="T42" s="59">
        <f t="shared" si="34"/>
        <v>384.990641425788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23.085360780448536</v>
      </c>
      <c r="AA42" s="21">
        <f>EXP(-LN(2)/25)*AA41+(1-EXP(-LN(2)/25))/(LN(2)/25)*Calculateur!V42*Calculateur!X42*VLOOKUP('Données projet'!$B$9,Paramètres!$A$1:$I$89,3,0)*0.475*44/12</f>
        <v>50.974016815357473</v>
      </c>
      <c r="AB42" s="21">
        <f>EXP(-LN(2)/2)*AB41+(1-EXP(-LN(2)/2))/(LN(2)/2)*V42*Y42*VLOOKUP('Données projet'!$B$9,Paramètres!$A$1:$I$89,3,0)*0.475*44/12</f>
        <v>3.4713313457854929E-3</v>
      </c>
      <c r="AC42" s="22">
        <f t="shared" si="3"/>
        <v>74.062848927151791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137.97244371990928</v>
      </c>
      <c r="AO42" s="59">
        <f t="shared" si="36"/>
        <v>340.50331317844757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103.34606042262796</v>
      </c>
      <c r="AV42" s="21">
        <f>EXP(-LN(2)/25)*AV41+(1-EXP(-LN(2)/25))/(LN(2)/25)*Calculateur!AQ42*Calculateur!AS42*VLOOKUP('Données projet'!$B$10,Paramètres!$A$1:$I$89,3,0)*0.475*44/12</f>
        <v>11.202290389566361</v>
      </c>
      <c r="AW42" s="21">
        <f>EXP(-LN(2)/2)*AW41+(1-EXP(-LN(2)/2))/(LN(2)/2)*AQ42*AT42*VLOOKUP('Données projet'!$B$10,Paramètres!$A$1:$I$89,3,0)*0.475*44/12</f>
        <v>1.9870587087598012E-3</v>
      </c>
      <c r="AX42" s="21">
        <f t="shared" si="6"/>
        <v>114.55033787090308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137.97244371990928</v>
      </c>
      <c r="BJ42" s="59">
        <f t="shared" si="38"/>
        <v>340.50331317844757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103.34606042262796</v>
      </c>
      <c r="BQ42" s="21">
        <f>EXP(-LN(2)/25)*BQ41+(1-EXP(-LN(2)/25))/(LN(2)/25)*Calculateur!BL42*Calculateur!BN42*VLOOKUP('Données projet'!$B$11,Paramètres!$A$1:$I$89,3,0)*0.475*44/12</f>
        <v>11.202290389566361</v>
      </c>
      <c r="BR42" s="21">
        <f>EXP(-LN(2)/2)*BR41+(1-EXP(-LN(2)/2))/(LN(2)/2)*BL42*BO42*VLOOKUP('Données projet'!$B$11,Paramètres!$A$1:$I$89,3,0)*0.475*44/12</f>
        <v>1.9870587087598012E-3</v>
      </c>
      <c r="BS42" s="22">
        <f t="shared" si="9"/>
        <v>114.55033787090308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116.35728000000002</v>
      </c>
      <c r="CA42" s="13">
        <f t="shared" si="39"/>
        <v>30.823876427820704</v>
      </c>
      <c r="CB42" s="20">
        <f t="shared" si="10"/>
        <v>256.34051411178774</v>
      </c>
      <c r="CC42" s="59">
        <f t="shared" si="11"/>
        <v>549.67384744512105</v>
      </c>
      <c r="CD42" s="59">
        <f ca="1">AVERAGE(OFFSET($CC$3,0,0,'Données projet'!$E$12+1,1))-AVERAGE(OFFSET($H$3,0,0,'Données projet'!$E$12+1,1))</f>
        <v>216.16148211123436</v>
      </c>
      <c r="CE42" s="59">
        <f t="shared" si="40"/>
        <v>132.59131750490178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8.344186925570817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8.344186925570817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36.192000000000036</v>
      </c>
      <c r="D43" s="11">
        <f t="shared" si="32"/>
        <v>10.983535130004659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364.16202556494858</v>
      </c>
      <c r="H43" s="66">
        <f t="shared" si="1"/>
        <v>375.49739035142483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467</v>
      </c>
      <c r="L43" s="12">
        <f>VLOOKUP(A43,'Données projet'!$A$35:$I$55,9,0)</f>
        <v>25.8</v>
      </c>
      <c r="M43" s="12">
        <f t="array" ref="M43">INDEX(L:L,MIN(IF(ISNUMBER(L43:L239),ROW(L43:L239),"")))</f>
        <v>25.8</v>
      </c>
      <c r="N43" s="13">
        <f>IF('Données projet'!$A$36&gt;35,N42+M43-V42,IF(A43&lt;'Données projet'!$A$36,$K$205^A43,IF(A43='Données projet'!$A$36,'Données projet'!$B$36,N42+M43-V42)))</f>
        <v>467.00000000000023</v>
      </c>
      <c r="O43" s="13">
        <f>N43*VLOOKUP('Données projet'!$B$9,Paramètres!$A$1:$I$89,3,0)*VLOOKUP('Données projet'!$B$9,Paramètres!$A$1:$I$89,5,0)</f>
        <v>279.26600000000013</v>
      </c>
      <c r="P43" s="13">
        <f t="shared" si="33"/>
        <v>66.811869892488943</v>
      </c>
      <c r="Q43" s="20">
        <f t="shared" si="53"/>
        <v>602.75229006275174</v>
      </c>
      <c r="R43" s="59">
        <f t="shared" si="0"/>
        <v>896.08562339608511</v>
      </c>
      <c r="S43" s="59">
        <f ca="1">AVERAGE(OFFSET($R$3,0,0,'Données projet'!$E$9+1,1))-AVERAGE(OFFSET($H$3,0,0,'Données projet'!$E$9+1,1))</f>
        <v>443.63756287217456</v>
      </c>
      <c r="T43" s="59">
        <f t="shared" si="34"/>
        <v>384.990641425788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0.45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47.621165583338282</v>
      </c>
      <c r="AA43" s="21">
        <f>EXP(-LN(2)/25)*AA42+(1-EXP(-LN(2)/25))/(LN(2)/25)*Calculateur!V43*Calculateur!X43*VLOOKUP('Données projet'!$B$9,Paramètres!$A$1:$I$89,3,0)*0.475*44/12</f>
        <v>49.58012964493448</v>
      </c>
      <c r="AB43" s="21">
        <f>EXP(-LN(2)/2)*AB42+(1-EXP(-LN(2)/2))/(LN(2)/2)*V43*Y43*VLOOKUP('Données projet'!$B$9,Paramètres!$A$1:$I$89,3,0)*0.475*44/12</f>
        <v>2.4546019343503461E-3</v>
      </c>
      <c r="AC43" s="22">
        <f t="shared" si="3"/>
        <v>97.203749830207101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137.97244371990928</v>
      </c>
      <c r="AO43" s="59">
        <f t="shared" si="36"/>
        <v>340.50331317844757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101.3195072126129</v>
      </c>
      <c r="AV43" s="21">
        <f>EXP(-LN(2)/25)*AV42+(1-EXP(-LN(2)/25))/(LN(2)/25)*Calculateur!AQ43*Calculateur!AS43*VLOOKUP('Données projet'!$B$10,Paramètres!$A$1:$I$89,3,0)*0.475*44/12</f>
        <v>10.895963169760821</v>
      </c>
      <c r="AW43" s="21">
        <f>EXP(-LN(2)/2)*AW42+(1-EXP(-LN(2)/2))/(LN(2)/2)*AQ43*AT43*VLOOKUP('Données projet'!$B$10,Paramètres!$A$1:$I$89,3,0)*0.475*44/12</f>
        <v>1.4050626875798404E-3</v>
      </c>
      <c r="AX43" s="21">
        <f t="shared" si="6"/>
        <v>112.21687544506131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137.97244371990928</v>
      </c>
      <c r="BJ43" s="59">
        <f t="shared" si="38"/>
        <v>340.50331317844757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101.3195072126129</v>
      </c>
      <c r="BQ43" s="21">
        <f>EXP(-LN(2)/25)*BQ42+(1-EXP(-LN(2)/25))/(LN(2)/25)*Calculateur!BL43*Calculateur!BN43*VLOOKUP('Données projet'!$B$11,Paramètres!$A$1:$I$89,3,0)*0.475*44/12</f>
        <v>10.895963169760821</v>
      </c>
      <c r="BR43" s="21">
        <f>EXP(-LN(2)/2)*BR42+(1-EXP(-LN(2)/2))/(LN(2)/2)*BL43*BO43*VLOOKUP('Données projet'!$B$11,Paramètres!$A$1:$I$89,3,0)*0.475*44/12</f>
        <v>1.4050626875798404E-3</v>
      </c>
      <c r="BS43" s="22">
        <f t="shared" si="9"/>
        <v>112.21687544506131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123.95760000000001</v>
      </c>
      <c r="CA43" s="13">
        <f t="shared" si="39"/>
        <v>32.59629414926458</v>
      </c>
      <c r="CB43" s="20">
        <f t="shared" si="10"/>
        <v>272.6646989766358</v>
      </c>
      <c r="CC43" s="59">
        <f t="shared" si="11"/>
        <v>565.99803230996918</v>
      </c>
      <c r="CD43" s="59">
        <f ca="1">AVERAGE(OFFSET($CC$3,0,0,'Données projet'!$E$12+1,1))-AVERAGE(OFFSET($H$3,0,0,'Données projet'!$E$12+1,1))</f>
        <v>216.16148211123436</v>
      </c>
      <c r="CE43" s="59">
        <f t="shared" si="40"/>
        <v>132.59131750490178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17.212635792006616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17.212635792006616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37.096800000000037</v>
      </c>
      <c r="D44" s="11">
        <f t="shared" si="32"/>
        <v>11.225811641270198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373.01665126594571</v>
      </c>
      <c r="H44" s="66">
        <f t="shared" si="1"/>
        <v>377.49521527521233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24.2</v>
      </c>
      <c r="N44" s="13">
        <f>IF('Données projet'!$A$36&gt;35,N43+M44-V43,IF(A44&lt;'Données projet'!$A$36,$K$205^A44,IF(A44='Données projet'!$A$36,'Données projet'!$B$36,N43+M44-V43)))</f>
        <v>421.20000000000022</v>
      </c>
      <c r="O44" s="13">
        <f>N44*VLOOKUP('Données projet'!$B$9,Paramètres!$A$1:$I$89,3,0)*VLOOKUP('Données projet'!$B$9,Paramètres!$A$1:$I$89,5,0)</f>
        <v>251.87760000000014</v>
      </c>
      <c r="P44" s="13">
        <f t="shared" si="33"/>
        <v>60.987825380023075</v>
      </c>
      <c r="Q44" s="20">
        <f t="shared" si="53"/>
        <v>544.90728253687382</v>
      </c>
      <c r="R44" s="59">
        <f t="shared" si="0"/>
        <v>838.24061587020719</v>
      </c>
      <c r="S44" s="59">
        <f ca="1">AVERAGE(OFFSET($R$3,0,0,'Données projet'!$E$9+1,1))-AVERAGE(OFFSET($H$3,0,0,'Données projet'!$E$9+1,1))</f>
        <v>443.63756287217456</v>
      </c>
      <c r="T44" s="59">
        <f t="shared" si="34"/>
        <v>384.990641425788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46.687343572291965</v>
      </c>
      <c r="AA44" s="21">
        <f>EXP(-LN(2)/25)*AA43+(1-EXP(-LN(2)/25))/(LN(2)/25)*Calculateur!V44*Calculateur!X44*VLOOKUP('Données projet'!$B$9,Paramètres!$A$1:$I$89,3,0)*0.475*44/12</f>
        <v>48.224358392488043</v>
      </c>
      <c r="AB44" s="21">
        <f>EXP(-LN(2)/2)*AB43+(1-EXP(-LN(2)/2))/(LN(2)/2)*V44*Y44*VLOOKUP('Données projet'!$B$9,Paramètres!$A$1:$I$89,3,0)*0.475*44/12</f>
        <v>1.7356656728927465E-3</v>
      </c>
      <c r="AC44" s="22">
        <f t="shared" si="3"/>
        <v>94.913437630452904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137.97244371990928</v>
      </c>
      <c r="AO44" s="59">
        <f t="shared" si="36"/>
        <v>340.50331317844757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99.332693474970839</v>
      </c>
      <c r="AV44" s="21">
        <f>EXP(-LN(2)/25)*AV43+(1-EXP(-LN(2)/25))/(LN(2)/25)*Calculateur!AQ44*Calculateur!AS44*VLOOKUP('Données projet'!$B$10,Paramètres!$A$1:$I$89,3,0)*0.475*44/12</f>
        <v>10.59801248388991</v>
      </c>
      <c r="AW44" s="21">
        <f>EXP(-LN(2)/2)*AW43+(1-EXP(-LN(2)/2))/(LN(2)/2)*AQ44*AT44*VLOOKUP('Données projet'!$B$10,Paramètres!$A$1:$I$89,3,0)*0.475*44/12</f>
        <v>9.9352935437990058E-4</v>
      </c>
      <c r="AX44" s="21">
        <f t="shared" si="6"/>
        <v>109.93169948821513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137.97244371990928</v>
      </c>
      <c r="BJ44" s="59">
        <f t="shared" si="38"/>
        <v>340.50331317844757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99.332693474970839</v>
      </c>
      <c r="BQ44" s="21">
        <f>EXP(-LN(2)/25)*BQ43+(1-EXP(-LN(2)/25))/(LN(2)/25)*Calculateur!BL44*Calculateur!BN44*VLOOKUP('Données projet'!$B$11,Paramètres!$A$1:$I$89,3,0)*0.475*44/12</f>
        <v>10.59801248388991</v>
      </c>
      <c r="BR44" s="21">
        <f>EXP(-LN(2)/2)*BR43+(1-EXP(-LN(2)/2))/(LN(2)/2)*BL44*BO44*VLOOKUP('Données projet'!$B$11,Paramètres!$A$1:$I$89,3,0)*0.475*44/12</f>
        <v>9.9352935437990058E-4</v>
      </c>
      <c r="BS44" s="22">
        <f t="shared" si="9"/>
        <v>109.93169948821513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112.55712000000003</v>
      </c>
      <c r="CA44" s="13">
        <f t="shared" si="39"/>
        <v>29.932653834140599</v>
      </c>
      <c r="CB44" s="20">
        <f t="shared" si="10"/>
        <v>248.16968942779496</v>
      </c>
      <c r="CC44" s="59">
        <f t="shared" si="11"/>
        <v>541.50302276112825</v>
      </c>
      <c r="CD44" s="59">
        <f ca="1">AVERAGE(OFFSET($CC$3,0,0,'Données projet'!$E$12+1,1))-AVERAGE(OFFSET($H$3,0,0,'Données projet'!$E$12+1,1))</f>
        <v>216.16148211123436</v>
      </c>
      <c r="CE44" s="59">
        <f t="shared" si="40"/>
        <v>132.59131750490178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16.875106502796541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16.875106502796541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38.001600000000039</v>
      </c>
      <c r="D45" s="11">
        <f t="shared" si="32"/>
        <v>11.467401227090523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381.86597438455874</v>
      </c>
      <c r="H45" s="66">
        <f t="shared" si="1"/>
        <v>379.49184380384935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24.2</v>
      </c>
      <c r="N45" s="13">
        <f>IF('Données projet'!$A$36&gt;35,N44+M45-V44,IF(A45&lt;'Données projet'!$A$36,$K$205^A45,IF(A45='Données projet'!$A$36,'Données projet'!$B$36,N44+M45-V44)))</f>
        <v>445.4000000000002</v>
      </c>
      <c r="O45" s="13">
        <f>N45*VLOOKUP('Données projet'!$B$9,Paramètres!$A$1:$I$89,3,0)*VLOOKUP('Données projet'!$B$9,Paramètres!$A$1:$I$89,5,0)</f>
        <v>266.34920000000017</v>
      </c>
      <c r="P45" s="13">
        <f t="shared" si="33"/>
        <v>64.073864575037135</v>
      </c>
      <c r="Q45" s="20">
        <f t="shared" si="53"/>
        <v>575.48683746818995</v>
      </c>
      <c r="R45" s="59">
        <f t="shared" si="0"/>
        <v>868.82017080152332</v>
      </c>
      <c r="S45" s="59">
        <f ca="1">AVERAGE(OFFSET($R$3,0,0,'Données projet'!$E$9+1,1))-AVERAGE(OFFSET($H$3,0,0,'Données projet'!$E$9+1,1))</f>
        <v>443.63756287217456</v>
      </c>
      <c r="T45" s="59">
        <f t="shared" si="34"/>
        <v>384.990641425788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45.771833241307078</v>
      </c>
      <c r="AA45" s="21">
        <f>EXP(-LN(2)/25)*AA44+(1-EXP(-LN(2)/25))/(LN(2)/25)*Calculateur!V45*Calculateur!X45*VLOOKUP('Données projet'!$B$9,Paramètres!$A$1:$I$89,3,0)*0.475*44/12</f>
        <v>46.905660776236665</v>
      </c>
      <c r="AB45" s="21">
        <f>EXP(-LN(2)/2)*AB44+(1-EXP(-LN(2)/2))/(LN(2)/2)*V45*Y45*VLOOKUP('Données projet'!$B$9,Paramètres!$A$1:$I$89,3,0)*0.475*44/12</f>
        <v>1.227300967175173E-3</v>
      </c>
      <c r="AC45" s="22">
        <f t="shared" si="3"/>
        <v>92.678721318510924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137.97244371990928</v>
      </c>
      <c r="AO45" s="59">
        <f t="shared" si="36"/>
        <v>340.50331317844757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97.384839942887211</v>
      </c>
      <c r="AV45" s="21">
        <f>EXP(-LN(2)/25)*AV44+(1-EXP(-LN(2)/25))/(LN(2)/25)*Calculateur!AQ45*Calculateur!AS45*VLOOKUP('Données projet'!$B$10,Paramètres!$A$1:$I$89,3,0)*0.475*44/12</f>
        <v>10.308209275192686</v>
      </c>
      <c r="AW45" s="21">
        <f>EXP(-LN(2)/2)*AW44+(1-EXP(-LN(2)/2))/(LN(2)/2)*AQ45*AT45*VLOOKUP('Données projet'!$B$10,Paramètres!$A$1:$I$89,3,0)*0.475*44/12</f>
        <v>7.025313437899202E-4</v>
      </c>
      <c r="AX45" s="21">
        <f t="shared" si="6"/>
        <v>107.69375174942368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137.97244371990928</v>
      </c>
      <c r="BJ45" s="59">
        <f t="shared" si="38"/>
        <v>340.50331317844757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97.384839942887211</v>
      </c>
      <c r="BQ45" s="21">
        <f>EXP(-LN(2)/25)*BQ44+(1-EXP(-LN(2)/25))/(LN(2)/25)*Calculateur!BL45*Calculateur!BN45*VLOOKUP('Données projet'!$B$11,Paramètres!$A$1:$I$89,3,0)*0.475*44/12</f>
        <v>10.308209275192686</v>
      </c>
      <c r="BR45" s="21">
        <f>EXP(-LN(2)/2)*BR44+(1-EXP(-LN(2)/2))/(LN(2)/2)*BL45*BO45*VLOOKUP('Données projet'!$B$11,Paramètres!$A$1:$I$89,3,0)*0.475*44/12</f>
        <v>7.025313437899202E-4</v>
      </c>
      <c r="BS45" s="22">
        <f t="shared" si="9"/>
        <v>107.69375174942368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120.15744000000002</v>
      </c>
      <c r="CA45" s="13">
        <f t="shared" si="39"/>
        <v>31.711716786129845</v>
      </c>
      <c r="CB45" s="20">
        <f t="shared" si="10"/>
        <v>264.50544806917623</v>
      </c>
      <c r="CC45" s="59">
        <f t="shared" si="11"/>
        <v>557.83878140250954</v>
      </c>
      <c r="CD45" s="59">
        <f ca="1">AVERAGE(OFFSET($CC$3,0,0,'Données projet'!$E$12+1,1))-AVERAGE(OFFSET($H$3,0,0,'Données projet'!$E$12+1,1))</f>
        <v>216.16148211123436</v>
      </c>
      <c r="CE45" s="59">
        <f t="shared" si="40"/>
        <v>132.59131750490178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16.544195957075338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16.544195957075338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38.906400000000041</v>
      </c>
      <c r="D46" s="11">
        <f t="shared" si="32"/>
        <v>11.708322124803493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390.7101357002378</v>
      </c>
      <c r="H46" s="66">
        <f t="shared" si="1"/>
        <v>381.48730770069949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24.2</v>
      </c>
      <c r="N46" s="13">
        <f>IF('Données projet'!$A$36&gt;35,N45+M46-V45,IF(A46&lt;'Données projet'!$A$36,$K$205^A46,IF(A46='Données projet'!$A$36,'Données projet'!$B$36,N45+M46-V45)))</f>
        <v>469.60000000000019</v>
      </c>
      <c r="O46" s="13">
        <f>N46*VLOOKUP('Données projet'!$B$9,Paramètres!$A$1:$I$89,3,0)*VLOOKUP('Données projet'!$B$9,Paramètres!$A$1:$I$89,5,0)</f>
        <v>280.82080000000013</v>
      </c>
      <c r="P46" s="13">
        <f t="shared" si="33"/>
        <v>67.140437954919463</v>
      </c>
      <c r="Q46" s="20">
        <f t="shared" si="53"/>
        <v>606.03248943815163</v>
      </c>
      <c r="R46" s="59">
        <f t="shared" si="0"/>
        <v>899.365822771485</v>
      </c>
      <c r="S46" s="59">
        <f ca="1">AVERAGE(OFFSET($R$3,0,0,'Données projet'!$E$9+1,1))-AVERAGE(OFFSET($H$3,0,0,'Données projet'!$E$9+1,1))</f>
        <v>443.63756287217456</v>
      </c>
      <c r="T46" s="59">
        <f t="shared" si="34"/>
        <v>384.990641425788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44.874275509506646</v>
      </c>
      <c r="AA46" s="21">
        <f>EXP(-LN(2)/25)*AA45+(1-EXP(-LN(2)/25))/(LN(2)/25)*Calculateur!V46*Calculateur!X46*VLOOKUP('Données projet'!$B$9,Paramètres!$A$1:$I$89,3,0)*0.475*44/12</f>
        <v>45.623023015648975</v>
      </c>
      <c r="AB46" s="21">
        <f>EXP(-LN(2)/2)*AB45+(1-EXP(-LN(2)/2))/(LN(2)/2)*V46*Y46*VLOOKUP('Données projet'!$B$9,Paramètres!$A$1:$I$89,3,0)*0.475*44/12</f>
        <v>8.6783283644637323E-4</v>
      </c>
      <c r="AC46" s="22">
        <f t="shared" si="3"/>
        <v>90.498166357992076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137.97244371990928</v>
      </c>
      <c r="AO46" s="59">
        <f t="shared" si="36"/>
        <v>340.50331317844757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95.475182630494402</v>
      </c>
      <c r="AV46" s="21">
        <f>EXP(-LN(2)/25)*AV45+(1-EXP(-LN(2)/25))/(LN(2)/25)*Calculateur!AQ46*Calculateur!AS46*VLOOKUP('Données projet'!$B$10,Paramètres!$A$1:$I$89,3,0)*0.475*44/12</f>
        <v>10.026330750477376</v>
      </c>
      <c r="AW46" s="21">
        <f>EXP(-LN(2)/2)*AW45+(1-EXP(-LN(2)/2))/(LN(2)/2)*AQ46*AT46*VLOOKUP('Données projet'!$B$10,Paramètres!$A$1:$I$89,3,0)*0.475*44/12</f>
        <v>4.9676467718995029E-4</v>
      </c>
      <c r="AX46" s="21">
        <f t="shared" si="6"/>
        <v>105.50201014564897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137.97244371990928</v>
      </c>
      <c r="BJ46" s="59">
        <f t="shared" si="38"/>
        <v>340.50331317844757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95.475182630494402</v>
      </c>
      <c r="BQ46" s="21">
        <f>EXP(-LN(2)/25)*BQ45+(1-EXP(-LN(2)/25))/(LN(2)/25)*Calculateur!BL46*Calculateur!BN46*VLOOKUP('Données projet'!$B$11,Paramètres!$A$1:$I$89,3,0)*0.475*44/12</f>
        <v>10.026330750477376</v>
      </c>
      <c r="BR46" s="21">
        <f>EXP(-LN(2)/2)*BR45+(1-EXP(-LN(2)/2))/(LN(2)/2)*BL46*BO46*VLOOKUP('Données projet'!$B$11,Paramètres!$A$1:$I$89,3,0)*0.475*44/12</f>
        <v>4.9676467718995029E-4</v>
      </c>
      <c r="BS46" s="22">
        <f t="shared" si="9"/>
        <v>105.50201014564897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127.75776000000003</v>
      </c>
      <c r="CA46" s="13">
        <f t="shared" si="39"/>
        <v>33.477720030956604</v>
      </c>
      <c r="CB46" s="20">
        <f t="shared" si="10"/>
        <v>280.81846105391611</v>
      </c>
      <c r="CC46" s="59">
        <f t="shared" si="11"/>
        <v>574.15179438724942</v>
      </c>
      <c r="CD46" s="59">
        <f ca="1">AVERAGE(OFFSET($CC$3,0,0,'Données projet'!$E$12+1,1))-AVERAGE(OFFSET($H$3,0,0,'Données projet'!$E$12+1,1))</f>
        <v>216.16148211123436</v>
      </c>
      <c r="CE46" s="59">
        <f t="shared" si="40"/>
        <v>132.59131750490178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16.219774365320227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16.219774365320227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39.811200000000042</v>
      </c>
      <c r="D47" s="11">
        <f t="shared" si="32"/>
        <v>11.948591675101248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399.54926907095734</v>
      </c>
      <c r="H47" s="66">
        <f t="shared" si="1"/>
        <v>383.48163716746808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24.2</v>
      </c>
      <c r="N47" s="13">
        <f>IF('Données projet'!$A$36&gt;35,N46+M47-V46,IF(A47&lt;'Données projet'!$A$36,$K$205^A47,IF(A47='Données projet'!$A$36,'Données projet'!$B$36,N46+M47-V46)))</f>
        <v>493.80000000000018</v>
      </c>
      <c r="O47" s="13">
        <f>N47*VLOOKUP('Données projet'!$B$9,Paramètres!$A$1:$I$89,3,0)*VLOOKUP('Données projet'!$B$9,Paramètres!$A$1:$I$89,5,0)</f>
        <v>295.2924000000001</v>
      </c>
      <c r="P47" s="13">
        <f t="shared" si="33"/>
        <v>70.188663082637405</v>
      </c>
      <c r="Q47" s="20">
        <f t="shared" si="53"/>
        <v>636.54618486892696</v>
      </c>
      <c r="R47" s="59">
        <f t="shared" si="0"/>
        <v>929.87951820226021</v>
      </c>
      <c r="S47" s="59">
        <f ca="1">AVERAGE(OFFSET($R$3,0,0,'Données projet'!$E$9+1,1))-AVERAGE(OFFSET($H$3,0,0,'Données projet'!$E$9+1,1))</f>
        <v>443.63756287217456</v>
      </c>
      <c r="T47" s="59">
        <f t="shared" si="34"/>
        <v>384.990641425788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43.994318337370657</v>
      </c>
      <c r="AA47" s="21">
        <f>EXP(-LN(2)/25)*AA46+(1-EXP(-LN(2)/25))/(LN(2)/25)*Calculateur!V47*Calculateur!X47*VLOOKUP('Données projet'!$B$9,Paramètres!$A$1:$I$89,3,0)*0.475*44/12</f>
        <v>44.375459052075549</v>
      </c>
      <c r="AB47" s="21">
        <f>EXP(-LN(2)/2)*AB46+(1-EXP(-LN(2)/2))/(LN(2)/2)*V47*Y47*VLOOKUP('Données projet'!$B$9,Paramètres!$A$1:$I$89,3,0)*0.475*44/12</f>
        <v>6.1365048358758651E-4</v>
      </c>
      <c r="AC47" s="22">
        <f t="shared" si="3"/>
        <v>88.370391039929785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137.97244371990928</v>
      </c>
      <c r="AO47" s="59">
        <f t="shared" si="36"/>
        <v>340.50331317844757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93.602972533221674</v>
      </c>
      <c r="AV47" s="21">
        <f>EXP(-LN(2)/25)*AV46+(1-EXP(-LN(2)/25))/(LN(2)/25)*Calculateur!AQ47*Calculateur!AS47*VLOOKUP('Données projet'!$B$10,Paramètres!$A$1:$I$89,3,0)*0.475*44/12</f>
        <v>9.7521602088437529</v>
      </c>
      <c r="AW47" s="21">
        <f>EXP(-LN(2)/2)*AW46+(1-EXP(-LN(2)/2))/(LN(2)/2)*AQ47*AT47*VLOOKUP('Données projet'!$B$10,Paramètres!$A$1:$I$89,3,0)*0.475*44/12</f>
        <v>3.512656718949601E-4</v>
      </c>
      <c r="AX47" s="21">
        <f t="shared" si="6"/>
        <v>103.35548400773732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137.97244371990928</v>
      </c>
      <c r="BJ47" s="59">
        <f t="shared" si="38"/>
        <v>340.50331317844757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93.602972533221674</v>
      </c>
      <c r="BQ47" s="21">
        <f>EXP(-LN(2)/25)*BQ46+(1-EXP(-LN(2)/25))/(LN(2)/25)*Calculateur!BL47*Calculateur!BN47*VLOOKUP('Données projet'!$B$11,Paramètres!$A$1:$I$89,3,0)*0.475*44/12</f>
        <v>9.7521602088437529</v>
      </c>
      <c r="BR47" s="21">
        <f>EXP(-LN(2)/2)*BR46+(1-EXP(-LN(2)/2))/(LN(2)/2)*BL47*BO47*VLOOKUP('Données projet'!$B$11,Paramètres!$A$1:$I$89,3,0)*0.475*44/12</f>
        <v>3.512656718949601E-4</v>
      </c>
      <c r="BS47" s="22">
        <f t="shared" si="9"/>
        <v>103.35548400773732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135.35808000000006</v>
      </c>
      <c r="CA47" s="13">
        <f t="shared" si="39"/>
        <v>35.231528980112834</v>
      </c>
      <c r="CB47" s="20">
        <f t="shared" si="10"/>
        <v>297.11023564036327</v>
      </c>
      <c r="CC47" s="59">
        <f t="shared" si="11"/>
        <v>590.44356897369653</v>
      </c>
      <c r="CD47" s="59">
        <f ca="1">AVERAGE(OFFSET($CC$3,0,0,'Données projet'!$E$12+1,1))-AVERAGE(OFFSET($H$3,0,0,'Données projet'!$E$12+1,1))</f>
        <v>216.16148211123436</v>
      </c>
      <c r="CE47" s="59">
        <f t="shared" si="40"/>
        <v>132.59131750490178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15.901714483101799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15.901714483101799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40.716000000000044</v>
      </c>
      <c r="D48" s="11">
        <f t="shared" si="32"/>
        <v>12.188226385475186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408.38350192296667</v>
      </c>
      <c r="H48" s="66">
        <f t="shared" si="1"/>
        <v>385.47486095470265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518</v>
      </c>
      <c r="L48" s="12">
        <f>VLOOKUP(A48,'Données projet'!$A$35:$I$55,9,0)</f>
        <v>24.2</v>
      </c>
      <c r="M48" s="12">
        <f t="array" ref="M48">INDEX(L:L,MIN(IF(ISNUMBER(L48:L244),ROW(L48:L244),"")))</f>
        <v>24.2</v>
      </c>
      <c r="N48" s="13">
        <f>IF('Données projet'!$A$36&gt;35,N47+M48-V47,IF(A48&lt;'Données projet'!$A$36,$K$205^A48,IF(A48='Données projet'!$A$36,'Données projet'!$B$36,N47+M48-V47)))</f>
        <v>518.00000000000023</v>
      </c>
      <c r="O48" s="13">
        <f>N48*VLOOKUP('Données projet'!$B$9,Paramètres!$A$1:$I$89,3,0)*VLOOKUP('Données projet'!$B$9,Paramètres!$A$1:$I$89,5,0)</f>
        <v>309.76400000000018</v>
      </c>
      <c r="P48" s="13">
        <f t="shared" si="33"/>
        <v>73.219541794375104</v>
      </c>
      <c r="Q48" s="20">
        <f t="shared" si="53"/>
        <v>667.02966862520361</v>
      </c>
      <c r="R48" s="59">
        <f t="shared" si="0"/>
        <v>960.36300195853687</v>
      </c>
      <c r="S48" s="59">
        <f ca="1">AVERAGE(OFFSET($R$3,0,0,'Données projet'!$E$9+1,1))-AVERAGE(OFFSET($H$3,0,0,'Données projet'!$E$9+1,1))</f>
        <v>443.63756287217456</v>
      </c>
      <c r="T48" s="59">
        <f t="shared" si="34"/>
        <v>384.990641425788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64</v>
      </c>
      <c r="W48" s="16">
        <f>IF(ISNA(VLOOKUP(A48,'Données projet'!$A$35:$I$55,5,0)),0%,VLOOKUP(A48,'Données projet'!$A$35:$I$55,5,0)*VLOOKUP('Données projet'!$B$9,Paramètres!$A$1:$I$89,7,0))</f>
        <v>0.45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65.978240266021317</v>
      </c>
      <c r="AA48" s="21">
        <f>EXP(-LN(2)/25)*AA47+(1-EXP(-LN(2)/25))/(LN(2)/25)*Calculateur!V48*Calculateur!X48*VLOOKUP('Données projet'!$B$9,Paramètres!$A$1:$I$89,3,0)*0.475*44/12</f>
        <v>43.162009790692572</v>
      </c>
      <c r="AB48" s="21">
        <f>EXP(-LN(2)/2)*AB47+(1-EXP(-LN(2)/2))/(LN(2)/2)*V48*Y48*VLOOKUP('Données projet'!$B$9,Paramètres!$A$1:$I$89,3,0)*0.475*44/12</f>
        <v>4.3391641822318662E-4</v>
      </c>
      <c r="AC48" s="22">
        <f t="shared" si="3"/>
        <v>109.1406839731321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137.97244371990928</v>
      </c>
      <c r="AO48" s="59">
        <f t="shared" si="36"/>
        <v>340.50331317844757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91.767475334021057</v>
      </c>
      <c r="AV48" s="21">
        <f>EXP(-LN(2)/25)*AV47+(1-EXP(-LN(2)/25))/(LN(2)/25)*Calculateur!AQ48*Calculateur!AS48*VLOOKUP('Données projet'!$B$10,Paramètres!$A$1:$I$89,3,0)*0.475*44/12</f>
        <v>9.4854868750891033</v>
      </c>
      <c r="AW48" s="21">
        <f>EXP(-LN(2)/2)*AW47+(1-EXP(-LN(2)/2))/(LN(2)/2)*AQ48*AT48*VLOOKUP('Données projet'!$B$10,Paramètres!$A$1:$I$89,3,0)*0.475*44/12</f>
        <v>2.4838233859497515E-4</v>
      </c>
      <c r="AX48" s="21">
        <f t="shared" si="6"/>
        <v>101.25321059144876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137.97244371990928</v>
      </c>
      <c r="BJ48" s="59">
        <f t="shared" si="38"/>
        <v>340.50331317844757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91.767475334021057</v>
      </c>
      <c r="BQ48" s="21">
        <f>EXP(-LN(2)/25)*BQ47+(1-EXP(-LN(2)/25))/(LN(2)/25)*Calculateur!BL48*Calculateur!BN48*VLOOKUP('Données projet'!$B$11,Paramètres!$A$1:$I$89,3,0)*0.475*44/12</f>
        <v>9.4854868750891033</v>
      </c>
      <c r="BR48" s="21">
        <f>EXP(-LN(2)/2)*BR47+(1-EXP(-LN(2)/2))/(LN(2)/2)*BL48*BO48*VLOOKUP('Données projet'!$B$11,Paramètres!$A$1:$I$89,3,0)*0.475*44/12</f>
        <v>2.4838233859497515E-4</v>
      </c>
      <c r="BS48" s="22">
        <f t="shared" si="9"/>
        <v>101.25321059144876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142.95840000000004</v>
      </c>
      <c r="CA48" s="13">
        <f t="shared" si="39"/>
        <v>36.973906370811264</v>
      </c>
      <c r="CB48" s="20">
        <f t="shared" si="10"/>
        <v>313.38210026249641</v>
      </c>
      <c r="CC48" s="59">
        <f t="shared" si="11"/>
        <v>606.71543359582972</v>
      </c>
      <c r="CD48" s="59">
        <f ca="1">AVERAGE(OFFSET($CC$3,0,0,'Données projet'!$E$12+1,1))-AVERAGE(OFFSET($H$3,0,0,'Données projet'!$E$12+1,1))</f>
        <v>216.16148211123436</v>
      </c>
      <c r="CE48" s="59">
        <f t="shared" si="40"/>
        <v>132.59131750490178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24.62196484377106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24.62196484377106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41.620800000000045</v>
      </c>
      <c r="D49" s="11">
        <f t="shared" si="32"/>
        <v>12.427241987862402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417.21295569578029</v>
      </c>
      <c r="H49" s="66">
        <f t="shared" si="1"/>
        <v>387.46700646219375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21.8</v>
      </c>
      <c r="N49" s="13">
        <f>IF('Données projet'!$A$36&gt;35,N48+M49-V48,IF(A49&lt;'Données projet'!$A$36,$K$205^A49,IF(A49='Données projet'!$A$36,'Données projet'!$B$36,N48+M49-V48)))</f>
        <v>475.80000000000018</v>
      </c>
      <c r="O49" s="13">
        <f>N49*VLOOKUP('Données projet'!$B$9,Paramètres!$A$1:$I$89,3,0)*VLOOKUP('Données projet'!$B$9,Paramètres!$A$1:$I$89,5,0)</f>
        <v>284.52840000000009</v>
      </c>
      <c r="P49" s="13">
        <f t="shared" si="33"/>
        <v>67.923094584210929</v>
      </c>
      <c r="Q49" s="20">
        <f t="shared" si="53"/>
        <v>613.85301973416745</v>
      </c>
      <c r="R49" s="59">
        <f t="shared" si="0"/>
        <v>907.1863530675007</v>
      </c>
      <c r="S49" s="59">
        <f ca="1">AVERAGE(OFFSET($R$3,0,0,'Données projet'!$E$9+1,1))-AVERAGE(OFFSET($H$3,0,0,'Données projet'!$E$9+1,1))</f>
        <v>443.63756287217456</v>
      </c>
      <c r="T49" s="59">
        <f t="shared" si="34"/>
        <v>384.990641425788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64.684447217157555</v>
      </c>
      <c r="AA49" s="21">
        <f>EXP(-LN(2)/25)*AA48+(1-EXP(-LN(2)/25))/(LN(2)/25)*Calculateur!V49*Calculateur!X49*VLOOKUP('Données projet'!$B$9,Paramètres!$A$1:$I$89,3,0)*0.475*44/12</f>
        <v>41.981742363174639</v>
      </c>
      <c r="AB49" s="21">
        <f>EXP(-LN(2)/2)*AB48+(1-EXP(-LN(2)/2))/(LN(2)/2)*V49*Y49*VLOOKUP('Données projet'!$B$9,Paramètres!$A$1:$I$89,3,0)*0.475*44/12</f>
        <v>3.0682524179379326E-4</v>
      </c>
      <c r="AC49" s="22">
        <f t="shared" si="3"/>
        <v>106.66649640557399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137.97244371990928</v>
      </c>
      <c r="AO49" s="59">
        <f t="shared" si="36"/>
        <v>340.50331317844757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89.967971115354018</v>
      </c>
      <c r="AV49" s="21">
        <f>EXP(-LN(2)/25)*AV48+(1-EXP(-LN(2)/25))/(LN(2)/25)*Calculateur!AQ49*Calculateur!AS49*VLOOKUP('Données projet'!$B$10,Paramètres!$A$1:$I$89,3,0)*0.475*44/12</f>
        <v>9.226105737669716</v>
      </c>
      <c r="AW49" s="21">
        <f>EXP(-LN(2)/2)*AW48+(1-EXP(-LN(2)/2))/(LN(2)/2)*AQ49*AT49*VLOOKUP('Données projet'!$B$10,Paramètres!$A$1:$I$89,3,0)*0.475*44/12</f>
        <v>1.7563283594748005E-4</v>
      </c>
      <c r="AX49" s="21">
        <f t="shared" si="6"/>
        <v>99.194252485859678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137.97244371990928</v>
      </c>
      <c r="BJ49" s="59">
        <f t="shared" si="38"/>
        <v>340.50331317844757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89.967971115354018</v>
      </c>
      <c r="BQ49" s="21">
        <f>EXP(-LN(2)/25)*BQ48+(1-EXP(-LN(2)/25))/(LN(2)/25)*Calculateur!BL49*Calculateur!BN49*VLOOKUP('Données projet'!$B$11,Paramètres!$A$1:$I$89,3,0)*0.475*44/12</f>
        <v>9.226105737669716</v>
      </c>
      <c r="BR49" s="21">
        <f>EXP(-LN(2)/2)*BR48+(1-EXP(-LN(2)/2))/(LN(2)/2)*BL49*BO49*VLOOKUP('Données projet'!$B$11,Paramètres!$A$1:$I$89,3,0)*0.475*44/12</f>
        <v>1.7563283594748005E-4</v>
      </c>
      <c r="BS49" s="22">
        <f t="shared" si="9"/>
        <v>99.194252485859678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131.37696000000003</v>
      </c>
      <c r="CA49" s="13">
        <f t="shared" si="39"/>
        <v>34.314338988223334</v>
      </c>
      <c r="CB49" s="20">
        <f t="shared" si="10"/>
        <v>288.57901240448905</v>
      </c>
      <c r="CC49" s="59">
        <f t="shared" si="11"/>
        <v>581.91234573782231</v>
      </c>
      <c r="CD49" s="59">
        <f ca="1">AVERAGE(OFFSET($CC$3,0,0,'Données projet'!$E$12+1,1))-AVERAGE(OFFSET($H$3,0,0,'Données projet'!$E$12+1,1))</f>
        <v>216.16148211123436</v>
      </c>
      <c r="CE49" s="59">
        <f t="shared" si="40"/>
        <v>132.59131750490178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24.139143131100369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24.139143131100369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42.525600000000047</v>
      </c>
      <c r="D50" s="11">
        <f t="shared" si="32"/>
        <v>12.665653491137942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426.03774624738094</v>
      </c>
      <c r="H50" s="66">
        <f t="shared" si="1"/>
        <v>389.45809983039862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21.8</v>
      </c>
      <c r="N50" s="13">
        <f>IF('Données projet'!$A$36&gt;35,N49+M50-V49,IF(A50&lt;'Données projet'!$A$36,$K$205^A50,IF(A50='Données projet'!$A$36,'Données projet'!$B$36,N49+M50-V49)))</f>
        <v>497.60000000000019</v>
      </c>
      <c r="O50" s="13">
        <f>N50*VLOOKUP('Données projet'!$B$9,Paramètres!$A$1:$I$89,3,0)*VLOOKUP('Données projet'!$B$9,Paramètres!$A$1:$I$89,5,0)</f>
        <v>297.56480000000016</v>
      </c>
      <c r="P50" s="13">
        <f t="shared" si="33"/>
        <v>70.665710106623806</v>
      </c>
      <c r="Q50" s="20">
        <f t="shared" si="53"/>
        <v>641.33480510237007</v>
      </c>
      <c r="R50" s="59">
        <f t="shared" si="0"/>
        <v>934.66813843570344</v>
      </c>
      <c r="S50" s="59">
        <f ca="1">AVERAGE(OFFSET($R$3,0,0,'Données projet'!$E$9+1,1))-AVERAGE(OFFSET($H$3,0,0,'Données projet'!$E$9+1,1))</f>
        <v>443.63756287217456</v>
      </c>
      <c r="T50" s="59">
        <f t="shared" si="34"/>
        <v>384.990641425788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63.416024660846176</v>
      </c>
      <c r="AA50" s="21">
        <f>EXP(-LN(2)/25)*AA49+(1-EXP(-LN(2)/25))/(LN(2)/25)*Calculateur!V50*Calculateur!X50*VLOOKUP('Données projet'!$B$9,Paramètres!$A$1:$I$89,3,0)*0.475*44/12</f>
        <v>40.833749410529748</v>
      </c>
      <c r="AB50" s="21">
        <f>EXP(-LN(2)/2)*AB49+(1-EXP(-LN(2)/2))/(LN(2)/2)*V50*Y50*VLOOKUP('Données projet'!$B$9,Paramètres!$A$1:$I$89,3,0)*0.475*44/12</f>
        <v>2.1695820911159331E-4</v>
      </c>
      <c r="AC50" s="22">
        <f t="shared" si="3"/>
        <v>104.24999102958503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137.97244371990928</v>
      </c>
      <c r="AO50" s="59">
        <f t="shared" si="36"/>
        <v>340.50331317844757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88.203754076825845</v>
      </c>
      <c r="AV50" s="21">
        <f>EXP(-LN(2)/25)*AV49+(1-EXP(-LN(2)/25))/(LN(2)/25)*Calculateur!AQ50*Calculateur!AS50*VLOOKUP('Données projet'!$B$10,Paramètres!$A$1:$I$89,3,0)*0.475*44/12</f>
        <v>8.9738173910933234</v>
      </c>
      <c r="AW50" s="21">
        <f>EXP(-LN(2)/2)*AW49+(1-EXP(-LN(2)/2))/(LN(2)/2)*AQ50*AT50*VLOOKUP('Données projet'!$B$10,Paramètres!$A$1:$I$89,3,0)*0.475*44/12</f>
        <v>1.2419116929748757E-4</v>
      </c>
      <c r="AX50" s="21">
        <f t="shared" si="6"/>
        <v>97.177695659088457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137.97244371990928</v>
      </c>
      <c r="BJ50" s="59">
        <f t="shared" si="38"/>
        <v>340.50331317844757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88.203754076825845</v>
      </c>
      <c r="BQ50" s="21">
        <f>EXP(-LN(2)/25)*BQ49+(1-EXP(-LN(2)/25))/(LN(2)/25)*Calculateur!BL50*Calculateur!BN50*VLOOKUP('Données projet'!$B$11,Paramètres!$A$1:$I$89,3,0)*0.475*44/12</f>
        <v>8.9738173910933234</v>
      </c>
      <c r="BR50" s="21">
        <f>EXP(-LN(2)/2)*BR49+(1-EXP(-LN(2)/2))/(LN(2)/2)*BL50*BO50*VLOOKUP('Données projet'!$B$11,Paramètres!$A$1:$I$89,3,0)*0.475*44/12</f>
        <v>1.2419116929748757E-4</v>
      </c>
      <c r="BS50" s="22">
        <f t="shared" si="9"/>
        <v>97.177695659088457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138.79632000000001</v>
      </c>
      <c r="CA50" s="13">
        <f t="shared" si="39"/>
        <v>36.021120886354588</v>
      </c>
      <c r="CB50" s="20">
        <f t="shared" si="10"/>
        <v>304.47370954373423</v>
      </c>
      <c r="CC50" s="59">
        <f t="shared" si="11"/>
        <v>597.80704287706749</v>
      </c>
      <c r="CD50" s="59">
        <f ca="1">AVERAGE(OFFSET($CC$3,0,0,'Données projet'!$E$12+1,1))-AVERAGE(OFFSET($H$3,0,0,'Données projet'!$E$12+1,1))</f>
        <v>216.16148211123436</v>
      </c>
      <c r="CE50" s="59">
        <f t="shared" si="40"/>
        <v>132.59131750490178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23.665789257722984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23.665789257722984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43.430400000000049</v>
      </c>
      <c r="D51" s="11">
        <f t="shared" si="32"/>
        <v>12.903475229013631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434.85798422396527</v>
      </c>
      <c r="H51" s="66">
        <f t="shared" si="1"/>
        <v>391.44816602386544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21.8</v>
      </c>
      <c r="N51" s="13">
        <f>IF('Données projet'!$A$36&gt;35,N50+M51-V50,IF(A51&lt;'Données projet'!$A$36,$K$205^A51,IF(A51='Données projet'!$A$36,'Données projet'!$B$36,N50+M51-V50)))</f>
        <v>519.4000000000002</v>
      </c>
      <c r="O51" s="13">
        <f>N51*VLOOKUP('Données projet'!$B$9,Paramètres!$A$1:$I$89,3,0)*VLOOKUP('Données projet'!$B$9,Paramètres!$A$1:$I$89,5,0)</f>
        <v>310.60120000000012</v>
      </c>
      <c r="P51" s="13">
        <f t="shared" si="33"/>
        <v>73.394370499024973</v>
      </c>
      <c r="Q51" s="20">
        <f t="shared" si="53"/>
        <v>668.792285285802</v>
      </c>
      <c r="R51" s="59">
        <f t="shared" si="0"/>
        <v>962.12561861913537</v>
      </c>
      <c r="S51" s="59">
        <f ca="1">AVERAGE(OFFSET($R$3,0,0,'Données projet'!$E$9+1,1))-AVERAGE(OFFSET($H$3,0,0,'Données projet'!$E$9+1,1))</f>
        <v>443.63756287217456</v>
      </c>
      <c r="T51" s="59">
        <f t="shared" si="34"/>
        <v>384.990641425788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62.1724750972027</v>
      </c>
      <c r="AA51" s="21">
        <f>EXP(-LN(2)/25)*AA50+(1-EXP(-LN(2)/25))/(LN(2)/25)*Calculateur!V51*Calculateur!X51*VLOOKUP('Données projet'!$B$9,Paramètres!$A$1:$I$89,3,0)*0.475*44/12</f>
        <v>39.717148385545258</v>
      </c>
      <c r="AB51" s="21">
        <f>EXP(-LN(2)/2)*AB50+(1-EXP(-LN(2)/2))/(LN(2)/2)*V51*Y51*VLOOKUP('Données projet'!$B$9,Paramètres!$A$1:$I$89,3,0)*0.475*44/12</f>
        <v>1.5341262089689663E-4</v>
      </c>
      <c r="AC51" s="22">
        <f t="shared" si="3"/>
        <v>101.88977689536887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137.97244371990928</v>
      </c>
      <c r="AO51" s="59">
        <f t="shared" si="36"/>
        <v>340.50331317844757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86.474132258357074</v>
      </c>
      <c r="AV51" s="21">
        <f>EXP(-LN(2)/25)*AV50+(1-EXP(-LN(2)/25))/(LN(2)/25)*Calculateur!AQ51*Calculateur!AS51*VLOOKUP('Données projet'!$B$10,Paramètres!$A$1:$I$89,3,0)*0.475*44/12</f>
        <v>8.7284278826213306</v>
      </c>
      <c r="AW51" s="21">
        <f>EXP(-LN(2)/2)*AW50+(1-EXP(-LN(2)/2))/(LN(2)/2)*AQ51*AT51*VLOOKUP('Données projet'!$B$10,Paramètres!$A$1:$I$89,3,0)*0.475*44/12</f>
        <v>8.7816417973740025E-5</v>
      </c>
      <c r="AX51" s="21">
        <f t="shared" si="6"/>
        <v>95.20264795739638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137.97244371990928</v>
      </c>
      <c r="BJ51" s="59">
        <f t="shared" si="38"/>
        <v>340.50331317844757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86.474132258357074</v>
      </c>
      <c r="BQ51" s="21">
        <f>EXP(-LN(2)/25)*BQ50+(1-EXP(-LN(2)/25))/(LN(2)/25)*Calculateur!BL51*Calculateur!BN51*VLOOKUP('Données projet'!$B$11,Paramètres!$A$1:$I$89,3,0)*0.475*44/12</f>
        <v>8.7284278826213306</v>
      </c>
      <c r="BR51" s="21">
        <f>EXP(-LN(2)/2)*BR50+(1-EXP(-LN(2)/2))/(LN(2)/2)*BL51*BO51*VLOOKUP('Données projet'!$B$11,Paramètres!$A$1:$I$89,3,0)*0.475*44/12</f>
        <v>8.7816417973740025E-5</v>
      </c>
      <c r="BS51" s="22">
        <f t="shared" si="9"/>
        <v>95.20264795739638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146.21568000000002</v>
      </c>
      <c r="CA51" s="13">
        <f t="shared" si="39"/>
        <v>37.717310552893402</v>
      </c>
      <c r="CB51" s="20">
        <f t="shared" si="10"/>
        <v>320.34995854628937</v>
      </c>
      <c r="CC51" s="59">
        <f t="shared" si="11"/>
        <v>613.68329187962263</v>
      </c>
      <c r="CD51" s="59">
        <f ca="1">AVERAGE(OFFSET($CC$3,0,0,'Données projet'!$E$12+1,1))-AVERAGE(OFFSET($H$3,0,0,'Données projet'!$E$12+1,1))</f>
        <v>216.16148211123436</v>
      </c>
      <c r="CE51" s="59">
        <f t="shared" si="40"/>
        <v>132.59131750490178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23.201717565085175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23.201717565085175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44.33520000000005</v>
      </c>
      <c r="D52" s="11">
        <f t="shared" si="32"/>
        <v>13.140720903832619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443.67377539800663</v>
      </c>
      <c r="H52" s="66">
        <f t="shared" si="1"/>
        <v>393.43722890750854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21.8</v>
      </c>
      <c r="N52" s="13">
        <f>IF('Données projet'!$A$36&gt;35,N51+M52-V51,IF(A52&lt;'Données projet'!$A$36,$K$205^A52,IF(A52='Données projet'!$A$36,'Données projet'!$B$36,N51+M52-V51)))</f>
        <v>541.20000000000016</v>
      </c>
      <c r="O52" s="13">
        <f>N52*VLOOKUP('Données projet'!$B$9,Paramètres!$A$1:$I$89,3,0)*VLOOKUP('Données projet'!$B$9,Paramètres!$A$1:$I$89,5,0)</f>
        <v>323.63760000000013</v>
      </c>
      <c r="P52" s="13">
        <f t="shared" si="33"/>
        <v>76.109728452986261</v>
      </c>
      <c r="Q52" s="20">
        <f t="shared" si="53"/>
        <v>696.22659705561784</v>
      </c>
      <c r="R52" s="59">
        <f t="shared" si="0"/>
        <v>989.55993038895122</v>
      </c>
      <c r="S52" s="59">
        <f ca="1">AVERAGE(OFFSET($R$3,0,0,'Données projet'!$E$9+1,1))-AVERAGE(OFFSET($H$3,0,0,'Données projet'!$E$9+1,1))</f>
        <v>443.63756287217456</v>
      </c>
      <c r="T52" s="59">
        <f t="shared" si="34"/>
        <v>384.990641425788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60.953310782011933</v>
      </c>
      <c r="AA52" s="21">
        <f>EXP(-LN(2)/25)*AA51+(1-EXP(-LN(2)/25))/(LN(2)/25)*Calculateur!V52*Calculateur!X52*VLOOKUP('Données projet'!$B$9,Paramètres!$A$1:$I$89,3,0)*0.475*44/12</f>
        <v>38.631080874308466</v>
      </c>
      <c r="AB52" s="21">
        <f>EXP(-LN(2)/2)*AB51+(1-EXP(-LN(2)/2))/(LN(2)/2)*V52*Y52*VLOOKUP('Données projet'!$B$9,Paramètres!$A$1:$I$89,3,0)*0.475*44/12</f>
        <v>1.0847910455579665E-4</v>
      </c>
      <c r="AC52" s="22">
        <f t="shared" si="3"/>
        <v>99.58450013542496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137.97244371990928</v>
      </c>
      <c r="AO52" s="59">
        <f t="shared" si="36"/>
        <v>340.50331317844757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84.778427268783332</v>
      </c>
      <c r="AV52" s="21">
        <f>EXP(-LN(2)/25)*AV51+(1-EXP(-LN(2)/25))/(LN(2)/25)*Calculateur!AQ52*Calculateur!AS52*VLOOKUP('Données projet'!$B$10,Paramètres!$A$1:$I$89,3,0)*0.475*44/12</f>
        <v>8.4897485631629763</v>
      </c>
      <c r="AW52" s="21">
        <f>EXP(-LN(2)/2)*AW51+(1-EXP(-LN(2)/2))/(LN(2)/2)*AQ52*AT52*VLOOKUP('Données projet'!$B$10,Paramètres!$A$1:$I$89,3,0)*0.475*44/12</f>
        <v>6.2095584648743786E-5</v>
      </c>
      <c r="AX52" s="21">
        <f t="shared" si="6"/>
        <v>93.268237927530961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137.97244371990928</v>
      </c>
      <c r="BJ52" s="59">
        <f t="shared" si="38"/>
        <v>340.50331317844757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84.778427268783332</v>
      </c>
      <c r="BQ52" s="21">
        <f>EXP(-LN(2)/25)*BQ51+(1-EXP(-LN(2)/25))/(LN(2)/25)*Calculateur!BL52*Calculateur!BN52*VLOOKUP('Données projet'!$B$11,Paramètres!$A$1:$I$89,3,0)*0.475*44/12</f>
        <v>8.4897485631629763</v>
      </c>
      <c r="BR52" s="21">
        <f>EXP(-LN(2)/2)*BR51+(1-EXP(-LN(2)/2))/(LN(2)/2)*BL52*BO52*VLOOKUP('Données projet'!$B$11,Paramètres!$A$1:$I$89,3,0)*0.475*44/12</f>
        <v>6.2095584648743786E-5</v>
      </c>
      <c r="BS52" s="22">
        <f t="shared" si="9"/>
        <v>93.268237927530961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153.63504</v>
      </c>
      <c r="CA52" s="13">
        <f t="shared" si="39"/>
        <v>39.403506785222667</v>
      </c>
      <c r="CB52" s="20">
        <f t="shared" si="10"/>
        <v>336.20880231759617</v>
      </c>
      <c r="CC52" s="59">
        <f t="shared" si="11"/>
        <v>629.54213565092948</v>
      </c>
      <c r="CD52" s="59">
        <f ca="1">AVERAGE(OFFSET($CC$3,0,0,'Données projet'!$E$12+1,1))-AVERAGE(OFFSET($H$3,0,0,'Données projet'!$E$12+1,1))</f>
        <v>216.16148211123436</v>
      </c>
      <c r="CE52" s="59">
        <f t="shared" si="40"/>
        <v>132.59131750490178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22.746746035284211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22.746746035284211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45.240000000000052</v>
      </c>
      <c r="D53" s="11">
        <f t="shared" si="32"/>
        <v>13.377403626687917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452.48522097794222</v>
      </c>
      <c r="H53" s="66">
        <f t="shared" si="1"/>
        <v>395.4253113164815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563</v>
      </c>
      <c r="L53" s="12">
        <f>VLOOKUP(A53,'Données projet'!$A$35:$I$55,9,0)</f>
        <v>21.8</v>
      </c>
      <c r="M53" s="12">
        <f t="array" ref="M53">INDEX(L:L,MIN(IF(ISNUMBER(L53:L249),ROW(L53:L249),"")))</f>
        <v>21.8</v>
      </c>
      <c r="N53" s="13">
        <f>IF('Données projet'!$A$36&gt;35,N52+M53-V52,IF(A53&lt;'Données projet'!$A$36,$K$205^A53,IF(A53='Données projet'!$A$36,'Données projet'!$B$36,N52+M53-V52)))</f>
        <v>563.00000000000011</v>
      </c>
      <c r="O53" s="13">
        <f>N53*VLOOKUP('Données projet'!$B$9,Paramètres!$A$1:$I$89,3,0)*VLOOKUP('Données projet'!$B$9,Paramètres!$A$1:$I$89,5,0)</f>
        <v>336.67400000000009</v>
      </c>
      <c r="P53" s="13">
        <f t="shared" si="33"/>
        <v>78.812381102074809</v>
      </c>
      <c r="Q53" s="20">
        <f t="shared" si="53"/>
        <v>723.63878041944702</v>
      </c>
      <c r="R53" s="59">
        <f t="shared" si="0"/>
        <v>1016.9721137527804</v>
      </c>
      <c r="S53" s="59">
        <f ca="1">AVERAGE(OFFSET($R$3,0,0,'Données projet'!$E$9+1,1))-AVERAGE(OFFSET($H$3,0,0,'Données projet'!$E$9+1,1))</f>
        <v>443.63756287217456</v>
      </c>
      <c r="T53" s="59">
        <f t="shared" si="34"/>
        <v>384.990641425788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0.45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79.748849253116944</v>
      </c>
      <c r="AA53" s="21">
        <f>EXP(-LN(2)/25)*AA52+(1-EXP(-LN(2)/25))/(LN(2)/25)*Calculateur!V53*Calculateur!X53*VLOOKUP('Données projet'!$B$9,Paramètres!$A$1:$I$89,3,0)*0.475*44/12</f>
        <v>37.574711936280252</v>
      </c>
      <c r="AB53" s="21">
        <f>EXP(-LN(2)/2)*AB52+(1-EXP(-LN(2)/2))/(LN(2)/2)*V53*Y53*VLOOKUP('Données projet'!$B$9,Paramètres!$A$1:$I$89,3,0)*0.475*44/12</f>
        <v>7.6706310448448314E-5</v>
      </c>
      <c r="AC53" s="22">
        <f t="shared" si="3"/>
        <v>117.32363789570765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137.97244371990928</v>
      </c>
      <c r="AO53" s="59">
        <f t="shared" si="36"/>
        <v>340.50331317844757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83.115974019777212</v>
      </c>
      <c r="AV53" s="21">
        <f>EXP(-LN(2)/25)*AV52+(1-EXP(-LN(2)/25))/(LN(2)/25)*Calculateur!AQ53*Calculateur!AS53*VLOOKUP('Données projet'!$B$10,Paramètres!$A$1:$I$89,3,0)*0.475*44/12</f>
        <v>8.2575959422468106</v>
      </c>
      <c r="AW53" s="21">
        <f>EXP(-LN(2)/2)*AW52+(1-EXP(-LN(2)/2))/(LN(2)/2)*AQ53*AT53*VLOOKUP('Données projet'!$B$10,Paramètres!$A$1:$I$89,3,0)*0.475*44/12</f>
        <v>4.3908208986870012E-5</v>
      </c>
      <c r="AX53" s="21">
        <f t="shared" si="6"/>
        <v>91.373613870233001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137.97244371990928</v>
      </c>
      <c r="BJ53" s="59">
        <f t="shared" si="38"/>
        <v>340.50331317844757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83.115974019777212</v>
      </c>
      <c r="BQ53" s="21">
        <f>EXP(-LN(2)/25)*BQ52+(1-EXP(-LN(2)/25))/(LN(2)/25)*Calculateur!BL53*Calculateur!BN53*VLOOKUP('Données projet'!$B$11,Paramètres!$A$1:$I$89,3,0)*0.475*44/12</f>
        <v>8.2575959422468106</v>
      </c>
      <c r="BR53" s="21">
        <f>EXP(-LN(2)/2)*BR52+(1-EXP(-LN(2)/2))/(LN(2)/2)*BL53*BO53*VLOOKUP('Données projet'!$B$11,Paramètres!$A$1:$I$89,3,0)*0.475*44/12</f>
        <v>4.3908208986870012E-5</v>
      </c>
      <c r="BS53" s="22">
        <f t="shared" si="9"/>
        <v>91.373613870233001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161.05439999999999</v>
      </c>
      <c r="CA53" s="13">
        <f t="shared" si="39"/>
        <v>41.080247278685491</v>
      </c>
      <c r="CB53" s="20">
        <f t="shared" si="10"/>
        <v>352.05117734371055</v>
      </c>
      <c r="CC53" s="59">
        <f t="shared" si="11"/>
        <v>645.38451067704386</v>
      </c>
      <c r="CD53" s="59">
        <f ca="1">AVERAGE(OFFSET($CC$3,0,0,'Données projet'!$E$12+1,1))-AVERAGE(OFFSET($H$3,0,0,'Données projet'!$E$12+1,1))</f>
        <v>216.16148211123436</v>
      </c>
      <c r="CE53" s="59">
        <f t="shared" si="40"/>
        <v>132.59131750490178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31.332769502272171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31.332769502272171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46.144800000000053</v>
      </c>
      <c r="D54" s="11">
        <f t="shared" si="32"/>
        <v>13.613535954240819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461.29241789238569</v>
      </c>
      <c r="H54" s="66">
        <f t="shared" si="1"/>
        <v>397.4124351203028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20.2</v>
      </c>
      <c r="N54" s="13">
        <f>IF('Données projet'!$A$36&gt;35,N53+M54-V53,IF(A54&lt;'Données projet'!$A$36,$K$205^A54,IF(A54='Données projet'!$A$36,'Données projet'!$B$36,N53+M54-V53)))</f>
        <v>527.20000000000016</v>
      </c>
      <c r="O54" s="13">
        <f>N54*VLOOKUP('Données projet'!$B$9,Paramètres!$A$1:$I$89,3,0)*VLOOKUP('Données projet'!$B$9,Paramètres!$A$1:$I$89,5,0)</f>
        <v>315.26560000000012</v>
      </c>
      <c r="P54" s="13">
        <f t="shared" si="33"/>
        <v>74.367416736885588</v>
      </c>
      <c r="Q54" s="20">
        <f t="shared" si="53"/>
        <v>678.61083748340923</v>
      </c>
      <c r="R54" s="59">
        <f t="shared" si="0"/>
        <v>971.9441708167426</v>
      </c>
      <c r="S54" s="59">
        <f ca="1">AVERAGE(OFFSET($R$3,0,0,'Données projet'!$E$9+1,1))-AVERAGE(OFFSET($H$3,0,0,'Données projet'!$E$9+1,1))</f>
        <v>443.63756287217456</v>
      </c>
      <c r="T54" s="59">
        <f t="shared" si="34"/>
        <v>384.990641425788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78.185022961258369</v>
      </c>
      <c r="AA54" s="21">
        <f>EXP(-LN(2)/25)*AA53+(1-EXP(-LN(2)/25))/(LN(2)/25)*Calculateur!V54*Calculateur!X54*VLOOKUP('Données projet'!$B$9,Paramètres!$A$1:$I$89,3,0)*0.475*44/12</f>
        <v>36.54722946241445</v>
      </c>
      <c r="AB54" s="21">
        <f>EXP(-LN(2)/2)*AB53+(1-EXP(-LN(2)/2))/(LN(2)/2)*V54*Y54*VLOOKUP('Données projet'!$B$9,Paramètres!$A$1:$I$89,3,0)*0.475*44/12</f>
        <v>5.4239552277898327E-5</v>
      </c>
      <c r="AC54" s="22">
        <f t="shared" si="3"/>
        <v>114.7323066632251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137.97244371990928</v>
      </c>
      <c r="AO54" s="59">
        <f t="shared" si="36"/>
        <v>340.50331317844757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81.486120464987749</v>
      </c>
      <c r="AV54" s="21">
        <f>EXP(-LN(2)/25)*AV53+(1-EXP(-LN(2)/25))/(LN(2)/25)*Calculateur!AQ54*Calculateur!AS54*VLOOKUP('Données projet'!$B$10,Paramètres!$A$1:$I$89,3,0)*0.475*44/12</f>
        <v>8.0317915469579741</v>
      </c>
      <c r="AW54" s="21">
        <f>EXP(-LN(2)/2)*AW53+(1-EXP(-LN(2)/2))/(LN(2)/2)*AQ54*AT54*VLOOKUP('Données projet'!$B$10,Paramètres!$A$1:$I$89,3,0)*0.475*44/12</f>
        <v>3.1047792324371893E-5</v>
      </c>
      <c r="AX54" s="21">
        <f t="shared" si="6"/>
        <v>89.517943059738045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137.97244371990928</v>
      </c>
      <c r="BJ54" s="59">
        <f t="shared" si="38"/>
        <v>340.50331317844757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81.486120464987749</v>
      </c>
      <c r="BQ54" s="21">
        <f>EXP(-LN(2)/25)*BQ53+(1-EXP(-LN(2)/25))/(LN(2)/25)*Calculateur!BL54*Calculateur!BN54*VLOOKUP('Données projet'!$B$11,Paramètres!$A$1:$I$89,3,0)*0.475*44/12</f>
        <v>8.0317915469579741</v>
      </c>
      <c r="BR54" s="21">
        <f>EXP(-LN(2)/2)*BR53+(1-EXP(-LN(2)/2))/(LN(2)/2)*BL54*BO54*VLOOKUP('Données projet'!$B$11,Paramètres!$A$1:$I$89,3,0)*0.475*44/12</f>
        <v>3.1047792324371893E-5</v>
      </c>
      <c r="BS54" s="22">
        <f t="shared" si="9"/>
        <v>89.517943059738045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149.29199999999997</v>
      </c>
      <c r="CA54" s="13">
        <f t="shared" si="39"/>
        <v>38.417645803815411</v>
      </c>
      <c r="CB54" s="20">
        <f t="shared" si="10"/>
        <v>326.9276331083118</v>
      </c>
      <c r="CC54" s="59">
        <f t="shared" si="11"/>
        <v>620.26096644164511</v>
      </c>
      <c r="CD54" s="59">
        <f ca="1">AVERAGE(OFFSET($CC$3,0,0,'Données projet'!$E$12+1,1))-AVERAGE(OFFSET($H$3,0,0,'Données projet'!$E$12+1,1))</f>
        <v>216.16148211123436</v>
      </c>
      <c r="CE54" s="59">
        <f t="shared" si="40"/>
        <v>132.59131750490178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30.718353003434945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30.718353003434945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47.049600000000055</v>
      </c>
      <c r="D55" s="11">
        <f t="shared" si="32"/>
        <v>13.849129922569954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470.09545905141772</v>
      </c>
      <c r="H55" s="66">
        <f t="shared" si="1"/>
        <v>399.39862128180943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20.2</v>
      </c>
      <c r="N55" s="13">
        <f>IF('Données projet'!$A$36&gt;35,N54+M55-V54,IF(A55&lt;'Données projet'!$A$36,$K$205^A55,IF(A55='Données projet'!$A$36,'Données projet'!$B$36,N54+M55-V54)))</f>
        <v>547.4000000000002</v>
      </c>
      <c r="O55" s="13">
        <f>N55*VLOOKUP('Données projet'!$B$9,Paramètres!$A$1:$I$89,3,0)*VLOOKUP('Données projet'!$B$9,Paramètres!$A$1:$I$89,5,0)</f>
        <v>327.34520000000015</v>
      </c>
      <c r="P55" s="13">
        <f t="shared" si="33"/>
        <v>76.879640917553189</v>
      </c>
      <c r="Q55" s="20">
        <f t="shared" si="53"/>
        <v>704.02493126473883</v>
      </c>
      <c r="R55" s="59">
        <f t="shared" si="0"/>
        <v>997.35826459807208</v>
      </c>
      <c r="S55" s="59">
        <f ca="1">AVERAGE(OFFSET($R$3,0,0,'Données projet'!$E$9+1,1))-AVERAGE(OFFSET($H$3,0,0,'Données projet'!$E$9+1,1))</f>
        <v>443.63756287217456</v>
      </c>
      <c r="T55" s="59">
        <f t="shared" si="34"/>
        <v>384.990641425788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76.651862349143286</v>
      </c>
      <c r="AA55" s="21">
        <f>EXP(-LN(2)/25)*AA54+(1-EXP(-LN(2)/25))/(LN(2)/25)*Calculateur!V55*Calculateur!X55*VLOOKUP('Données projet'!$B$9,Paramètres!$A$1:$I$89,3,0)*0.475*44/12</f>
        <v>35.547843550829462</v>
      </c>
      <c r="AB55" s="21">
        <f>EXP(-LN(2)/2)*AB54+(1-EXP(-LN(2)/2))/(LN(2)/2)*V55*Y55*VLOOKUP('Données projet'!$B$9,Paramètres!$A$1:$I$89,3,0)*0.475*44/12</f>
        <v>3.8353155224224157E-5</v>
      </c>
      <c r="AC55" s="22">
        <f t="shared" si="3"/>
        <v>112.19974425312796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137.97244371990928</v>
      </c>
      <c r="AO55" s="59">
        <f t="shared" si="36"/>
        <v>340.50331317844757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79.888227344295188</v>
      </c>
      <c r="AV55" s="21">
        <f>EXP(-LN(2)/25)*AV54+(1-EXP(-LN(2)/25))/(LN(2)/25)*Calculateur!AQ55*Calculateur!AS55*VLOOKUP('Données projet'!$B$10,Paramètres!$A$1:$I$89,3,0)*0.475*44/12</f>
        <v>7.8121617847328482</v>
      </c>
      <c r="AW55" s="21">
        <f>EXP(-LN(2)/2)*AW54+(1-EXP(-LN(2)/2))/(LN(2)/2)*AQ55*AT55*VLOOKUP('Données projet'!$B$10,Paramètres!$A$1:$I$89,3,0)*0.475*44/12</f>
        <v>2.1954104493435006E-5</v>
      </c>
      <c r="AX55" s="21">
        <f t="shared" si="6"/>
        <v>87.700411083132536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137.97244371990928</v>
      </c>
      <c r="BJ55" s="59">
        <f t="shared" si="38"/>
        <v>340.50331317844757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79.888227344295188</v>
      </c>
      <c r="BQ55" s="21">
        <f>EXP(-LN(2)/25)*BQ54+(1-EXP(-LN(2)/25))/(LN(2)/25)*Calculateur!BL55*Calculateur!BN55*VLOOKUP('Données projet'!$B$11,Paramètres!$A$1:$I$89,3,0)*0.475*44/12</f>
        <v>7.8121617847328482</v>
      </c>
      <c r="BR55" s="21">
        <f>EXP(-LN(2)/2)*BR54+(1-EXP(-LN(2)/2))/(LN(2)/2)*BL55*BO55*VLOOKUP('Données projet'!$B$11,Paramètres!$A$1:$I$89,3,0)*0.475*44/12</f>
        <v>2.1954104493435006E-5</v>
      </c>
      <c r="BS55" s="22">
        <f t="shared" si="9"/>
        <v>87.700411083132536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156.53039999999999</v>
      </c>
      <c r="CA55" s="13">
        <f t="shared" si="39"/>
        <v>40.058941713182037</v>
      </c>
      <c r="CB55" s="20">
        <f t="shared" si="10"/>
        <v>342.393103483792</v>
      </c>
      <c r="CC55" s="59">
        <f t="shared" si="11"/>
        <v>635.72643681712532</v>
      </c>
      <c r="CD55" s="59">
        <f ca="1">AVERAGE(OFFSET($CC$3,0,0,'Données projet'!$E$12+1,1))-AVERAGE(OFFSET($H$3,0,0,'Données projet'!$E$12+1,1))</f>
        <v>216.16148211123436</v>
      </c>
      <c r="CE55" s="59">
        <f t="shared" si="40"/>
        <v>132.59131750490178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30.115984837382857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30.115984837382857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47.954400000000057</v>
      </c>
      <c r="D56" s="11">
        <f t="shared" si="32"/>
        <v>14.08419707834301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478.89443358720968</v>
      </c>
      <c r="H56" s="66">
        <f t="shared" si="1"/>
        <v>401.38388991144751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20.2</v>
      </c>
      <c r="N56" s="13">
        <f>IF('Données projet'!$A$36&gt;35,N55+M56-V55,IF(A56&lt;'Données projet'!$A$36,$K$205^A56,IF(A56='Données projet'!$A$36,'Données projet'!$B$36,N55+M56-V55)))</f>
        <v>567.60000000000025</v>
      </c>
      <c r="O56" s="13">
        <f>N56*VLOOKUP('Données projet'!$B$9,Paramètres!$A$1:$I$89,3,0)*VLOOKUP('Données projet'!$B$9,Paramètres!$A$1:$I$89,5,0)</f>
        <v>339.42480000000018</v>
      </c>
      <c r="P56" s="13">
        <f t="shared" si="33"/>
        <v>79.38109475156449</v>
      </c>
      <c r="Q56" s="20">
        <f t="shared" si="53"/>
        <v>729.42026669230836</v>
      </c>
      <c r="R56" s="59">
        <f t="shared" si="0"/>
        <v>1022.7536000256416</v>
      </c>
      <c r="S56" s="59">
        <f ca="1">AVERAGE(OFFSET($R$3,0,0,'Données projet'!$E$9+1,1))-AVERAGE(OFFSET($H$3,0,0,'Données projet'!$E$9+1,1))</f>
        <v>443.63756287217456</v>
      </c>
      <c r="T56" s="59">
        <f t="shared" si="34"/>
        <v>384.990641425788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75.148766081496149</v>
      </c>
      <c r="AA56" s="21">
        <f>EXP(-LN(2)/25)*AA55+(1-EXP(-LN(2)/25))/(LN(2)/25)*Calculateur!V56*Calculateur!X56*VLOOKUP('Données projet'!$B$9,Paramètres!$A$1:$I$89,3,0)*0.475*44/12</f>
        <v>34.575785899552187</v>
      </c>
      <c r="AB56" s="21">
        <f>EXP(-LN(2)/2)*AB55+(1-EXP(-LN(2)/2))/(LN(2)/2)*V56*Y56*VLOOKUP('Données projet'!$B$9,Paramètres!$A$1:$I$89,3,0)*0.475*44/12</f>
        <v>2.7119776138949164E-5</v>
      </c>
      <c r="AC56" s="22">
        <f t="shared" si="3"/>
        <v>109.72457910082447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137.97244371990928</v>
      </c>
      <c r="AO56" s="59">
        <f t="shared" si="36"/>
        <v>340.50331317844757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78.321667933080846</v>
      </c>
      <c r="AV56" s="21">
        <f>EXP(-LN(2)/25)*AV55+(1-EXP(-LN(2)/25))/(LN(2)/25)*Calculateur!AQ56*Calculateur!AS56*VLOOKUP('Données projet'!$B$10,Paramètres!$A$1:$I$89,3,0)*0.475*44/12</f>
        <v>7.5985378099055954</v>
      </c>
      <c r="AW56" s="21">
        <f>EXP(-LN(2)/2)*AW55+(1-EXP(-LN(2)/2))/(LN(2)/2)*AQ56*AT56*VLOOKUP('Données projet'!$B$10,Paramètres!$A$1:$I$89,3,0)*0.475*44/12</f>
        <v>1.5523896162185947E-5</v>
      </c>
      <c r="AX56" s="21">
        <f t="shared" si="6"/>
        <v>85.920221266882606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137.97244371990928</v>
      </c>
      <c r="BJ56" s="59">
        <f t="shared" si="38"/>
        <v>340.50331317844757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78.321667933080846</v>
      </c>
      <c r="BQ56" s="21">
        <f>EXP(-LN(2)/25)*BQ55+(1-EXP(-LN(2)/25))/(LN(2)/25)*Calculateur!BL56*Calculateur!BN56*VLOOKUP('Données projet'!$B$11,Paramètres!$A$1:$I$89,3,0)*0.475*44/12</f>
        <v>7.5985378099055954</v>
      </c>
      <c r="BR56" s="21">
        <f>EXP(-LN(2)/2)*BR55+(1-EXP(-LN(2)/2))/(LN(2)/2)*BL56*BO56*VLOOKUP('Données projet'!$B$11,Paramètres!$A$1:$I$89,3,0)*0.475*44/12</f>
        <v>1.5523896162185947E-5</v>
      </c>
      <c r="BS56" s="22">
        <f t="shared" si="9"/>
        <v>85.920221266882606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163.7688</v>
      </c>
      <c r="CA56" s="13">
        <f t="shared" si="39"/>
        <v>41.691423503509803</v>
      </c>
      <c r="CB56" s="20">
        <f t="shared" si="10"/>
        <v>357.84322260194625</v>
      </c>
      <c r="CC56" s="59">
        <f t="shared" si="11"/>
        <v>651.17655593527957</v>
      </c>
      <c r="CD56" s="59">
        <f ca="1">AVERAGE(OFFSET($CC$3,0,0,'Données projet'!$E$12+1,1))-AVERAGE(OFFSET($H$3,0,0,'Données projet'!$E$12+1,1))</f>
        <v>216.16148211123436</v>
      </c>
      <c r="CE56" s="59">
        <f t="shared" si="40"/>
        <v>132.59131750490178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29.525428743658747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29.525428743658747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48.859200000000058</v>
      </c>
      <c r="D57" s="11">
        <f t="shared" si="32"/>
        <v>14.318748507569328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487.68942707597421</v>
      </c>
      <c r="H57" s="66">
        <f t="shared" si="1"/>
        <v>403.36826031735001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20.2</v>
      </c>
      <c r="N57" s="13">
        <f>IF('Données projet'!$A$36&gt;35,N56+M57-V56,IF(A57&lt;'Données projet'!$A$36,$K$205^A57,IF(A57='Données projet'!$A$36,'Données projet'!$B$36,N56+M57-V56)))</f>
        <v>587.8000000000003</v>
      </c>
      <c r="O57" s="13">
        <f>N57*VLOOKUP('Données projet'!$B$9,Paramètres!$A$1:$I$89,3,0)*VLOOKUP('Données projet'!$B$9,Paramètres!$A$1:$I$89,5,0)</f>
        <v>351.5044000000002</v>
      </c>
      <c r="P57" s="13">
        <f t="shared" si="33"/>
        <v>81.872205453163147</v>
      </c>
      <c r="Q57" s="20">
        <f t="shared" si="53"/>
        <v>754.7975878309262</v>
      </c>
      <c r="R57" s="59">
        <f t="shared" si="0"/>
        <v>1048.1309211642595</v>
      </c>
      <c r="S57" s="59">
        <f ca="1">AVERAGE(OFFSET($R$3,0,0,'Données projet'!$E$9+1,1))-AVERAGE(OFFSET($H$3,0,0,'Données projet'!$E$9+1,1))</f>
        <v>443.63756287217456</v>
      </c>
      <c r="T57" s="59">
        <f t="shared" si="34"/>
        <v>384.990641425788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73.675144614859363</v>
      </c>
      <c r="AA57" s="21">
        <f>EXP(-LN(2)/25)*AA56+(1-EXP(-LN(2)/25))/(LN(2)/25)*Calculateur!V57*Calculateur!X57*VLOOKUP('Données projet'!$B$9,Paramètres!$A$1:$I$89,3,0)*0.475*44/12</f>
        <v>33.630309215867378</v>
      </c>
      <c r="AB57" s="21">
        <f>EXP(-LN(2)/2)*AB56+(1-EXP(-LN(2)/2))/(LN(2)/2)*V57*Y57*VLOOKUP('Données projet'!$B$9,Paramètres!$A$1:$I$89,3,0)*0.475*44/12</f>
        <v>1.9176577612112079E-5</v>
      </c>
      <c r="AC57" s="22">
        <f t="shared" si="3"/>
        <v>107.30547300730436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137.97244371990928</v>
      </c>
      <c r="AO57" s="59">
        <f t="shared" si="36"/>
        <v>340.50331317844757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76.785827796413528</v>
      </c>
      <c r="AV57" s="21">
        <f>EXP(-LN(2)/25)*AV56+(1-EXP(-LN(2)/25))/(LN(2)/25)*Calculateur!AQ57*Calculateur!AS57*VLOOKUP('Données projet'!$B$10,Paramètres!$A$1:$I$89,3,0)*0.475*44/12</f>
        <v>7.3907553939039898</v>
      </c>
      <c r="AW57" s="21">
        <f>EXP(-LN(2)/2)*AW56+(1-EXP(-LN(2)/2))/(LN(2)/2)*AQ57*AT57*VLOOKUP('Données projet'!$B$10,Paramètres!$A$1:$I$89,3,0)*0.475*44/12</f>
        <v>1.0977052246717503E-5</v>
      </c>
      <c r="AX57" s="21">
        <f t="shared" si="6"/>
        <v>84.176594167369757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137.97244371990928</v>
      </c>
      <c r="BJ57" s="59">
        <f t="shared" si="38"/>
        <v>340.50331317844757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76.785827796413528</v>
      </c>
      <c r="BQ57" s="21">
        <f>EXP(-LN(2)/25)*BQ56+(1-EXP(-LN(2)/25))/(LN(2)/25)*Calculateur!BL57*Calculateur!BN57*VLOOKUP('Données projet'!$B$11,Paramètres!$A$1:$I$89,3,0)*0.475*44/12</f>
        <v>7.3907553939039898</v>
      </c>
      <c r="BR57" s="21">
        <f>EXP(-LN(2)/2)*BR56+(1-EXP(-LN(2)/2))/(LN(2)/2)*BL57*BO57*VLOOKUP('Données projet'!$B$11,Paramètres!$A$1:$I$89,3,0)*0.475*44/12</f>
        <v>1.0977052246717503E-5</v>
      </c>
      <c r="BS57" s="22">
        <f t="shared" si="9"/>
        <v>84.176594167369757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171.00719999999998</v>
      </c>
      <c r="CA57" s="13">
        <f t="shared" si="39"/>
        <v>43.315525267338089</v>
      </c>
      <c r="CB57" s="20">
        <f t="shared" si="10"/>
        <v>373.27874650728046</v>
      </c>
      <c r="CC57" s="59">
        <f t="shared" si="11"/>
        <v>666.61207984061377</v>
      </c>
      <c r="CD57" s="59">
        <f ca="1">AVERAGE(OFFSET($CC$3,0,0,'Données projet'!$E$12+1,1))-AVERAGE(OFFSET($H$3,0,0,'Données projet'!$E$12+1,1))</f>
        <v>216.16148211123436</v>
      </c>
      <c r="CE57" s="59">
        <f t="shared" si="40"/>
        <v>132.59131750490178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28.946453094728916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28.946453094728916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49.76400000000006</v>
      </c>
      <c r="D58" s="11">
        <f t="shared" si="32"/>
        <v>14.552794862162447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496.48052174300886</v>
      </c>
      <c r="H58" s="66">
        <f t="shared" si="1"/>
        <v>405.35175105159971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608</v>
      </c>
      <c r="L58" s="12">
        <f>VLOOKUP(A58,'Données projet'!$A$35:$I$55,9,0)</f>
        <v>20.2</v>
      </c>
      <c r="M58" s="12">
        <f t="array" ref="M58">INDEX(L:L,MIN(IF(ISNUMBER(L58:L254),ROW(L58:L254),"")))</f>
        <v>20.2</v>
      </c>
      <c r="N58" s="13">
        <f>IF('Données projet'!$A$36&gt;35,N57+M58-V57,IF(A58&lt;'Données projet'!$A$36,$K$205^A58,IF(A58='Données projet'!$A$36,'Données projet'!$B$36,N57+M58-V57)))</f>
        <v>608.00000000000034</v>
      </c>
      <c r="O58" s="13">
        <f>N58*VLOOKUP('Données projet'!$B$9,Paramètres!$A$1:$I$89,3,0)*VLOOKUP('Données projet'!$B$9,Paramètres!$A$1:$I$89,5,0)</f>
        <v>363.58400000000023</v>
      </c>
      <c r="P58" s="13">
        <f t="shared" si="33"/>
        <v>84.353369208346365</v>
      </c>
      <c r="Q58" s="20">
        <f t="shared" si="53"/>
        <v>780.15758470453693</v>
      </c>
      <c r="R58" s="59">
        <f t="shared" si="0"/>
        <v>1073.4909180378702</v>
      </c>
      <c r="S58" s="59">
        <f ca="1">AVERAGE(OFFSET($R$3,0,0,'Données projet'!$E$9+1,1))-AVERAGE(OFFSET($H$3,0,0,'Données projet'!$E$9+1,1))</f>
        <v>443.63756287217456</v>
      </c>
      <c r="T58" s="59">
        <f t="shared" si="34"/>
        <v>384.990641425788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48</v>
      </c>
      <c r="W58" s="16">
        <f>IF(ISNA(VLOOKUP(A58,'Données projet'!$A$35:$I$55,5,0)),0%,VLOOKUP(A58,'Données projet'!$A$35:$I$55,5,0)*VLOOKUP('Données projet'!$B$9,Paramètres!$A$1:$I$89,7,0))</f>
        <v>0.45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89.365387724384448</v>
      </c>
      <c r="AA58" s="21">
        <f>EXP(-LN(2)/25)*AA57+(1-EXP(-LN(2)/25))/(LN(2)/25)*Calculateur!V58*Calculateur!X58*VLOOKUP('Données projet'!$B$9,Paramètres!$A$1:$I$89,3,0)*0.475*44/12</f>
        <v>32.710686641818384</v>
      </c>
      <c r="AB58" s="21">
        <f>EXP(-LN(2)/2)*AB57+(1-EXP(-LN(2)/2))/(LN(2)/2)*V58*Y58*VLOOKUP('Données projet'!$B$9,Paramètres!$A$1:$I$89,3,0)*0.475*44/12</f>
        <v>1.3559888069474582E-5</v>
      </c>
      <c r="AC58" s="22">
        <f t="shared" si="3"/>
        <v>122.07608792609091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137.97244371990928</v>
      </c>
      <c r="AO58" s="59">
        <f t="shared" si="36"/>
        <v>340.50331317844757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75.280104548056272</v>
      </c>
      <c r="AV58" s="21">
        <f>EXP(-LN(2)/25)*AV57+(1-EXP(-LN(2)/25))/(LN(2)/25)*Calculateur!AQ58*Calculateur!AS58*VLOOKUP('Données projet'!$B$10,Paramètres!$A$1:$I$89,3,0)*0.475*44/12</f>
        <v>7.1886547989947509</v>
      </c>
      <c r="AW58" s="21">
        <f>EXP(-LN(2)/2)*AW57+(1-EXP(-LN(2)/2))/(LN(2)/2)*AQ58*AT58*VLOOKUP('Données projet'!$B$10,Paramètres!$A$1:$I$89,3,0)*0.475*44/12</f>
        <v>7.7619480810929733E-6</v>
      </c>
      <c r="AX58" s="21">
        <f t="shared" si="6"/>
        <v>82.468767108999103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137.97244371990928</v>
      </c>
      <c r="BJ58" s="59">
        <f t="shared" si="38"/>
        <v>340.50331317844757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75.280104548056272</v>
      </c>
      <c r="BQ58" s="21">
        <f>EXP(-LN(2)/25)*BQ57+(1-EXP(-LN(2)/25))/(LN(2)/25)*Calculateur!BL58*Calculateur!BN58*VLOOKUP('Données projet'!$B$11,Paramètres!$A$1:$I$89,3,0)*0.475*44/12</f>
        <v>7.1886547989947509</v>
      </c>
      <c r="BR58" s="21">
        <f>EXP(-LN(2)/2)*BR57+(1-EXP(-LN(2)/2))/(LN(2)/2)*BL58*BO58*VLOOKUP('Données projet'!$B$11,Paramètres!$A$1:$I$89,3,0)*0.475*44/12</f>
        <v>7.7619480810929733E-6</v>
      </c>
      <c r="BS58" s="22">
        <f t="shared" si="9"/>
        <v>82.468767108999103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178.2456</v>
      </c>
      <c r="CA58" s="13">
        <f t="shared" si="39"/>
        <v>44.931642269910427</v>
      </c>
      <c r="CB58" s="20">
        <f t="shared" si="10"/>
        <v>388.70036362009404</v>
      </c>
      <c r="CC58" s="59">
        <f t="shared" si="11"/>
        <v>682.03369695342735</v>
      </c>
      <c r="CD58" s="59">
        <f ca="1">AVERAGE(OFFSET($CC$3,0,0,'Données projet'!$E$12+1,1))-AVERAGE(OFFSET($H$3,0,0,'Données projet'!$E$12+1,1))</f>
        <v>216.16148211123436</v>
      </c>
      <c r="CE58" s="59">
        <f t="shared" si="40"/>
        <v>132.59131750490178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37.410904087729087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37.410904087729087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59" s="11">
        <f t="shared" si="32"/>
        <v>14.786346384516133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505.26779665240582</v>
      </c>
      <c r="H59" s="66">
        <f t="shared" si="1"/>
        <v>407.33437995303234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18.600000000000001</v>
      </c>
      <c r="N59" s="13">
        <f>IF('Données projet'!$A$36&gt;35,N58+M59-V58,IF(A59&lt;'Données projet'!$A$36,$K$205^A59,IF(A59='Données projet'!$A$36,'Données projet'!$B$36,N58+M59-V58)))</f>
        <v>578.60000000000036</v>
      </c>
      <c r="O59" s="13">
        <f>N59*VLOOKUP('Données projet'!$B$9,Paramètres!$A$1:$I$89,3,0)*VLOOKUP('Données projet'!$B$9,Paramètres!$A$1:$I$89,5,0)</f>
        <v>346.00280000000026</v>
      </c>
      <c r="P59" s="13">
        <f t="shared" si="33"/>
        <v>80.738896833300814</v>
      </c>
      <c r="Q59" s="20">
        <f t="shared" si="53"/>
        <v>743.24178865133274</v>
      </c>
      <c r="R59" s="59">
        <f t="shared" si="0"/>
        <v>1036.5751219846661</v>
      </c>
      <c r="S59" s="59">
        <f ca="1">AVERAGE(OFFSET($R$3,0,0,'Données projet'!$E$9+1,1))-AVERAGE(OFFSET($H$3,0,0,'Données projet'!$E$9+1,1))</f>
        <v>443.63756287217456</v>
      </c>
      <c r="T59" s="59">
        <f t="shared" si="34"/>
        <v>384.990641425788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87.612986978613606</v>
      </c>
      <c r="AA59" s="21">
        <f>EXP(-LN(2)/25)*AA58+(1-EXP(-LN(2)/25))/(LN(2)/25)*Calculateur!V59*Calculateur!X59*VLOOKUP('Données projet'!$B$9,Paramètres!$A$1:$I$89,3,0)*0.475*44/12</f>
        <v>31.816211195417612</v>
      </c>
      <c r="AB59" s="21">
        <f>EXP(-LN(2)/2)*AB58+(1-EXP(-LN(2)/2))/(LN(2)/2)*V59*Y59*VLOOKUP('Données projet'!$B$9,Paramètres!$A$1:$I$89,3,0)*0.475*44/12</f>
        <v>9.5882888060560393E-6</v>
      </c>
      <c r="AC59" s="22">
        <f t="shared" si="3"/>
        <v>119.42920776232002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137.97244371990928</v>
      </c>
      <c r="AO59" s="59">
        <f t="shared" si="36"/>
        <v>340.50331317844757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73.803907614198806</v>
      </c>
      <c r="AV59" s="21">
        <f>EXP(-LN(2)/25)*AV58+(1-EXP(-LN(2)/25))/(LN(2)/25)*Calculateur!AQ59*Calculateur!AS59*VLOOKUP('Données projet'!$B$10,Paramètres!$A$1:$I$89,3,0)*0.475*44/12</f>
        <v>6.9920806554813133</v>
      </c>
      <c r="AW59" s="21">
        <f>EXP(-LN(2)/2)*AW58+(1-EXP(-LN(2)/2))/(LN(2)/2)*AQ59*AT59*VLOOKUP('Données projet'!$B$10,Paramètres!$A$1:$I$89,3,0)*0.475*44/12</f>
        <v>5.4885261233587515E-6</v>
      </c>
      <c r="AX59" s="21">
        <f t="shared" si="6"/>
        <v>80.795993758206251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137.97244371990928</v>
      </c>
      <c r="BJ59" s="59">
        <f t="shared" si="38"/>
        <v>340.50331317844757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73.803907614198806</v>
      </c>
      <c r="BQ59" s="21">
        <f>EXP(-LN(2)/25)*BQ58+(1-EXP(-LN(2)/25))/(LN(2)/25)*Calculateur!BL59*Calculateur!BN59*VLOOKUP('Données projet'!$B$11,Paramètres!$A$1:$I$89,3,0)*0.475*44/12</f>
        <v>6.9920806554813133</v>
      </c>
      <c r="BR59" s="21">
        <f>EXP(-LN(2)/2)*BR58+(1-EXP(-LN(2)/2))/(LN(2)/2)*BL59*BO59*VLOOKUP('Données projet'!$B$11,Paramètres!$A$1:$I$89,3,0)*0.475*44/12</f>
        <v>5.4885261233587515E-6</v>
      </c>
      <c r="BS59" s="22">
        <f t="shared" si="9"/>
        <v>80.795993758206251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166.12127999999998</v>
      </c>
      <c r="CA59" s="13">
        <f t="shared" si="39"/>
        <v>42.220155874487318</v>
      </c>
      <c r="CB59" s="20">
        <f t="shared" si="10"/>
        <v>362.8613341480654</v>
      </c>
      <c r="CC59" s="59">
        <f t="shared" si="11"/>
        <v>656.19466748139871</v>
      </c>
      <c r="CD59" s="59">
        <f ca="1">AVERAGE(OFFSET($CC$3,0,0,'Données projet'!$E$12+1,1))-AVERAGE(OFFSET($H$3,0,0,'Données projet'!$E$12+1,1))</f>
        <v>216.16148211123436</v>
      </c>
      <c r="CE59" s="59">
        <f t="shared" si="40"/>
        <v>132.59131750490178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36.677299076967081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36.677299076967081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51.573600000000063</v>
      </c>
      <c r="D60" s="11">
        <f t="shared" si="32"/>
        <v>15.019412930275337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514.05132788282754</v>
      </c>
      <c r="H60" s="66">
        <f t="shared" si="1"/>
        <v>409.31616418689629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18.600000000000001</v>
      </c>
      <c r="N60" s="13">
        <f>IF('Données projet'!$A$36&gt;35,N59+M60-V59,IF(A60&lt;'Données projet'!$A$36,$K$205^A60,IF(A60='Données projet'!$A$36,'Données projet'!$B$36,N59+M60-V59)))</f>
        <v>597.20000000000039</v>
      </c>
      <c r="O60" s="13">
        <f>N60*VLOOKUP('Données projet'!$B$9,Paramètres!$A$1:$I$89,3,0)*VLOOKUP('Données projet'!$B$9,Paramètres!$A$1:$I$89,5,0)</f>
        <v>357.1256000000003</v>
      </c>
      <c r="P60" s="13">
        <f t="shared" si="33"/>
        <v>83.028020806745801</v>
      </c>
      <c r="Q60" s="20">
        <f t="shared" si="53"/>
        <v>766.60088957174946</v>
      </c>
      <c r="R60" s="59">
        <f t="shared" si="0"/>
        <v>1059.9342229050828</v>
      </c>
      <c r="S60" s="59">
        <f ca="1">AVERAGE(OFFSET($R$3,0,0,'Données projet'!$E$9+1,1))-AVERAGE(OFFSET($H$3,0,0,'Données projet'!$E$9+1,1))</f>
        <v>443.63756287217456</v>
      </c>
      <c r="T60" s="59">
        <f t="shared" si="34"/>
        <v>384.990641425788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85.894949742608418</v>
      </c>
      <c r="AA60" s="21">
        <f>EXP(-LN(2)/25)*AA59+(1-EXP(-LN(2)/25))/(LN(2)/25)*Calculateur!V60*Calculateur!X60*VLOOKUP('Données projet'!$B$9,Paramètres!$A$1:$I$89,3,0)*0.475*44/12</f>
        <v>30.946195227137089</v>
      </c>
      <c r="AB60" s="21">
        <f>EXP(-LN(2)/2)*AB59+(1-EXP(-LN(2)/2))/(LN(2)/2)*V60*Y60*VLOOKUP('Données projet'!$B$9,Paramètres!$A$1:$I$89,3,0)*0.475*44/12</f>
        <v>6.7799440347372909E-6</v>
      </c>
      <c r="AC60" s="22">
        <f t="shared" si="3"/>
        <v>116.84115174968953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137.97244371990928</v>
      </c>
      <c r="AO60" s="59">
        <f t="shared" si="36"/>
        <v>340.50331317844757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72.356658001823064</v>
      </c>
      <c r="AV60" s="21">
        <f>EXP(-LN(2)/25)*AV59+(1-EXP(-LN(2)/25))/(LN(2)/25)*Calculateur!AQ60*Calculateur!AS60*VLOOKUP('Données projet'!$B$10,Paramètres!$A$1:$I$89,3,0)*0.475*44/12</f>
        <v>6.8008818422596358</v>
      </c>
      <c r="AW60" s="21">
        <f>EXP(-LN(2)/2)*AW59+(1-EXP(-LN(2)/2))/(LN(2)/2)*AQ60*AT60*VLOOKUP('Données projet'!$B$10,Paramètres!$A$1:$I$89,3,0)*0.475*44/12</f>
        <v>3.8809740405464866E-6</v>
      </c>
      <c r="AX60" s="21">
        <f t="shared" si="6"/>
        <v>79.15754372505674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137.97244371990928</v>
      </c>
      <c r="BJ60" s="59">
        <f t="shared" si="38"/>
        <v>340.50331317844757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72.356658001823064</v>
      </c>
      <c r="BQ60" s="21">
        <f>EXP(-LN(2)/25)*BQ59+(1-EXP(-LN(2)/25))/(LN(2)/25)*Calculateur!BL60*Calculateur!BN60*VLOOKUP('Données projet'!$B$11,Paramètres!$A$1:$I$89,3,0)*0.475*44/12</f>
        <v>6.8008818422596358</v>
      </c>
      <c r="BR60" s="21">
        <f>EXP(-LN(2)/2)*BR59+(1-EXP(-LN(2)/2))/(LN(2)/2)*BL60*BO60*VLOOKUP('Données projet'!$B$11,Paramètres!$A$1:$I$89,3,0)*0.475*44/12</f>
        <v>3.8809740405464866E-6</v>
      </c>
      <c r="BS60" s="22">
        <f t="shared" si="9"/>
        <v>79.15754372505674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172.99775999999997</v>
      </c>
      <c r="CA60" s="13">
        <f t="shared" si="39"/>
        <v>43.760737531919609</v>
      </c>
      <c r="CB60" s="20">
        <f t="shared" si="10"/>
        <v>377.52104986809326</v>
      </c>
      <c r="CC60" s="59">
        <f t="shared" si="11"/>
        <v>670.85438320142657</v>
      </c>
      <c r="CD60" s="59">
        <f ca="1">AVERAGE(OFFSET($CC$3,0,0,'Données projet'!$E$12+1,1))-AVERAGE(OFFSET($H$3,0,0,'Données projet'!$E$12+1,1))</f>
        <v>216.16148211123436</v>
      </c>
      <c r="CE60" s="59">
        <f t="shared" si="40"/>
        <v>132.59131750490178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35.958079613011243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35.958079613011243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52.478400000000065</v>
      </c>
      <c r="D61" s="11">
        <f t="shared" si="32"/>
        <v>15.252003989463905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522.83118869059911</v>
      </c>
      <c r="H61" s="66">
        <f t="shared" si="1"/>
        <v>411.29712028164971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18.600000000000001</v>
      </c>
      <c r="N61" s="13">
        <f>IF('Données projet'!$A$36&gt;35,N60+M61-V60,IF(A61&lt;'Données projet'!$A$36,$K$205^A61,IF(A61='Données projet'!$A$36,'Données projet'!$B$36,N60+M61-V60)))</f>
        <v>615.80000000000041</v>
      </c>
      <c r="O61" s="13">
        <f>N61*VLOOKUP('Données projet'!$B$9,Paramètres!$A$1:$I$89,3,0)*VLOOKUP('Données projet'!$B$9,Paramètres!$A$1:$I$89,5,0)</f>
        <v>368.24840000000029</v>
      </c>
      <c r="P61" s="13">
        <f t="shared" si="33"/>
        <v>85.308859587029715</v>
      </c>
      <c r="Q61" s="20">
        <f t="shared" si="53"/>
        <v>789.94556044741057</v>
      </c>
      <c r="R61" s="59">
        <f t="shared" si="0"/>
        <v>1083.2788937807438</v>
      </c>
      <c r="S61" s="59">
        <f ca="1">AVERAGE(OFFSET($R$3,0,0,'Données projet'!$E$9+1,1))-AVERAGE(OFFSET($H$3,0,0,'Données projet'!$E$9+1,1))</f>
        <v>443.63756287217456</v>
      </c>
      <c r="T61" s="59">
        <f t="shared" si="34"/>
        <v>384.990641425788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84.210602168902057</v>
      </c>
      <c r="AA61" s="21">
        <f>EXP(-LN(2)/25)*AA60+(1-EXP(-LN(2)/25))/(LN(2)/25)*Calculateur!V61*Calculateur!X61*VLOOKUP('Données projet'!$B$9,Paramètres!$A$1:$I$89,3,0)*0.475*44/12</f>
        <v>30.099969891261345</v>
      </c>
      <c r="AB61" s="21">
        <f>EXP(-LN(2)/2)*AB60+(1-EXP(-LN(2)/2))/(LN(2)/2)*V61*Y61*VLOOKUP('Données projet'!$B$9,Paramètres!$A$1:$I$89,3,0)*0.475*44/12</f>
        <v>4.7941444030280196E-6</v>
      </c>
      <c r="AC61" s="22">
        <f t="shared" si="3"/>
        <v>114.3105768543078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137.97244371990928</v>
      </c>
      <c r="AO61" s="59">
        <f t="shared" si="36"/>
        <v>340.50331317844757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70.937788071610896</v>
      </c>
      <c r="AV61" s="21">
        <f>EXP(-LN(2)/25)*AV60+(1-EXP(-LN(2)/25))/(LN(2)/25)*Calculateur!AQ61*Calculateur!AS61*VLOOKUP('Données projet'!$B$10,Paramètres!$A$1:$I$89,3,0)*0.475*44/12</f>
        <v>6.6149113706402138</v>
      </c>
      <c r="AW61" s="21">
        <f>EXP(-LN(2)/2)*AW60+(1-EXP(-LN(2)/2))/(LN(2)/2)*AQ61*AT61*VLOOKUP('Données projet'!$B$10,Paramètres!$A$1:$I$89,3,0)*0.475*44/12</f>
        <v>2.7442630616793758E-6</v>
      </c>
      <c r="AX61" s="21">
        <f t="shared" si="6"/>
        <v>77.552702186514168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137.97244371990928</v>
      </c>
      <c r="BJ61" s="59">
        <f t="shared" si="38"/>
        <v>340.50331317844757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70.937788071610896</v>
      </c>
      <c r="BQ61" s="21">
        <f>EXP(-LN(2)/25)*BQ60+(1-EXP(-LN(2)/25))/(LN(2)/25)*Calculateur!BL61*Calculateur!BN61*VLOOKUP('Données projet'!$B$11,Paramètres!$A$1:$I$89,3,0)*0.475*44/12</f>
        <v>6.6149113706402138</v>
      </c>
      <c r="BR61" s="21">
        <f>EXP(-LN(2)/2)*BR60+(1-EXP(-LN(2)/2))/(LN(2)/2)*BL61*BO61*VLOOKUP('Données projet'!$B$11,Paramètres!$A$1:$I$89,3,0)*0.475*44/12</f>
        <v>2.7442630616793758E-6</v>
      </c>
      <c r="BS61" s="22">
        <f t="shared" si="9"/>
        <v>77.552702186514168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179.87423999999999</v>
      </c>
      <c r="CA61" s="13">
        <f t="shared" si="39"/>
        <v>45.294205745553846</v>
      </c>
      <c r="CB61" s="20">
        <f t="shared" si="10"/>
        <v>392.16837634017293</v>
      </c>
      <c r="CC61" s="59">
        <f t="shared" si="11"/>
        <v>685.50170967350618</v>
      </c>
      <c r="CD61" s="59">
        <f ca="1">AVERAGE(OFFSET($CC$3,0,0,'Données projet'!$E$12+1,1))-AVERAGE(OFFSET($H$3,0,0,'Données projet'!$E$12+1,1))</f>
        <v>216.16148211123436</v>
      </c>
      <c r="CE61" s="59">
        <f t="shared" si="40"/>
        <v>132.59131750490178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35.252963604063027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35.252963604063027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53.383200000000066</v>
      </c>
      <c r="D62" s="11">
        <f t="shared" si="32"/>
        <v>15.484128706113962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531.60744966123104</v>
      </c>
      <c r="H62" s="66">
        <f t="shared" si="1"/>
        <v>413.27726416314857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18.600000000000001</v>
      </c>
      <c r="N62" s="13">
        <f>IF('Données projet'!$A$36&gt;35,N61+M62-V61,IF(A62&lt;'Données projet'!$A$36,$K$205^A62,IF(A62='Données projet'!$A$36,'Données projet'!$B$36,N61+M62-V61)))</f>
        <v>634.40000000000043</v>
      </c>
      <c r="O62" s="13">
        <f>N62*VLOOKUP('Données projet'!$B$9,Paramètres!$A$1:$I$89,3,0)*VLOOKUP('Données projet'!$B$9,Paramètres!$A$1:$I$89,5,0)</f>
        <v>379.37120000000033</v>
      </c>
      <c r="P62" s="13">
        <f t="shared" si="33"/>
        <v>87.58169214989708</v>
      </c>
      <c r="Q62" s="20">
        <f t="shared" si="53"/>
        <v>813.27628716107131</v>
      </c>
      <c r="R62" s="59">
        <f t="shared" si="0"/>
        <v>1106.6096204944047</v>
      </c>
      <c r="S62" s="59">
        <f ca="1">AVERAGE(OFFSET($R$3,0,0,'Données projet'!$E$9+1,1))-AVERAGE(OFFSET($H$3,0,0,'Données projet'!$E$9+1,1))</f>
        <v>443.63756287217456</v>
      </c>
      <c r="T62" s="59">
        <f t="shared" si="34"/>
        <v>384.990641425788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82.559283623765495</v>
      </c>
      <c r="AA62" s="21">
        <f>EXP(-LN(2)/25)*AA61+(1-EXP(-LN(2)/25))/(LN(2)/25)*Calculateur!V62*Calculateur!X62*VLOOKUP('Données projet'!$B$9,Paramètres!$A$1:$I$89,3,0)*0.475*44/12</f>
        <v>29.276884631696181</v>
      </c>
      <c r="AB62" s="21">
        <f>EXP(-LN(2)/2)*AB61+(1-EXP(-LN(2)/2))/(LN(2)/2)*V62*Y62*VLOOKUP('Données projet'!$B$9,Paramètres!$A$1:$I$89,3,0)*0.475*44/12</f>
        <v>3.3899720173686454E-6</v>
      </c>
      <c r="AC62" s="22">
        <f t="shared" si="3"/>
        <v>111.83617164543369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137.97244371990928</v>
      </c>
      <c r="AO62" s="59">
        <f t="shared" si="36"/>
        <v>340.50331317844757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69.546741315304999</v>
      </c>
      <c r="AV62" s="21">
        <f>EXP(-LN(2)/25)*AV61+(1-EXP(-LN(2)/25))/(LN(2)/25)*Calculateur!AQ62*Calculateur!AS62*VLOOKUP('Données projet'!$B$10,Paramètres!$A$1:$I$89,3,0)*0.475*44/12</f>
        <v>6.4340262713469869</v>
      </c>
      <c r="AW62" s="21">
        <f>EXP(-LN(2)/2)*AW61+(1-EXP(-LN(2)/2))/(LN(2)/2)*AQ62*AT62*VLOOKUP('Données projet'!$B$10,Paramètres!$A$1:$I$89,3,0)*0.475*44/12</f>
        <v>1.9404870202732433E-6</v>
      </c>
      <c r="AX62" s="21">
        <f t="shared" si="6"/>
        <v>75.980769527139003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137.97244371990928</v>
      </c>
      <c r="BJ62" s="59">
        <f t="shared" si="38"/>
        <v>340.50331317844757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69.546741315304999</v>
      </c>
      <c r="BQ62" s="21">
        <f>EXP(-LN(2)/25)*BQ61+(1-EXP(-LN(2)/25))/(LN(2)/25)*Calculateur!BL62*Calculateur!BN62*VLOOKUP('Données projet'!$B$11,Paramètres!$A$1:$I$89,3,0)*0.475*44/12</f>
        <v>6.4340262713469869</v>
      </c>
      <c r="BR62" s="21">
        <f>EXP(-LN(2)/2)*BR61+(1-EXP(-LN(2)/2))/(LN(2)/2)*BL62*BO62*VLOOKUP('Données projet'!$B$11,Paramètres!$A$1:$I$89,3,0)*0.475*44/12</f>
        <v>1.9404870202732433E-6</v>
      </c>
      <c r="BS62" s="22">
        <f t="shared" si="9"/>
        <v>75.980769527139003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186.75071999999997</v>
      </c>
      <c r="CA62" s="13">
        <f t="shared" si="39"/>
        <v>46.820863587839391</v>
      </c>
      <c r="CB62" s="20">
        <f t="shared" si="10"/>
        <v>406.80384141548689</v>
      </c>
      <c r="CC62" s="59">
        <f t="shared" si="11"/>
        <v>700.13717474882014</v>
      </c>
      <c r="CD62" s="59">
        <f ca="1">AVERAGE(OFFSET($CC$3,0,0,'Données projet'!$E$12+1,1))-AVERAGE(OFFSET($H$3,0,0,'Données projet'!$E$12+1,1))</f>
        <v>216.16148211123436</v>
      </c>
      <c r="CE62" s="59">
        <f t="shared" si="40"/>
        <v>132.59131750490178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34.561674489971985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34.561674489971985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54.288000000000068</v>
      </c>
      <c r="D63" s="11">
        <f t="shared" si="32"/>
        <v>15.71579589652676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540.38017885038255</v>
      </c>
      <c r="H63" s="66">
        <f t="shared" si="1"/>
        <v>415.25661118645087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653</v>
      </c>
      <c r="L63" s="12">
        <f>VLOOKUP(A63,'Données projet'!$A$35:$I$55,9,0)</f>
        <v>18.600000000000001</v>
      </c>
      <c r="M63" s="12">
        <f t="array" ref="M63">INDEX(L:L,MIN(IF(ISNUMBER(L63:L259),ROW(L63:L259),"")))</f>
        <v>18.600000000000001</v>
      </c>
      <c r="N63" s="13">
        <f>IF('Données projet'!$A$36&gt;35,N62+M63-V62,IF(A63&lt;'Données projet'!$A$36,$K$205^A63,IF(A63='Données projet'!$A$36,'Données projet'!$B$36,N62+M63-V62)))</f>
        <v>653.00000000000045</v>
      </c>
      <c r="O63" s="13">
        <f>N63*VLOOKUP('Données projet'!$B$9,Paramètres!$A$1:$I$89,3,0)*VLOOKUP('Données projet'!$B$9,Paramètres!$A$1:$I$89,5,0)</f>
        <v>390.49400000000031</v>
      </c>
      <c r="P63" s="13">
        <f t="shared" si="33"/>
        <v>89.846780182423473</v>
      </c>
      <c r="Q63" s="20">
        <f t="shared" si="53"/>
        <v>836.59352548438801</v>
      </c>
      <c r="R63" s="59">
        <f t="shared" si="0"/>
        <v>1129.9268588177213</v>
      </c>
      <c r="S63" s="59">
        <f ca="1">AVERAGE(OFFSET($R$3,0,0,'Données projet'!$E$9+1,1))-AVERAGE(OFFSET($H$3,0,0,'Données projet'!$E$9+1,1))</f>
        <v>443.63756287217456</v>
      </c>
      <c r="T63" s="59">
        <f t="shared" si="34"/>
        <v>384.990641425788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0.45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95.933443216362974</v>
      </c>
      <c r="AA63" s="21">
        <f>EXP(-LN(2)/25)*AA62+(1-EXP(-LN(2)/25))/(LN(2)/25)*Calculateur!V63*Calculateur!X63*VLOOKUP('Données projet'!$B$9,Paramètres!$A$1:$I$89,3,0)*0.475*44/12</f>
        <v>28.476306681838</v>
      </c>
      <c r="AB63" s="21">
        <f>EXP(-LN(2)/2)*AB62+(1-EXP(-LN(2)/2))/(LN(2)/2)*V63*Y63*VLOOKUP('Données projet'!$B$9,Paramètres!$A$1:$I$89,3,0)*0.475*44/12</f>
        <v>2.3970722015140098E-6</v>
      </c>
      <c r="AC63" s="22">
        <f t="shared" si="3"/>
        <v>124.40975229527318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137.97244371990928</v>
      </c>
      <c r="AO63" s="59">
        <f t="shared" si="36"/>
        <v>340.50331317844757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68.182972137435513</v>
      </c>
      <c r="AV63" s="21">
        <f>EXP(-LN(2)/25)*AV62+(1-EXP(-LN(2)/25))/(LN(2)/25)*Calculateur!AQ63*Calculateur!AS63*VLOOKUP('Données projet'!$B$10,Paramètres!$A$1:$I$89,3,0)*0.475*44/12</f>
        <v>6.2580874846062668</v>
      </c>
      <c r="AW63" s="21">
        <f>EXP(-LN(2)/2)*AW62+(1-EXP(-LN(2)/2))/(LN(2)/2)*AQ63*AT63*VLOOKUP('Données projet'!$B$10,Paramètres!$A$1:$I$89,3,0)*0.475*44/12</f>
        <v>1.3721315308396879E-6</v>
      </c>
      <c r="AX63" s="21">
        <f t="shared" si="6"/>
        <v>74.441060994173313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137.97244371990928</v>
      </c>
      <c r="BJ63" s="59">
        <f t="shared" si="38"/>
        <v>340.50331317844757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68.182972137435513</v>
      </c>
      <c r="BQ63" s="21">
        <f>EXP(-LN(2)/25)*BQ62+(1-EXP(-LN(2)/25))/(LN(2)/25)*Calculateur!BL63*Calculateur!BN63*VLOOKUP('Données projet'!$B$11,Paramètres!$A$1:$I$89,3,0)*0.475*44/12</f>
        <v>6.2580874846062668</v>
      </c>
      <c r="BR63" s="21">
        <f>EXP(-LN(2)/2)*BR62+(1-EXP(-LN(2)/2))/(LN(2)/2)*BL63*BO63*VLOOKUP('Données projet'!$B$11,Paramètres!$A$1:$I$89,3,0)*0.475*44/12</f>
        <v>1.3721315308396879E-6</v>
      </c>
      <c r="BS63" s="22">
        <f t="shared" si="9"/>
        <v>74.441060994173313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193.62719999999996</v>
      </c>
      <c r="CA63" s="13">
        <f t="shared" si="39"/>
        <v>48.340990547231193</v>
      </c>
      <c r="CB63" s="20">
        <f t="shared" si="10"/>
        <v>421.42793186976087</v>
      </c>
      <c r="CC63" s="59">
        <f t="shared" si="11"/>
        <v>714.76126520309413</v>
      </c>
      <c r="CD63" s="59">
        <f ca="1">AVERAGE(OFFSET($CC$3,0,0,'Données projet'!$E$12+1,1))-AVERAGE(OFFSET($H$3,0,0,'Données projet'!$E$12+1,1))</f>
        <v>216.16148211123436</v>
      </c>
      <c r="CE63" s="59">
        <f t="shared" si="40"/>
        <v>132.59131750490178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42.916014416358301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42.916014416358301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55.192800000000069</v>
      </c>
      <c r="D64" s="11">
        <f t="shared" si="32"/>
        <v>15.947014066281694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549.14944191515747</v>
      </c>
      <c r="H64" s="66">
        <f t="shared" si="1"/>
        <v>417.23517616544069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16.8</v>
      </c>
      <c r="N64" s="13">
        <f>IF('Données projet'!$A$36&gt;35,N63+M64-V63,IF(A64&lt;'Données projet'!$A$36,$K$205^A64,IF(A64='Données projet'!$A$36,'Données projet'!$B$36,N63+M64-V63)))</f>
        <v>627.80000000000041</v>
      </c>
      <c r="O64" s="13">
        <f>N64*VLOOKUP('Données projet'!$B$9,Paramètres!$A$1:$I$89,3,0)*VLOOKUP('Données projet'!$B$9,Paramètres!$A$1:$I$89,5,0)</f>
        <v>375.42440000000028</v>
      </c>
      <c r="P64" s="13">
        <f t="shared" si="33"/>
        <v>86.776102824676897</v>
      </c>
      <c r="Q64" s="20">
        <f t="shared" si="53"/>
        <v>804.99920908631259</v>
      </c>
      <c r="R64" s="59">
        <f t="shared" si="0"/>
        <v>1098.332542419646</v>
      </c>
      <c r="S64" s="59">
        <f ca="1">AVERAGE(OFFSET($R$3,0,0,'Données projet'!$E$9+1,1))-AVERAGE(OFFSET($H$3,0,0,'Données projet'!$E$9+1,1))</f>
        <v>443.63756287217456</v>
      </c>
      <c r="T64" s="59">
        <f t="shared" si="34"/>
        <v>384.990641425788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94.052246908512714</v>
      </c>
      <c r="AA64" s="21">
        <f>EXP(-LN(2)/25)*AA63+(1-EXP(-LN(2)/25))/(LN(2)/25)*Calculateur!V64*Calculateur!X64*VLOOKUP('Données projet'!$B$9,Paramètres!$A$1:$I$89,3,0)*0.475*44/12</f>
        <v>27.697620578119256</v>
      </c>
      <c r="AB64" s="21">
        <f>EXP(-LN(2)/2)*AB63+(1-EXP(-LN(2)/2))/(LN(2)/2)*V64*Y64*VLOOKUP('Données projet'!$B$9,Paramètres!$A$1:$I$89,3,0)*0.475*44/12</f>
        <v>1.6949860086843227E-6</v>
      </c>
      <c r="AC64" s="22">
        <f t="shared" si="3"/>
        <v>121.74986918161798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137.97244371990928</v>
      </c>
      <c r="AO64" s="59">
        <f t="shared" si="36"/>
        <v>340.50331317844757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66.845945641326978</v>
      </c>
      <c r="AV64" s="21">
        <f>EXP(-LN(2)/25)*AV63+(1-EXP(-LN(2)/25))/(LN(2)/25)*Calculateur!AQ64*Calculateur!AS64*VLOOKUP('Données projet'!$B$10,Paramètres!$A$1:$I$89,3,0)*0.475*44/12</f>
        <v>6.0869597532411905</v>
      </c>
      <c r="AW64" s="21">
        <f>EXP(-LN(2)/2)*AW63+(1-EXP(-LN(2)/2))/(LN(2)/2)*AQ64*AT64*VLOOKUP('Données projet'!$B$10,Paramètres!$A$1:$I$89,3,0)*0.475*44/12</f>
        <v>9.7024351013662166E-7</v>
      </c>
      <c r="AX64" s="21">
        <f t="shared" si="6"/>
        <v>72.932906364811672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137.97244371990928</v>
      </c>
      <c r="BJ64" s="59">
        <f t="shared" si="38"/>
        <v>340.50331317844757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66.845945641326978</v>
      </c>
      <c r="BQ64" s="21">
        <f>EXP(-LN(2)/25)*BQ63+(1-EXP(-LN(2)/25))/(LN(2)/25)*Calculateur!BL64*Calculateur!BN64*VLOOKUP('Données projet'!$B$11,Paramètres!$A$1:$I$89,3,0)*0.475*44/12</f>
        <v>6.0869597532411905</v>
      </c>
      <c r="BR64" s="21">
        <f>EXP(-LN(2)/2)*BR63+(1-EXP(-LN(2)/2))/(LN(2)/2)*BL64*BO64*VLOOKUP('Données projet'!$B$11,Paramètres!$A$1:$I$89,3,0)*0.475*44/12</f>
        <v>9.7024351013662166E-7</v>
      </c>
      <c r="BS64" s="22">
        <f t="shared" si="9"/>
        <v>72.932906364811672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181.14095999999995</v>
      </c>
      <c r="CA64" s="13">
        <f t="shared" si="39"/>
        <v>45.575935320610945</v>
      </c>
      <c r="CB64" s="20">
        <f t="shared" si="10"/>
        <v>394.86525935006392</v>
      </c>
      <c r="CC64" s="59">
        <f t="shared" si="11"/>
        <v>688.19859268339724</v>
      </c>
      <c r="CD64" s="59">
        <f ca="1">AVERAGE(OFFSET($CC$3,0,0,'Données projet'!$E$12+1,1))-AVERAGE(OFFSET($H$3,0,0,'Données projet'!$E$12+1,1))</f>
        <v>216.16148211123436</v>
      </c>
      <c r="CE64" s="59">
        <f t="shared" si="40"/>
        <v>132.59131750490178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42.074457549837625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42.074457549837625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56.097600000000071</v>
      </c>
      <c r="D65" s="11">
        <f t="shared" si="32"/>
        <v>16.177791426098285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557.91530223654865</v>
      </c>
      <c r="H65" s="66">
        <f t="shared" si="1"/>
        <v>419.21297340045464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16.8</v>
      </c>
      <c r="N65" s="13">
        <f>IF('Données projet'!$A$36&gt;35,N64+M65-V64,IF(A65&lt;'Données projet'!$A$36,$K$205^A65,IF(A65='Données projet'!$A$36,'Données projet'!$B$36,N64+M65-V64)))</f>
        <v>644.60000000000036</v>
      </c>
      <c r="O65" s="13">
        <f>N65*VLOOKUP('Données projet'!$B$9,Paramètres!$A$1:$I$89,3,0)*VLOOKUP('Données projet'!$B$9,Paramètres!$A$1:$I$89,5,0)</f>
        <v>385.47080000000028</v>
      </c>
      <c r="P65" s="13">
        <f t="shared" si="33"/>
        <v>88.824780133563593</v>
      </c>
      <c r="Q65" s="20">
        <f t="shared" si="53"/>
        <v>826.064802065957</v>
      </c>
      <c r="R65" s="59">
        <f t="shared" si="0"/>
        <v>1119.3981353992904</v>
      </c>
      <c r="S65" s="59">
        <f ca="1">AVERAGE(OFFSET($R$3,0,0,'Données projet'!$E$9+1,1))-AVERAGE(OFFSET($H$3,0,0,'Données projet'!$E$9+1,1))</f>
        <v>443.63756287217456</v>
      </c>
      <c r="T65" s="59">
        <f t="shared" si="34"/>
        <v>384.990641425788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92.207939712842958</v>
      </c>
      <c r="AA65" s="21">
        <f>EXP(-LN(2)/25)*AA64+(1-EXP(-LN(2)/25))/(LN(2)/25)*Calculateur!V65*Calculateur!X65*VLOOKUP('Données projet'!$B$9,Paramètres!$A$1:$I$89,3,0)*0.475*44/12</f>
        <v>26.940227686856023</v>
      </c>
      <c r="AB65" s="21">
        <f>EXP(-LN(2)/2)*AB64+(1-EXP(-LN(2)/2))/(LN(2)/2)*V65*Y65*VLOOKUP('Données projet'!$B$9,Paramètres!$A$1:$I$89,3,0)*0.475*44/12</f>
        <v>1.1985361007570049E-6</v>
      </c>
      <c r="AC65" s="22">
        <f t="shared" si="3"/>
        <v>119.14816859823507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137.97244371990928</v>
      </c>
      <c r="AO65" s="59">
        <f t="shared" si="36"/>
        <v>340.50331317844757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65.535137419301492</v>
      </c>
      <c r="AV65" s="21">
        <f>EXP(-LN(2)/25)*AV64+(1-EXP(-LN(2)/25))/(LN(2)/25)*Calculateur!AQ65*Calculateur!AS65*VLOOKUP('Données projet'!$B$10,Paramètres!$A$1:$I$89,3,0)*0.475*44/12</f>
        <v>5.9205115186895085</v>
      </c>
      <c r="AW65" s="21">
        <f>EXP(-LN(2)/2)*AW64+(1-EXP(-LN(2)/2))/(LN(2)/2)*AQ65*AT65*VLOOKUP('Données projet'!$B$10,Paramètres!$A$1:$I$89,3,0)*0.475*44/12</f>
        <v>6.8606576541984394E-7</v>
      </c>
      <c r="AX65" s="21">
        <f t="shared" si="6"/>
        <v>71.455649624056761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137.97244371990928</v>
      </c>
      <c r="BJ65" s="59">
        <f t="shared" si="38"/>
        <v>340.50331317844757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65.535137419301492</v>
      </c>
      <c r="BQ65" s="21">
        <f>EXP(-LN(2)/25)*BQ64+(1-EXP(-LN(2)/25))/(LN(2)/25)*Calculateur!BL65*Calculateur!BN65*VLOOKUP('Données projet'!$B$11,Paramètres!$A$1:$I$89,3,0)*0.475*44/12</f>
        <v>5.9205115186895085</v>
      </c>
      <c r="BR65" s="21">
        <f>EXP(-LN(2)/2)*BR64+(1-EXP(-LN(2)/2))/(LN(2)/2)*BL65*BO65*VLOOKUP('Données projet'!$B$11,Paramètres!$A$1:$I$89,3,0)*0.475*44/12</f>
        <v>6.8606576541984394E-7</v>
      </c>
      <c r="BS65" s="22">
        <f t="shared" si="9"/>
        <v>71.455649624056761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187.65551999999994</v>
      </c>
      <c r="CA65" s="13">
        <f t="shared" si="39"/>
        <v>47.021247649900147</v>
      </c>
      <c r="CB65" s="20">
        <f t="shared" si="10"/>
        <v>408.72870365690932</v>
      </c>
      <c r="CC65" s="59">
        <f t="shared" si="11"/>
        <v>702.06203699024263</v>
      </c>
      <c r="CD65" s="59">
        <f ca="1">AVERAGE(OFFSET($CC$3,0,0,'Données projet'!$E$12+1,1))-AVERAGE(OFFSET($H$3,0,0,'Données projet'!$E$12+1,1))</f>
        <v>216.16148211123436</v>
      </c>
      <c r="CE65" s="59">
        <f t="shared" si="40"/>
        <v>132.59131750490178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41.249403100170419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41.249403100170419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57.002400000000073</v>
      </c>
      <c r="D66" s="11">
        <f t="shared" si="32"/>
        <v>16.408135906645821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566.67782103375782</v>
      </c>
      <c r="H66" s="66">
        <f t="shared" si="1"/>
        <v>421.19001670407494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16.8</v>
      </c>
      <c r="N66" s="13">
        <f>IF('Données projet'!$A$36&gt;35,N65+M66-V65,IF(A66&lt;'Données projet'!$A$36,$K$205^A66,IF(A66='Données projet'!$A$36,'Données projet'!$B$36,N65+M66-V65)))</f>
        <v>661.40000000000032</v>
      </c>
      <c r="O66" s="13">
        <f>N66*VLOOKUP('Données projet'!$B$9,Paramètres!$A$1:$I$89,3,0)*VLOOKUP('Données projet'!$B$9,Paramètres!$A$1:$I$89,5,0)</f>
        <v>395.51720000000017</v>
      </c>
      <c r="P66" s="13">
        <f t="shared" si="33"/>
        <v>90.867251054957663</v>
      </c>
      <c r="Q66" s="20">
        <f t="shared" si="53"/>
        <v>847.11958558738479</v>
      </c>
      <c r="R66" s="59">
        <f t="shared" si="0"/>
        <v>1140.452918920718</v>
      </c>
      <c r="S66" s="59">
        <f ca="1">AVERAGE(OFFSET($R$3,0,0,'Données projet'!$E$9+1,1))-AVERAGE(OFFSET($H$3,0,0,'Données projet'!$E$9+1,1))</f>
        <v>443.63756287217456</v>
      </c>
      <c r="T66" s="59">
        <f t="shared" si="34"/>
        <v>384.990641425788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90.399798256363965</v>
      </c>
      <c r="AA66" s="21">
        <f>EXP(-LN(2)/25)*AA65+(1-EXP(-LN(2)/25))/(LN(2)/25)*Calculateur!V66*Calculateur!X66*VLOOKUP('Données projet'!$B$9,Paramètres!$A$1:$I$89,3,0)*0.475*44/12</f>
        <v>26.203545744033942</v>
      </c>
      <c r="AB66" s="21">
        <f>EXP(-LN(2)/2)*AB65+(1-EXP(-LN(2)/2))/(LN(2)/2)*V66*Y66*VLOOKUP('Données projet'!$B$9,Paramètres!$A$1:$I$89,3,0)*0.475*44/12</f>
        <v>8.4749300434216136E-7</v>
      </c>
      <c r="AC66" s="22">
        <f t="shared" si="3"/>
        <v>116.60334484789091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137.97244371990928</v>
      </c>
      <c r="AO66" s="59">
        <f t="shared" si="36"/>
        <v>340.50331317844757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64.250033346995863</v>
      </c>
      <c r="AV66" s="21">
        <f>EXP(-LN(2)/25)*AV65+(1-EXP(-LN(2)/25))/(LN(2)/25)*Calculateur!AQ66*Calculateur!AS66*VLOOKUP('Données projet'!$B$10,Paramètres!$A$1:$I$89,3,0)*0.475*44/12</f>
        <v>5.7586148198647749</v>
      </c>
      <c r="AW66" s="21">
        <f>EXP(-LN(2)/2)*AW65+(1-EXP(-LN(2)/2))/(LN(2)/2)*AQ66*AT66*VLOOKUP('Données projet'!$B$10,Paramètres!$A$1:$I$89,3,0)*0.475*44/12</f>
        <v>4.8512175506831083E-7</v>
      </c>
      <c r="AX66" s="21">
        <f t="shared" si="6"/>
        <v>70.008648651982398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137.97244371990928</v>
      </c>
      <c r="BJ66" s="59">
        <f t="shared" si="38"/>
        <v>340.50331317844757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64.250033346995863</v>
      </c>
      <c r="BQ66" s="21">
        <f>EXP(-LN(2)/25)*BQ65+(1-EXP(-LN(2)/25))/(LN(2)/25)*Calculateur!BL66*Calculateur!BN66*VLOOKUP('Données projet'!$B$11,Paramètres!$A$1:$I$89,3,0)*0.475*44/12</f>
        <v>5.7586148198647749</v>
      </c>
      <c r="BR66" s="21">
        <f>EXP(-LN(2)/2)*BR65+(1-EXP(-LN(2)/2))/(LN(2)/2)*BL66*BO66*VLOOKUP('Données projet'!$B$11,Paramètres!$A$1:$I$89,3,0)*0.475*44/12</f>
        <v>4.8512175506831083E-7</v>
      </c>
      <c r="BS66" s="22">
        <f t="shared" si="9"/>
        <v>70.008648651982398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194.17007999999996</v>
      </c>
      <c r="CA66" s="13">
        <f t="shared" si="39"/>
        <v>48.460730182351035</v>
      </c>
      <c r="CB66" s="20">
        <f t="shared" si="10"/>
        <v>422.5819944009279</v>
      </c>
      <c r="CC66" s="59">
        <f t="shared" si="11"/>
        <v>715.91532773426115</v>
      </c>
      <c r="CD66" s="59">
        <f ca="1">AVERAGE(OFFSET($CC$3,0,0,'Données projet'!$E$12+1,1))-AVERAGE(OFFSET($H$3,0,0,'Données projet'!$E$12+1,1))</f>
        <v>216.16148211123436</v>
      </c>
      <c r="CE66" s="59">
        <f t="shared" si="40"/>
        <v>132.59131750490178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40.440527465027657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40.440527465027657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57.907200000000074</v>
      </c>
      <c r="D67" s="11">
        <f t="shared" si="32"/>
        <v>16.638055172386014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575.43705747105059</v>
      </c>
      <c r="H67" s="66">
        <f t="shared" si="1"/>
        <v>423.16631942523907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16.8</v>
      </c>
      <c r="N67" s="13">
        <f>IF('Données projet'!$A$36&gt;35,N66+M67-V66,IF(A67&lt;'Données projet'!$A$36,$K$205^A67,IF(A67='Données projet'!$A$36,'Données projet'!$B$36,N66+M67-V66)))</f>
        <v>678.20000000000027</v>
      </c>
      <c r="O67" s="13">
        <f>N67*VLOOKUP('Données projet'!$B$9,Paramètres!$A$1:$I$89,3,0)*VLOOKUP('Données projet'!$B$9,Paramètres!$A$1:$I$89,5,0)</f>
        <v>405.56360000000024</v>
      </c>
      <c r="P67" s="13">
        <f t="shared" si="33"/>
        <v>92.90369136359071</v>
      </c>
      <c r="Q67" s="20">
        <f t="shared" ref="Q67:Q98" si="54">(O67+P67)*0.475*44/12</f>
        <v>868.16386579158745</v>
      </c>
      <c r="R67" s="59">
        <f t="shared" ref="R67:R130" si="55">Q67+(I67+J67)*44/12</f>
        <v>1161.4971991249208</v>
      </c>
      <c r="S67" s="59">
        <f ca="1">AVERAGE(OFFSET($R$3,0,0,'Données projet'!$E$9+1,1))-AVERAGE(OFFSET($H$3,0,0,'Données projet'!$E$9+1,1))</f>
        <v>443.63756287217456</v>
      </c>
      <c r="T67" s="59">
        <f t="shared" si="34"/>
        <v>384.990641425788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88.627113350989134</v>
      </c>
      <c r="AA67" s="21">
        <f>EXP(-LN(2)/25)*AA66+(1-EXP(-LN(2)/25))/(LN(2)/25)*Calculateur!V67*Calculateur!X67*VLOOKUP('Données projet'!$B$9,Paramètres!$A$1:$I$89,3,0)*0.475*44/12</f>
        <v>25.487008407678751</v>
      </c>
      <c r="AB67" s="21">
        <f>EXP(-LN(2)/2)*AB66+(1-EXP(-LN(2)/2))/(LN(2)/2)*V67*Y67*VLOOKUP('Données projet'!$B$9,Paramètres!$A$1:$I$89,3,0)*0.475*44/12</f>
        <v>5.9926805037850246E-7</v>
      </c>
      <c r="AC67" s="22">
        <f t="shared" si="3"/>
        <v>114.11412235793594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137.97244371990928</v>
      </c>
      <c r="AO67" s="59">
        <f t="shared" si="36"/>
        <v>340.50331317844757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62.990129381712059</v>
      </c>
      <c r="AV67" s="21">
        <f>EXP(-LN(2)/25)*AV66+(1-EXP(-LN(2)/25))/(LN(2)/25)*Calculateur!AQ67*Calculateur!AS67*VLOOKUP('Données projet'!$B$10,Paramètres!$A$1:$I$89,3,0)*0.475*44/12</f>
        <v>5.6011451947831805</v>
      </c>
      <c r="AW67" s="21">
        <f>EXP(-LN(2)/2)*AW66+(1-EXP(-LN(2)/2))/(LN(2)/2)*AQ67*AT67*VLOOKUP('Données projet'!$B$10,Paramètres!$A$1:$I$89,3,0)*0.475*44/12</f>
        <v>3.4303288270992197E-7</v>
      </c>
      <c r="AX67" s="21">
        <f t="shared" si="6"/>
        <v>68.591274919528118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137.97244371990928</v>
      </c>
      <c r="BJ67" s="59">
        <f t="shared" si="38"/>
        <v>340.50331317844757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62.990129381712059</v>
      </c>
      <c r="BQ67" s="21">
        <f>EXP(-LN(2)/25)*BQ66+(1-EXP(-LN(2)/25))/(LN(2)/25)*Calculateur!BL67*Calculateur!BN67*VLOOKUP('Données projet'!$B$11,Paramètres!$A$1:$I$89,3,0)*0.475*44/12</f>
        <v>5.6011451947831805</v>
      </c>
      <c r="BR67" s="21">
        <f>EXP(-LN(2)/2)*BR66+(1-EXP(-LN(2)/2))/(LN(2)/2)*BL67*BO67*VLOOKUP('Données projet'!$B$11,Paramètres!$A$1:$I$89,3,0)*0.475*44/12</f>
        <v>3.4303288270992197E-7</v>
      </c>
      <c r="BS67" s="22">
        <f t="shared" si="9"/>
        <v>68.591274919528118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200.68463999999992</v>
      </c>
      <c r="CA67" s="13">
        <f t="shared" si="39"/>
        <v>49.894600936700193</v>
      </c>
      <c r="CB67" s="20">
        <f t="shared" si="10"/>
        <v>436.42551129808606</v>
      </c>
      <c r="CC67" s="59">
        <f t="shared" si="11"/>
        <v>729.75884463141938</v>
      </c>
      <c r="CD67" s="59">
        <f ca="1">AVERAGE(OFFSET($CC$3,0,0,'Données projet'!$E$12+1,1))-AVERAGE(OFFSET($H$3,0,0,'Données projet'!$E$12+1,1))</f>
        <v>216.16148211123436</v>
      </c>
      <c r="CE67" s="59">
        <f t="shared" si="40"/>
        <v>132.59131750490178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39.647513387724622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39.647513387724622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58.812000000000076</v>
      </c>
      <c r="D68" s="11">
        <f t="shared" si="32"/>
        <v>16.867556634526004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584.19306875774521</v>
      </c>
      <c r="H68" s="66">
        <f t="shared" ref="H68:H131" si="56">(B68+E68+F68)*44/12+(C68+D68)*0.475*44/12</f>
        <v>425.14189447179956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695</v>
      </c>
      <c r="L68" s="12">
        <f>VLOOKUP(A68,'Données projet'!$A$35:$I$55,9,0)</f>
        <v>16.8</v>
      </c>
      <c r="M68" s="12">
        <f t="array" ref="M68">INDEX(L:L,MIN(IF(ISNUMBER(L68:L264),ROW(L68:L264),"")))</f>
        <v>16.8</v>
      </c>
      <c r="N68" s="13">
        <f>IF('Données projet'!$A$36&gt;35,N67+M68-V67,IF(A68&lt;'Données projet'!$A$36,$K$205^A68,IF(A68='Données projet'!$A$36,'Données projet'!$B$36,N67+M68-V67)))</f>
        <v>695.00000000000023</v>
      </c>
      <c r="O68" s="13">
        <f>N68*VLOOKUP('Données projet'!$B$9,Paramètres!$A$1:$I$89,3,0)*VLOOKUP('Données projet'!$B$9,Paramètres!$A$1:$I$89,5,0)</f>
        <v>415.61000000000013</v>
      </c>
      <c r="P68" s="13">
        <f t="shared" si="33"/>
        <v>94.934267629409874</v>
      </c>
      <c r="Q68" s="20">
        <f t="shared" si="54"/>
        <v>889.19793278788904</v>
      </c>
      <c r="R68" s="59">
        <f t="shared" si="55"/>
        <v>1182.5312661212224</v>
      </c>
      <c r="S68" s="59">
        <f ca="1">AVERAGE(OFFSET($R$3,0,0,'Données projet'!$E$9+1,1))-AVERAGE(OFFSET($H$3,0,0,'Données projet'!$E$9+1,1))</f>
        <v>443.63756287217456</v>
      </c>
      <c r="T68" s="59">
        <f t="shared" si="34"/>
        <v>384.990641425788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37</v>
      </c>
      <c r="W68" s="16">
        <f>IF(ISNA(VLOOKUP(A68,'Données projet'!$A$35:$I$55,5,0)),0%,VLOOKUP(A68,'Données projet'!$A$35:$I$55,5,0)*VLOOKUP('Données projet'!$B$9,Paramètres!$A$1:$I$89,7,0))</f>
        <v>0.45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100.09739402885255</v>
      </c>
      <c r="AA68" s="21">
        <f>EXP(-LN(2)/25)*AA67+(1-EXP(-LN(2)/25))/(LN(2)/25)*Calculateur!V68*Calculateur!X68*VLOOKUP('Données projet'!$B$9,Paramètres!$A$1:$I$89,3,0)*0.475*44/12</f>
        <v>24.790064822467254</v>
      </c>
      <c r="AB68" s="21">
        <f>EXP(-LN(2)/2)*AB67+(1-EXP(-LN(2)/2))/(LN(2)/2)*V68*Y68*VLOOKUP('Données projet'!$B$9,Paramètres!$A$1:$I$89,3,0)*0.475*44/12</f>
        <v>4.2374650217108068E-7</v>
      </c>
      <c r="AC68" s="22">
        <f t="shared" ref="AC68:AC131" si="57">SUM(Z68:AB68)</f>
        <v>124.88745927506631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137.97244371990928</v>
      </c>
      <c r="AO68" s="59">
        <f t="shared" si="36"/>
        <v>340.50331317844757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61.754931364721934</v>
      </c>
      <c r="AV68" s="21">
        <f>EXP(-LN(2)/25)*AV67+(1-EXP(-LN(2)/25))/(LN(2)/25)*Calculateur!AQ68*Calculateur!AS68*VLOOKUP('Données projet'!$B$10,Paramètres!$A$1:$I$89,3,0)*0.475*44/12</f>
        <v>5.4479815848804103</v>
      </c>
      <c r="AW68" s="21">
        <f>EXP(-LN(2)/2)*AW67+(1-EXP(-LN(2)/2))/(LN(2)/2)*AQ68*AT68*VLOOKUP('Données projet'!$B$10,Paramètres!$A$1:$I$89,3,0)*0.475*44/12</f>
        <v>2.4256087753415542E-7</v>
      </c>
      <c r="AX68" s="21">
        <f t="shared" ref="AX68:AX131" si="60">SUM(AU68:AW68)</f>
        <v>67.202913192163223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137.97244371990928</v>
      </c>
      <c r="BJ68" s="59">
        <f t="shared" si="38"/>
        <v>340.50331317844757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61.754931364721934</v>
      </c>
      <c r="BQ68" s="21">
        <f>EXP(-LN(2)/25)*BQ67+(1-EXP(-LN(2)/25))/(LN(2)/25)*Calculateur!BL68*Calculateur!BN68*VLOOKUP('Données projet'!$B$11,Paramètres!$A$1:$I$89,3,0)*0.475*44/12</f>
        <v>5.4479815848804103</v>
      </c>
      <c r="BR68" s="21">
        <f>EXP(-LN(2)/2)*BR67+(1-EXP(-LN(2)/2))/(LN(2)/2)*BL68*BO68*VLOOKUP('Données projet'!$B$11,Paramètres!$A$1:$I$89,3,0)*0.475*44/12</f>
        <v>2.4256087753415542E-7</v>
      </c>
      <c r="BS68" s="22">
        <f t="shared" ref="BS68:BS131" si="63">SUM(BP68:BR68)</f>
        <v>67.202913192163223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207.19919999999991</v>
      </c>
      <c r="CA68" s="13">
        <f t="shared" si="39"/>
        <v>51.3230629736655</v>
      </c>
      <c r="CB68" s="20">
        <f t="shared" ref="CB68:CB131" si="64">(BZ68+CA68)*0.475*44/12</f>
        <v>450.25960801246725</v>
      </c>
      <c r="CC68" s="59">
        <f t="shared" ref="CC68:CC131" si="65">CB68+(BT68+BU68)*44/12</f>
        <v>743.59294134580057</v>
      </c>
      <c r="CD68" s="59">
        <f ca="1">AVERAGE(OFFSET($CC$3,0,0,'Données projet'!$E$12+1,1))-AVERAGE(OFFSET($H$3,0,0,'Données projet'!$E$12+1,1))</f>
        <v>216.16148211123436</v>
      </c>
      <c r="CE68" s="59">
        <f t="shared" si="40"/>
        <v>132.59131750490178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47.902123115381436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47.902123115381436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59.716800000000077</v>
      </c>
      <c r="D69" s="11">
        <f t="shared" ref="D69:D132" si="86">IFERROR(EXP(-1.0587+0.8836*LN(C69)+0.284),0)</f>
        <v>17.096647463151541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592.94591024187218</v>
      </c>
      <c r="H69" s="66">
        <f t="shared" si="56"/>
        <v>427.11675433165567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</v>
      </c>
      <c r="N69" s="13">
        <f>IF('Données projet'!$A$36&gt;35,N68+M69-V68,IF(A69&lt;'Données projet'!$A$36,$K$205^A69,IF(A69='Données projet'!$A$36,'Données projet'!$B$36,N68+M69-V68)))</f>
        <v>673.00000000000023</v>
      </c>
      <c r="O69" s="13">
        <f>N69*VLOOKUP('Données projet'!$B$9,Paramètres!$A$1:$I$89,3,0)*VLOOKUP('Données projet'!$B$9,Paramètres!$A$1:$I$89,5,0)</f>
        <v>402.45400000000012</v>
      </c>
      <c r="P69" s="13">
        <f t="shared" ref="P69:P132" si="87">EXP(-1.0587+0.8836*LN(O69)+0.284)</f>
        <v>92.273998825389043</v>
      </c>
      <c r="Q69" s="20">
        <f t="shared" si="54"/>
        <v>861.65126462088608</v>
      </c>
      <c r="R69" s="59">
        <f t="shared" si="55"/>
        <v>1154.9845979542195</v>
      </c>
      <c r="S69" s="59">
        <f ca="1">AVERAGE(OFFSET($R$3,0,0,'Données projet'!$E$9+1,1))-AVERAGE(OFFSET($H$3,0,0,'Données projet'!$E$9+1,1))</f>
        <v>443.63756287217456</v>
      </c>
      <c r="T69" s="59">
        <f t="shared" ref="T69:T132" si="88">$T$3</f>
        <v>384.990641425788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98.134545185328591</v>
      </c>
      <c r="AA69" s="21">
        <f>EXP(-LN(2)/25)*AA68+(1-EXP(-LN(2)/25))/(LN(2)/25)*Calculateur!V69*Calculateur!X69*VLOOKUP('Données projet'!$B$9,Paramètres!$A$1:$I$89,3,0)*0.475*44/12</f>
        <v>24.112179196244035</v>
      </c>
      <c r="AB69" s="21">
        <f>EXP(-LN(2)/2)*AB68+(1-EXP(-LN(2)/2))/(LN(2)/2)*V69*Y69*VLOOKUP('Données projet'!$B$9,Paramètres!$A$1:$I$89,3,0)*0.475*44/12</f>
        <v>2.9963402518925123E-7</v>
      </c>
      <c r="AC69" s="22">
        <f t="shared" si="57"/>
        <v>122.24672468120664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137.97244371990928</v>
      </c>
      <c r="AO69" s="59">
        <f t="shared" ref="AO69:AO132" si="90">$AO$3</f>
        <v>340.50331317844757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60.54395482744858</v>
      </c>
      <c r="AV69" s="21">
        <f>EXP(-LN(2)/25)*AV68+(1-EXP(-LN(2)/25))/(LN(2)/25)*Calculateur!AQ69*Calculateur!AS69*VLOOKUP('Données projet'!$B$10,Paramètres!$A$1:$I$89,3,0)*0.475*44/12</f>
        <v>5.2990062419449551</v>
      </c>
      <c r="AW69" s="21">
        <f>EXP(-LN(2)/2)*AW68+(1-EXP(-LN(2)/2))/(LN(2)/2)*AQ69*AT69*VLOOKUP('Données projet'!$B$10,Paramètres!$A$1:$I$89,3,0)*0.475*44/12</f>
        <v>1.7151644135496099E-7</v>
      </c>
      <c r="AX69" s="21">
        <f t="shared" si="60"/>
        <v>65.842961240909986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137.97244371990928</v>
      </c>
      <c r="BJ69" s="59">
        <f t="shared" ref="BJ69:BJ132" si="92">$BJ$3</f>
        <v>340.50331317844757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60.54395482744858</v>
      </c>
      <c r="BQ69" s="21">
        <f>EXP(-LN(2)/25)*BQ68+(1-EXP(-LN(2)/25))/(LN(2)/25)*Calculateur!BL69*Calculateur!BN69*VLOOKUP('Données projet'!$B$11,Paramètres!$A$1:$I$89,3,0)*0.475*44/12</f>
        <v>5.2990062419449551</v>
      </c>
      <c r="BR69" s="21">
        <f>EXP(-LN(2)/2)*BR68+(1-EXP(-LN(2)/2))/(LN(2)/2)*BL69*BO69*VLOOKUP('Données projet'!$B$11,Paramètres!$A$1:$I$89,3,0)*0.475*44/12</f>
        <v>1.7151644135496099E-7</v>
      </c>
      <c r="BS69" s="22">
        <f t="shared" si="63"/>
        <v>65.842961240909986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194.35103999999993</v>
      </c>
      <c r="CA69" s="13">
        <f t="shared" ref="CA69:CA132" si="93">EXP(-1.0587+0.8836*LN(BZ69)+0.284)</f>
        <v>48.500634729810159</v>
      </c>
      <c r="CB69" s="20">
        <f t="shared" si="64"/>
        <v>422.96666682108594</v>
      </c>
      <c r="CC69" s="59">
        <f t="shared" si="65"/>
        <v>716.30000015441919</v>
      </c>
      <c r="CD69" s="59">
        <f ca="1">AVERAGE(OFFSET($CC$3,0,0,'Données projet'!$E$12+1,1))-AVERAGE(OFFSET($H$3,0,0,'Données projet'!$E$12+1,1))</f>
        <v>216.16148211123436</v>
      </c>
      <c r="CE69" s="59">
        <f t="shared" ref="CE69:CE132" si="94">$CE$3</f>
        <v>132.59131750490178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46.962791698498926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46.962791698498926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60.621600000000079</v>
      </c>
      <c r="D70" s="11">
        <f t="shared" si="86"/>
        <v>17.325334598604044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601.6956354979967</v>
      </c>
      <c r="H70" s="66">
        <f t="shared" si="56"/>
        <v>429.09091109256883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</v>
      </c>
      <c r="N70" s="13">
        <f>IF('Données projet'!$A$36&gt;35,N69+M70-V69,IF(A70&lt;'Données projet'!$A$36,$K$205^A70,IF(A70='Données projet'!$A$36,'Données projet'!$B$36,N69+M70-V69)))</f>
        <v>688.00000000000023</v>
      </c>
      <c r="O70" s="13">
        <f>N70*VLOOKUP('Données projet'!$B$9,Paramètres!$A$1:$I$89,3,0)*VLOOKUP('Données projet'!$B$9,Paramètres!$A$1:$I$89,5,0)</f>
        <v>411.42400000000021</v>
      </c>
      <c r="P70" s="13">
        <f t="shared" si="87"/>
        <v>94.088896505909247</v>
      </c>
      <c r="Q70" s="20">
        <f t="shared" si="54"/>
        <v>880.43496141445894</v>
      </c>
      <c r="R70" s="59">
        <f t="shared" si="55"/>
        <v>1173.7682947477922</v>
      </c>
      <c r="S70" s="59">
        <f ca="1">AVERAGE(OFFSET($R$3,0,0,'Données projet'!$E$9+1,1))-AVERAGE(OFFSET($H$3,0,0,'Données projet'!$E$9+1,1))</f>
        <v>443.63756287217456</v>
      </c>
      <c r="T70" s="59">
        <f t="shared" si="88"/>
        <v>384.990641425788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96.210186610406552</v>
      </c>
      <c r="AA70" s="21">
        <f>EXP(-LN(2)/25)*AA69+(1-EXP(-LN(2)/25))/(LN(2)/25)*Calculateur!V70*Calculateur!X70*VLOOKUP('Données projet'!$B$9,Paramètres!$A$1:$I$89,3,0)*0.475*44/12</f>
        <v>23.452830388118347</v>
      </c>
      <c r="AB70" s="21">
        <f>EXP(-LN(2)/2)*AB69+(1-EXP(-LN(2)/2))/(LN(2)/2)*V70*Y70*VLOOKUP('Données projet'!$B$9,Paramètres!$A$1:$I$89,3,0)*0.475*44/12</f>
        <v>2.1187325108554034E-7</v>
      </c>
      <c r="AC70" s="22">
        <f t="shared" si="57"/>
        <v>119.66301721039815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137.97244371990928</v>
      </c>
      <c r="AO70" s="59">
        <f t="shared" si="90"/>
        <v>340.50331317844757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59.356724801448408</v>
      </c>
      <c r="AV70" s="21">
        <f>EXP(-LN(2)/25)*AV69+(1-EXP(-LN(2)/25))/(LN(2)/25)*Calculateur!AQ70*Calculateur!AS70*VLOOKUP('Données projet'!$B$10,Paramètres!$A$1:$I$89,3,0)*0.475*44/12</f>
        <v>5.1541046375963431</v>
      </c>
      <c r="AW70" s="21">
        <f>EXP(-LN(2)/2)*AW69+(1-EXP(-LN(2)/2))/(LN(2)/2)*AQ70*AT70*VLOOKUP('Données projet'!$B$10,Paramètres!$A$1:$I$89,3,0)*0.475*44/12</f>
        <v>1.2128043876707771E-7</v>
      </c>
      <c r="AX70" s="21">
        <f t="shared" si="60"/>
        <v>64.510829560325192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137.97244371990928</v>
      </c>
      <c r="BJ70" s="59">
        <f t="shared" si="92"/>
        <v>340.50331317844757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59.356724801448408</v>
      </c>
      <c r="BQ70" s="21">
        <f>EXP(-LN(2)/25)*BQ69+(1-EXP(-LN(2)/25))/(LN(2)/25)*Calculateur!BL70*Calculateur!BN70*VLOOKUP('Données projet'!$B$11,Paramètres!$A$1:$I$89,3,0)*0.475*44/12</f>
        <v>5.1541046375963431</v>
      </c>
      <c r="BR70" s="21">
        <f>EXP(-LN(2)/2)*BR69+(1-EXP(-LN(2)/2))/(LN(2)/2)*BL70*BO70*VLOOKUP('Données projet'!$B$11,Paramètres!$A$1:$I$89,3,0)*0.475*44/12</f>
        <v>1.2128043876707771E-7</v>
      </c>
      <c r="BS70" s="22">
        <f t="shared" si="63"/>
        <v>64.510829560325192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200.50367999999995</v>
      </c>
      <c r="CA70" s="13">
        <f t="shared" si="93"/>
        <v>49.854845135229887</v>
      </c>
      <c r="CB70" s="20">
        <f t="shared" si="64"/>
        <v>436.04109794385857</v>
      </c>
      <c r="CC70" s="59">
        <f t="shared" si="65"/>
        <v>729.37443127719189</v>
      </c>
      <c r="CD70" s="59">
        <f ca="1">AVERAGE(OFFSET($CC$3,0,0,'Données projet'!$E$12+1,1))-AVERAGE(OFFSET($H$3,0,0,'Données projet'!$E$12+1,1))</f>
        <v>216.16148211123436</v>
      </c>
      <c r="CE70" s="59">
        <f t="shared" si="94"/>
        <v>132.59131750490178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46.041879997765889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46.041879997765889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61.526400000000081</v>
      </c>
      <c r="D71" s="11">
        <f t="shared" si="86"/>
        <v>17.553624762159028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610.44229640964932</v>
      </c>
      <c r="H71" s="66">
        <f t="shared" si="56"/>
        <v>431.0643764607604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</v>
      </c>
      <c r="N71" s="13">
        <f>IF('Données projet'!$A$36&gt;35,N70+M71-V70,IF(A71&lt;'Données projet'!$A$36,$K$205^A71,IF(A71='Données projet'!$A$36,'Données projet'!$B$36,N70+M71-V70)))</f>
        <v>703.00000000000023</v>
      </c>
      <c r="O71" s="13">
        <f>N71*VLOOKUP('Données projet'!$B$9,Paramètres!$A$1:$I$89,3,0)*VLOOKUP('Données projet'!$B$9,Paramètres!$A$1:$I$89,5,0)</f>
        <v>420.39400000000018</v>
      </c>
      <c r="P71" s="13">
        <f t="shared" si="87"/>
        <v>95.899193810129589</v>
      </c>
      <c r="Q71" s="20">
        <f t="shared" si="54"/>
        <v>899.21064588597585</v>
      </c>
      <c r="R71" s="59">
        <f t="shared" si="55"/>
        <v>1192.5439792193092</v>
      </c>
      <c r="S71" s="59">
        <f ca="1">AVERAGE(OFFSET($R$3,0,0,'Données projet'!$E$9+1,1))-AVERAGE(OFFSET($H$3,0,0,'Données projet'!$E$9+1,1))</f>
        <v>443.63756287217456</v>
      </c>
      <c r="T71" s="59">
        <f t="shared" si="88"/>
        <v>384.990641425788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94.323563533395898</v>
      </c>
      <c r="AA71" s="21">
        <f>EXP(-LN(2)/25)*AA70+(1-EXP(-LN(2)/25))/(LN(2)/25)*Calculateur!V71*Calculateur!X71*VLOOKUP('Données projet'!$B$9,Paramètres!$A$1:$I$89,3,0)*0.475*44/12</f>
        <v>22.811511507824502</v>
      </c>
      <c r="AB71" s="21">
        <f>EXP(-LN(2)/2)*AB70+(1-EXP(-LN(2)/2))/(LN(2)/2)*V71*Y71*VLOOKUP('Données projet'!$B$9,Paramètres!$A$1:$I$89,3,0)*0.475*44/12</f>
        <v>1.4981701259462561E-7</v>
      </c>
      <c r="AC71" s="22">
        <f t="shared" si="57"/>
        <v>117.13507519103742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137.97244371990928</v>
      </c>
      <c r="AO71" s="59">
        <f t="shared" si="90"/>
        <v>340.50331317844757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58.192775632119286</v>
      </c>
      <c r="AV71" s="21">
        <f>EXP(-LN(2)/25)*AV70+(1-EXP(-LN(2)/25))/(LN(2)/25)*Calculateur!AQ71*Calculateur!AS71*VLOOKUP('Données projet'!$B$10,Paramètres!$A$1:$I$89,3,0)*0.475*44/12</f>
        <v>5.013165375238688</v>
      </c>
      <c r="AW71" s="21">
        <f>EXP(-LN(2)/2)*AW70+(1-EXP(-LN(2)/2))/(LN(2)/2)*AQ71*AT71*VLOOKUP('Données projet'!$B$10,Paramètres!$A$1:$I$89,3,0)*0.475*44/12</f>
        <v>8.5758220677480493E-8</v>
      </c>
      <c r="AX71" s="21">
        <f t="shared" si="60"/>
        <v>63.205941093116195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137.97244371990928</v>
      </c>
      <c r="BJ71" s="59">
        <f t="shared" si="92"/>
        <v>340.50331317844757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58.192775632119286</v>
      </c>
      <c r="BQ71" s="21">
        <f>EXP(-LN(2)/25)*BQ70+(1-EXP(-LN(2)/25))/(LN(2)/25)*Calculateur!BL71*Calculateur!BN71*VLOOKUP('Données projet'!$B$11,Paramètres!$A$1:$I$89,3,0)*0.475*44/12</f>
        <v>5.013165375238688</v>
      </c>
      <c r="BR71" s="21">
        <f>EXP(-LN(2)/2)*BR70+(1-EXP(-LN(2)/2))/(LN(2)/2)*BL71*BO71*VLOOKUP('Données projet'!$B$11,Paramètres!$A$1:$I$89,3,0)*0.475*44/12</f>
        <v>8.5758220677480493E-8</v>
      </c>
      <c r="BS71" s="22">
        <f t="shared" si="63"/>
        <v>63.205941093116195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206.65631999999994</v>
      </c>
      <c r="CA71" s="13">
        <f t="shared" si="93"/>
        <v>51.20422634371338</v>
      </c>
      <c r="CB71" s="20">
        <f t="shared" si="64"/>
        <v>449.10711821530072</v>
      </c>
      <c r="CC71" s="59">
        <f t="shared" si="65"/>
        <v>742.44045154863397</v>
      </c>
      <c r="CD71" s="59">
        <f ca="1">AVERAGE(OFFSET($CC$3,0,0,'Données projet'!$E$12+1,1))-AVERAGE(OFFSET($H$3,0,0,'Données projet'!$E$12+1,1))</f>
        <v>216.16148211123436</v>
      </c>
      <c r="CE71" s="59">
        <f t="shared" si="94"/>
        <v>132.59131750490178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45.139026813783552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45.139026813783552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62.431200000000082</v>
      </c>
      <c r="D72" s="11">
        <f t="shared" si="86"/>
        <v>17.781524466058691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619.18594324676951</v>
      </c>
      <c r="H72" s="66">
        <f t="shared" si="56"/>
        <v>433.03716177838567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</v>
      </c>
      <c r="N72" s="13">
        <f>IF('Données projet'!$A$36&gt;35,N71+M72-V71,IF(A72&lt;'Données projet'!$A$36,$K$205^A72,IF(A72='Données projet'!$A$36,'Données projet'!$B$36,N71+M72-V71)))</f>
        <v>718.00000000000023</v>
      </c>
      <c r="O72" s="13">
        <f>N72*VLOOKUP('Données projet'!$B$9,Paramètres!$A$1:$I$89,3,0)*VLOOKUP('Données projet'!$B$9,Paramètres!$A$1:$I$89,5,0)</f>
        <v>429.3640000000002</v>
      </c>
      <c r="P72" s="13">
        <f t="shared" si="87"/>
        <v>97.705000203350153</v>
      </c>
      <c r="Q72" s="20">
        <f t="shared" si="54"/>
        <v>917.97850868750186</v>
      </c>
      <c r="R72" s="59">
        <f t="shared" si="55"/>
        <v>1211.3118420208352</v>
      </c>
      <c r="S72" s="59">
        <f ca="1">AVERAGE(OFFSET($R$3,0,0,'Données projet'!$E$9+1,1))-AVERAGE(OFFSET($H$3,0,0,'Données projet'!$E$9+1,1))</f>
        <v>443.63756287217456</v>
      </c>
      <c r="T72" s="59">
        <f t="shared" si="88"/>
        <v>384.990641425788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92.473935984198974</v>
      </c>
      <c r="AA72" s="21">
        <f>EXP(-LN(2)/25)*AA71+(1-EXP(-LN(2)/25))/(LN(2)/25)*Calculateur!V72*Calculateur!X72*VLOOKUP('Données projet'!$B$9,Paramètres!$A$1:$I$89,3,0)*0.475*44/12</f>
        <v>22.187729526037788</v>
      </c>
      <c r="AB72" s="21">
        <f>EXP(-LN(2)/2)*AB71+(1-EXP(-LN(2)/2))/(LN(2)/2)*V72*Y72*VLOOKUP('Données projet'!$B$9,Paramètres!$A$1:$I$89,3,0)*0.475*44/12</f>
        <v>1.0593662554277017E-7</v>
      </c>
      <c r="AC72" s="22">
        <f t="shared" si="57"/>
        <v>114.66166561617338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137.97244371990928</v>
      </c>
      <c r="AO72" s="59">
        <f t="shared" si="90"/>
        <v>340.50331317844757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57.051650796061814</v>
      </c>
      <c r="AV72" s="21">
        <f>EXP(-LN(2)/25)*AV71+(1-EXP(-LN(2)/25))/(LN(2)/25)*Calculateur!AQ72*Calculateur!AS72*VLOOKUP('Données projet'!$B$10,Paramètres!$A$1:$I$89,3,0)*0.475*44/12</f>
        <v>4.8760801044218764</v>
      </c>
      <c r="AW72" s="21">
        <f>EXP(-LN(2)/2)*AW71+(1-EXP(-LN(2)/2))/(LN(2)/2)*AQ72*AT72*VLOOKUP('Données projet'!$B$10,Paramètres!$A$1:$I$89,3,0)*0.475*44/12</f>
        <v>6.0640219383538854E-8</v>
      </c>
      <c r="AX72" s="21">
        <f t="shared" si="60"/>
        <v>61.927730961123906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137.97244371990928</v>
      </c>
      <c r="BJ72" s="59">
        <f t="shared" si="92"/>
        <v>340.50331317844757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57.051650796061814</v>
      </c>
      <c r="BQ72" s="21">
        <f>EXP(-LN(2)/25)*BQ71+(1-EXP(-LN(2)/25))/(LN(2)/25)*Calculateur!BL72*Calculateur!BN72*VLOOKUP('Données projet'!$B$11,Paramètres!$A$1:$I$89,3,0)*0.475*44/12</f>
        <v>4.8760801044218764</v>
      </c>
      <c r="BR72" s="21">
        <f>EXP(-LN(2)/2)*BR71+(1-EXP(-LN(2)/2))/(LN(2)/2)*BL72*BO72*VLOOKUP('Données projet'!$B$11,Paramètres!$A$1:$I$89,3,0)*0.475*44/12</f>
        <v>6.0640219383538854E-8</v>
      </c>
      <c r="BS72" s="22">
        <f t="shared" si="63"/>
        <v>61.927730961123906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212.80895999999996</v>
      </c>
      <c r="CA72" s="13">
        <f t="shared" si="93"/>
        <v>52.548938637485847</v>
      </c>
      <c r="CB72" s="20">
        <f t="shared" si="64"/>
        <v>462.16500679362099</v>
      </c>
      <c r="CC72" s="59">
        <f t="shared" si="65"/>
        <v>755.4983401269543</v>
      </c>
      <c r="CD72" s="59">
        <f ca="1">AVERAGE(OFFSET($CC$3,0,0,'Données projet'!$E$12+1,1))-AVERAGE(OFFSET($H$3,0,0,'Données projet'!$E$12+1,1))</f>
        <v>216.16148211123436</v>
      </c>
      <c r="CE72" s="59">
        <f t="shared" si="94"/>
        <v>132.59131750490178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44.253878030053045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44.253878030053045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63.336000000000084</v>
      </c>
      <c r="D73" s="11">
        <f t="shared" si="86"/>
        <v>18.009040022946241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627.92662473853306</v>
      </c>
      <c r="H73" s="66">
        <f t="shared" si="56"/>
        <v>435.00927803996478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733</v>
      </c>
      <c r="L73" s="12">
        <f>VLOOKUP(A73,'Données projet'!$A$35:$I$55,9,0)</f>
        <v>15</v>
      </c>
      <c r="M73" s="12">
        <f t="array" ref="M73">INDEX(L:L,MIN(IF(ISNUMBER(L73:L269),ROW(L73:L269),"")))</f>
        <v>15</v>
      </c>
      <c r="N73" s="13">
        <f>IF('Données projet'!$A$36&gt;35,N72+M73-V72,IF(A73&lt;'Données projet'!$A$36,$K$205^A73,IF(A73='Données projet'!$A$36,'Données projet'!$B$36,N72+M73-V72)))</f>
        <v>733.00000000000023</v>
      </c>
      <c r="O73" s="13">
        <f>N73*VLOOKUP('Données projet'!$B$9,Paramètres!$A$1:$I$89,3,0)*VLOOKUP('Données projet'!$B$9,Paramètres!$A$1:$I$89,5,0)</f>
        <v>438.33400000000017</v>
      </c>
      <c r="P73" s="13">
        <f t="shared" si="87"/>
        <v>99.506420315742801</v>
      </c>
      <c r="Q73" s="20">
        <f t="shared" si="54"/>
        <v>936.73873204991912</v>
      </c>
      <c r="R73" s="59">
        <f t="shared" si="55"/>
        <v>1230.0720653832525</v>
      </c>
      <c r="S73" s="59">
        <f ca="1">AVERAGE(OFFSET($R$3,0,0,'Données projet'!$E$9+1,1))-AVERAGE(OFFSET($H$3,0,0,'Données projet'!$E$9+1,1))</f>
        <v>443.63756287217456</v>
      </c>
      <c r="T73" s="59">
        <f t="shared" si="88"/>
        <v>384.990641425788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34</v>
      </c>
      <c r="W73" s="16">
        <f>IF(ISNA(VLOOKUP(A73,'Données projet'!$A$35:$I$55,5,0)),0%,VLOOKUP(A73,'Données projet'!$A$35:$I$55,5,0)*VLOOKUP('Données projet'!$B$9,Paramètres!$A$1:$I$89,7,0))</f>
        <v>0.45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102.79784733167892</v>
      </c>
      <c r="AA73" s="21">
        <f>EXP(-LN(2)/25)*AA72+(1-EXP(-LN(2)/25))/(LN(2)/25)*Calculateur!V73*Calculateur!X73*VLOOKUP('Données projet'!$B$9,Paramètres!$A$1:$I$89,3,0)*0.475*44/12</f>
        <v>21.5810048953463</v>
      </c>
      <c r="AB73" s="21">
        <f>EXP(-LN(2)/2)*AB72+(1-EXP(-LN(2)/2))/(LN(2)/2)*V73*Y73*VLOOKUP('Données projet'!$B$9,Paramètres!$A$1:$I$89,3,0)*0.475*44/12</f>
        <v>7.4908506297312807E-8</v>
      </c>
      <c r="AC73" s="22">
        <f t="shared" si="57"/>
        <v>124.37885230193373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137.97244371990928</v>
      </c>
      <c r="AO73" s="59">
        <f t="shared" si="90"/>
        <v>340.50331317844757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55.932902722022007</v>
      </c>
      <c r="AV73" s="21">
        <f>EXP(-LN(2)/25)*AV72+(1-EXP(-LN(2)/25))/(LN(2)/25)*Calculateur!AQ73*Calculateur!AS73*VLOOKUP('Données projet'!$B$10,Paramètres!$A$1:$I$89,3,0)*0.475*44/12</f>
        <v>4.7427434375445516</v>
      </c>
      <c r="AW73" s="21">
        <f>EXP(-LN(2)/2)*AW72+(1-EXP(-LN(2)/2))/(LN(2)/2)*AQ73*AT73*VLOOKUP('Données projet'!$B$10,Paramètres!$A$1:$I$89,3,0)*0.475*44/12</f>
        <v>4.2879110338740246E-8</v>
      </c>
      <c r="AX73" s="21">
        <f t="shared" si="60"/>
        <v>60.67564620244567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137.97244371990928</v>
      </c>
      <c r="BJ73" s="59">
        <f t="shared" si="92"/>
        <v>340.50331317844757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55.932902722022007</v>
      </c>
      <c r="BQ73" s="21">
        <f>EXP(-LN(2)/25)*BQ72+(1-EXP(-LN(2)/25))/(LN(2)/25)*Calculateur!BL73*Calculateur!BN73*VLOOKUP('Données projet'!$B$11,Paramètres!$A$1:$I$89,3,0)*0.475*44/12</f>
        <v>4.7427434375445516</v>
      </c>
      <c r="BR73" s="21">
        <f>EXP(-LN(2)/2)*BR72+(1-EXP(-LN(2)/2))/(LN(2)/2)*BL73*BO73*VLOOKUP('Données projet'!$B$11,Paramètres!$A$1:$I$89,3,0)*0.475*44/12</f>
        <v>4.2879110338740246E-8</v>
      </c>
      <c r="BS73" s="22">
        <f t="shared" si="63"/>
        <v>60.67564620244567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218.96159999999998</v>
      </c>
      <c r="CA73" s="13">
        <f t="shared" si="93"/>
        <v>53.88913250370743</v>
      </c>
      <c r="CB73" s="20">
        <f t="shared" si="64"/>
        <v>475.21502577729035</v>
      </c>
      <c r="CC73" s="59">
        <f t="shared" si="65"/>
        <v>768.54835911062366</v>
      </c>
      <c r="CD73" s="59">
        <f ca="1">AVERAGE(OFFSET($CC$3,0,0,'Données projet'!$E$12+1,1))-AVERAGE(OFFSET($H$3,0,0,'Données projet'!$E$12+1,1))</f>
        <v>216.16148211123436</v>
      </c>
      <c r="CE73" s="59">
        <f t="shared" si="94"/>
        <v>132.59131750490178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52.418159756678804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52.418159756678804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64.240800000000078</v>
      </c>
      <c r="D74" s="11">
        <f t="shared" si="86"/>
        <v>18.236177554745872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636.66438814189871</v>
      </c>
      <c r="H74" s="66">
        <f t="shared" si="56"/>
        <v>436.98073590784918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13.6</v>
      </c>
      <c r="N74" s="13">
        <f>IF('Données projet'!$A$36&gt;35,N73+M74-V73,IF(A74&lt;'Données projet'!$A$36,$K$205^A74,IF(A74='Données projet'!$A$36,'Données projet'!$B$36,N73+M74-V73)))</f>
        <v>712.60000000000025</v>
      </c>
      <c r="O74" s="13">
        <f>N74*VLOOKUP('Données projet'!$B$9,Paramètres!$A$1:$I$89,3,0)*VLOOKUP('Données projet'!$B$9,Paramètres!$A$1:$I$89,5,0)</f>
        <v>426.13480000000015</v>
      </c>
      <c r="P74" s="13">
        <f t="shared" si="87"/>
        <v>97.055420565620963</v>
      </c>
      <c r="Q74" s="20">
        <f t="shared" si="54"/>
        <v>911.22296748512326</v>
      </c>
      <c r="R74" s="59">
        <f t="shared" si="55"/>
        <v>1204.5563008184565</v>
      </c>
      <c r="S74" s="59">
        <f ca="1">AVERAGE(OFFSET($R$3,0,0,'Données projet'!$E$9+1,1))-AVERAGE(OFFSET($H$3,0,0,'Données projet'!$E$9+1,1))</f>
        <v>443.63756287217456</v>
      </c>
      <c r="T74" s="59">
        <f t="shared" si="88"/>
        <v>384.990641425788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100.78204424600041</v>
      </c>
      <c r="AA74" s="21">
        <f>EXP(-LN(2)/25)*AA73+(1-EXP(-LN(2)/25))/(LN(2)/25)*Calculateur!V74*Calculateur!X74*VLOOKUP('Données projet'!$B$9,Paramètres!$A$1:$I$89,3,0)*0.475*44/12</f>
        <v>20.990871181587334</v>
      </c>
      <c r="AB74" s="21">
        <f>EXP(-LN(2)/2)*AB73+(1-EXP(-LN(2)/2))/(LN(2)/2)*V74*Y74*VLOOKUP('Données projet'!$B$9,Paramètres!$A$1:$I$89,3,0)*0.475*44/12</f>
        <v>5.2968312771385085E-8</v>
      </c>
      <c r="AC74" s="22">
        <f t="shared" si="57"/>
        <v>121.77291548055607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137.97244371990928</v>
      </c>
      <c r="AO74" s="59">
        <f t="shared" si="90"/>
        <v>340.50331317844757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54.836092615345173</v>
      </c>
      <c r="AV74" s="21">
        <f>EXP(-LN(2)/25)*AV73+(1-EXP(-LN(2)/25))/(LN(2)/25)*Calculateur!AQ74*Calculateur!AS74*VLOOKUP('Données projet'!$B$10,Paramètres!$A$1:$I$89,3,0)*0.475*44/12</f>
        <v>4.613052868834858</v>
      </c>
      <c r="AW74" s="21">
        <f>EXP(-LN(2)/2)*AW73+(1-EXP(-LN(2)/2))/(LN(2)/2)*AQ74*AT74*VLOOKUP('Données projet'!$B$10,Paramètres!$A$1:$I$89,3,0)*0.475*44/12</f>
        <v>3.0320109691769427E-8</v>
      </c>
      <c r="AX74" s="21">
        <f t="shared" si="60"/>
        <v>59.449145514500138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137.97244371990928</v>
      </c>
      <c r="BJ74" s="59">
        <f t="shared" si="92"/>
        <v>340.50331317844757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54.836092615345173</v>
      </c>
      <c r="BQ74" s="21">
        <f>EXP(-LN(2)/25)*BQ73+(1-EXP(-LN(2)/25))/(LN(2)/25)*Calculateur!BL74*Calculateur!BN74*VLOOKUP('Données projet'!$B$11,Paramètres!$A$1:$I$89,3,0)*0.475*44/12</f>
        <v>4.613052868834858</v>
      </c>
      <c r="BR74" s="21">
        <f>EXP(-LN(2)/2)*BR73+(1-EXP(-LN(2)/2))/(LN(2)/2)*BL74*BO74*VLOOKUP('Données projet'!$B$11,Paramètres!$A$1:$I$89,3,0)*0.475*44/12</f>
        <v>3.0320109691769427E-8</v>
      </c>
      <c r="BS74" s="22">
        <f t="shared" si="63"/>
        <v>59.449145514500138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205.57055999999997</v>
      </c>
      <c r="CA74" s="13">
        <f t="shared" si="93"/>
        <v>50.966443946767392</v>
      </c>
      <c r="CB74" s="20">
        <f t="shared" si="64"/>
        <v>446.80194854061978</v>
      </c>
      <c r="CC74" s="59">
        <f t="shared" si="65"/>
        <v>740.13528187395309</v>
      </c>
      <c r="CD74" s="59">
        <f ca="1">AVERAGE(OFFSET($CC$3,0,0,'Données projet'!$E$12+1,1))-AVERAGE(OFFSET($H$3,0,0,'Données projet'!$E$12+1,1))</f>
        <v>216.16148211123436</v>
      </c>
      <c r="CE74" s="59">
        <f t="shared" si="94"/>
        <v>132.59131750490178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51.390271615770821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51.390271615770821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65.145600000000073</v>
      </c>
      <c r="D75" s="11">
        <f t="shared" si="86"/>
        <v>18.462943001028222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645.3992793061833</v>
      </c>
      <c r="H75" s="66">
        <f t="shared" si="56"/>
        <v>438.95154572679093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13.6</v>
      </c>
      <c r="N75" s="13">
        <f>IF('Données projet'!$A$36&gt;35,N74+M75-V74,IF(A75&lt;'Données projet'!$A$36,$K$205^A75,IF(A75='Données projet'!$A$36,'Données projet'!$B$36,N74+M75-V74)))</f>
        <v>726.20000000000027</v>
      </c>
      <c r="O75" s="13">
        <f>N75*VLOOKUP('Données projet'!$B$9,Paramètres!$A$1:$I$89,3,0)*VLOOKUP('Données projet'!$B$9,Paramètres!$A$1:$I$89,5,0)</f>
        <v>434.26760000000019</v>
      </c>
      <c r="P75" s="13">
        <f t="shared" si="87"/>
        <v>98.690313543876655</v>
      </c>
      <c r="Q75" s="20">
        <f t="shared" si="54"/>
        <v>928.23503275558551</v>
      </c>
      <c r="R75" s="59">
        <f t="shared" si="55"/>
        <v>1221.5683660889188</v>
      </c>
      <c r="S75" s="59">
        <f ca="1">AVERAGE(OFFSET($R$3,0,0,'Données projet'!$E$9+1,1))-AVERAGE(OFFSET($H$3,0,0,'Données projet'!$E$9+1,1))</f>
        <v>443.63756287217456</v>
      </c>
      <c r="T75" s="59">
        <f t="shared" si="88"/>
        <v>384.990641425788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98.805769829313576</v>
      </c>
      <c r="AA75" s="21">
        <f>EXP(-LN(2)/25)*AA74+(1-EXP(-LN(2)/25))/(LN(2)/25)*Calculateur!V75*Calculateur!X75*VLOOKUP('Données projet'!$B$9,Paramètres!$A$1:$I$89,3,0)*0.475*44/12</f>
        <v>20.416874705264888</v>
      </c>
      <c r="AB75" s="21">
        <f>EXP(-LN(2)/2)*AB74+(1-EXP(-LN(2)/2))/(LN(2)/2)*V75*Y75*VLOOKUP('Données projet'!$B$9,Paramètres!$A$1:$I$89,3,0)*0.475*44/12</f>
        <v>3.7454253148656403E-8</v>
      </c>
      <c r="AC75" s="22">
        <f t="shared" si="57"/>
        <v>119.22264457203272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137.97244371990928</v>
      </c>
      <c r="AO75" s="59">
        <f t="shared" si="90"/>
        <v>340.50331317844757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53.760790285872162</v>
      </c>
      <c r="AV75" s="21">
        <f>EXP(-LN(2)/25)*AV74+(1-EXP(-LN(2)/25))/(LN(2)/25)*Calculateur!AQ75*Calculateur!AS75*VLOOKUP('Données projet'!$B$10,Paramètres!$A$1:$I$89,3,0)*0.475*44/12</f>
        <v>4.4869086955466617</v>
      </c>
      <c r="AW75" s="21">
        <f>EXP(-LN(2)/2)*AW74+(1-EXP(-LN(2)/2))/(LN(2)/2)*AQ75*AT75*VLOOKUP('Données projet'!$B$10,Paramètres!$A$1:$I$89,3,0)*0.475*44/12</f>
        <v>2.1439555169370123E-8</v>
      </c>
      <c r="AX75" s="21">
        <f t="shared" si="60"/>
        <v>58.247699002858376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137.97244371990928</v>
      </c>
      <c r="BJ75" s="59">
        <f t="shared" si="92"/>
        <v>340.50331317844757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53.760790285872162</v>
      </c>
      <c r="BQ75" s="21">
        <f>EXP(-LN(2)/25)*BQ74+(1-EXP(-LN(2)/25))/(LN(2)/25)*Calculateur!BL75*Calculateur!BN75*VLOOKUP('Données projet'!$B$11,Paramètres!$A$1:$I$89,3,0)*0.475*44/12</f>
        <v>4.4869086955466617</v>
      </c>
      <c r="BR75" s="21">
        <f>EXP(-LN(2)/2)*BR74+(1-EXP(-LN(2)/2))/(LN(2)/2)*BL75*BO75*VLOOKUP('Données projet'!$B$11,Paramètres!$A$1:$I$89,3,0)*0.475*44/12</f>
        <v>2.1439555169370123E-8</v>
      </c>
      <c r="BS75" s="22">
        <f t="shared" si="63"/>
        <v>58.247699002858376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211.18031999999994</v>
      </c>
      <c r="CA75" s="13">
        <f t="shared" si="93"/>
        <v>52.193431117443019</v>
      </c>
      <c r="CB75" s="20">
        <f t="shared" si="64"/>
        <v>458.70928319621316</v>
      </c>
      <c r="CC75" s="59">
        <f t="shared" si="65"/>
        <v>752.04261652954642</v>
      </c>
      <c r="CD75" s="59">
        <f ca="1">AVERAGE(OFFSET($CC$3,0,0,'Données projet'!$E$12+1,1))-AVERAGE(OFFSET($H$3,0,0,'Données projet'!$E$12+1,1))</f>
        <v>216.16148211123436</v>
      </c>
      <c r="CE75" s="59">
        <f t="shared" si="94"/>
        <v>132.59131750490178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50.382539734356179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50.382539734356179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66.050400000000067</v>
      </c>
      <c r="D76" s="11">
        <f t="shared" si="86"/>
        <v>18.689342126897927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654.13134273394951</v>
      </c>
      <c r="H76" s="66">
        <f t="shared" si="56"/>
        <v>440.92171753768065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13.6</v>
      </c>
      <c r="N76" s="13">
        <f>IF('Données projet'!$A$36&gt;35,N75+M76-V75,IF(A76&lt;'Données projet'!$A$36,$K$205^A76,IF(A76='Données projet'!$A$36,'Données projet'!$B$36,N75+M76-V75)))</f>
        <v>739.8000000000003</v>
      </c>
      <c r="O76" s="13">
        <f>N76*VLOOKUP('Données projet'!$B$9,Paramètres!$A$1:$I$89,3,0)*VLOOKUP('Données projet'!$B$9,Paramètres!$A$1:$I$89,5,0)</f>
        <v>442.40040000000022</v>
      </c>
      <c r="P76" s="13">
        <f t="shared" si="87"/>
        <v>100.32164628817654</v>
      </c>
      <c r="Q76" s="20">
        <f t="shared" si="54"/>
        <v>945.2408972852412</v>
      </c>
      <c r="R76" s="59">
        <f t="shared" si="55"/>
        <v>1238.5742306185746</v>
      </c>
      <c r="S76" s="59">
        <f ca="1">AVERAGE(OFFSET($R$3,0,0,'Données projet'!$E$9+1,1))-AVERAGE(OFFSET($H$3,0,0,'Données projet'!$E$9+1,1))</f>
        <v>443.63756287217456</v>
      </c>
      <c r="T76" s="59">
        <f t="shared" si="88"/>
        <v>384.990641425788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96.868248948529597</v>
      </c>
      <c r="AA76" s="21">
        <f>EXP(-LN(2)/25)*AA75+(1-EXP(-LN(2)/25))/(LN(2)/25)*Calculateur!V76*Calculateur!X76*VLOOKUP('Données projet'!$B$9,Paramètres!$A$1:$I$89,3,0)*0.475*44/12</f>
        <v>19.858574192772643</v>
      </c>
      <c r="AB76" s="21">
        <f>EXP(-LN(2)/2)*AB75+(1-EXP(-LN(2)/2))/(LN(2)/2)*V76*Y76*VLOOKUP('Données projet'!$B$9,Paramètres!$A$1:$I$89,3,0)*0.475*44/12</f>
        <v>2.6484156385692542E-8</v>
      </c>
      <c r="AC76" s="22">
        <f t="shared" si="57"/>
        <v>116.72682316778641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137.97244371990928</v>
      </c>
      <c r="AO76" s="59">
        <f t="shared" si="90"/>
        <v>340.50331317844757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52.706573979210454</v>
      </c>
      <c r="AV76" s="21">
        <f>EXP(-LN(2)/25)*AV75+(1-EXP(-LN(2)/25))/(LN(2)/25)*Calculateur!AQ76*Calculateur!AS76*VLOOKUP('Données projet'!$B$10,Paramètres!$A$1:$I$89,3,0)*0.475*44/12</f>
        <v>4.3642139413106653</v>
      </c>
      <c r="AW76" s="21">
        <f>EXP(-LN(2)/2)*AW75+(1-EXP(-LN(2)/2))/(LN(2)/2)*AQ76*AT76*VLOOKUP('Données projet'!$B$10,Paramètres!$A$1:$I$89,3,0)*0.475*44/12</f>
        <v>1.5160054845884713E-8</v>
      </c>
      <c r="AX76" s="21">
        <f t="shared" si="60"/>
        <v>57.070787935681174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137.97244371990928</v>
      </c>
      <c r="BJ76" s="59">
        <f t="shared" si="92"/>
        <v>340.50331317844757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52.706573979210454</v>
      </c>
      <c r="BQ76" s="21">
        <f>EXP(-LN(2)/25)*BQ75+(1-EXP(-LN(2)/25))/(LN(2)/25)*Calculateur!BL76*Calculateur!BN76*VLOOKUP('Données projet'!$B$11,Paramètres!$A$1:$I$89,3,0)*0.475*44/12</f>
        <v>4.3642139413106653</v>
      </c>
      <c r="BR76" s="21">
        <f>EXP(-LN(2)/2)*BR75+(1-EXP(-LN(2)/2))/(LN(2)/2)*BL76*BO76*VLOOKUP('Données projet'!$B$11,Paramètres!$A$1:$I$89,3,0)*0.475*44/12</f>
        <v>1.5160054845884713E-8</v>
      </c>
      <c r="BS76" s="22">
        <f t="shared" si="63"/>
        <v>57.070787935681174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216.79007999999996</v>
      </c>
      <c r="CA76" s="13">
        <f t="shared" si="93"/>
        <v>53.416629794462551</v>
      </c>
      <c r="CB76" s="20">
        <f t="shared" si="64"/>
        <v>470.61001955868886</v>
      </c>
      <c r="CC76" s="59">
        <f t="shared" si="65"/>
        <v>763.94335289202218</v>
      </c>
      <c r="CD76" s="59">
        <f ca="1">AVERAGE(OFFSET($CC$3,0,0,'Données projet'!$E$12+1,1))-AVERAGE(OFFSET($H$3,0,0,'Données projet'!$E$12+1,1))</f>
        <v>216.16148211123436</v>
      </c>
      <c r="CE76" s="59">
        <f t="shared" si="94"/>
        <v>132.59131750490178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49.394568860480327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49.394568860480327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66.955200000000062</v>
      </c>
      <c r="D77" s="11">
        <f t="shared" si="86"/>
        <v>18.915380530436515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662.8606216384577</v>
      </c>
      <c r="H77" s="66">
        <f t="shared" si="56"/>
        <v>442.89126109051028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13.6</v>
      </c>
      <c r="N77" s="13">
        <f>IF('Données projet'!$A$36&gt;35,N76+M77-V76,IF(A77&lt;'Données projet'!$A$36,$K$205^A77,IF(A77='Données projet'!$A$36,'Données projet'!$B$36,N76+M77-V76)))</f>
        <v>753.40000000000032</v>
      </c>
      <c r="O77" s="13">
        <f>N77*VLOOKUP('Données projet'!$B$9,Paramètres!$A$1:$I$89,3,0)*VLOOKUP('Données projet'!$B$9,Paramètres!$A$1:$I$89,5,0)</f>
        <v>450.53320000000019</v>
      </c>
      <c r="P77" s="13">
        <f t="shared" si="87"/>
        <v>101.94949179597376</v>
      </c>
      <c r="Q77" s="20">
        <f t="shared" si="54"/>
        <v>962.24068821132141</v>
      </c>
      <c r="R77" s="59">
        <f t="shared" si="55"/>
        <v>1255.5740215446547</v>
      </c>
      <c r="S77" s="59">
        <f ca="1">AVERAGE(OFFSET($R$3,0,0,'Données projet'!$E$9+1,1))-AVERAGE(OFFSET($H$3,0,0,'Données projet'!$E$9+1,1))</f>
        <v>443.63756287217456</v>
      </c>
      <c r="T77" s="59">
        <f t="shared" si="88"/>
        <v>384.990641425788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94.968721670446755</v>
      </c>
      <c r="AA77" s="21">
        <f>EXP(-LN(2)/25)*AA76+(1-EXP(-LN(2)/25))/(LN(2)/25)*Calculateur!V77*Calculateur!X77*VLOOKUP('Données projet'!$B$9,Paramètres!$A$1:$I$89,3,0)*0.475*44/12</f>
        <v>19.315540437154247</v>
      </c>
      <c r="AB77" s="21">
        <f>EXP(-LN(2)/2)*AB76+(1-EXP(-LN(2)/2))/(LN(2)/2)*V77*Y77*VLOOKUP('Données projet'!$B$9,Paramètres!$A$1:$I$89,3,0)*0.475*44/12</f>
        <v>1.8727126574328202E-8</v>
      </c>
      <c r="AC77" s="22">
        <f t="shared" si="57"/>
        <v>114.28426212632812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137.97244371990928</v>
      </c>
      <c r="AO77" s="59">
        <f t="shared" si="90"/>
        <v>340.50331317844757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51.673030211313929</v>
      </c>
      <c r="AV77" s="21">
        <f>EXP(-LN(2)/25)*AV76+(1-EXP(-LN(2)/25))/(LN(2)/25)*Calculateur!AQ77*Calculateur!AS77*VLOOKUP('Données projet'!$B$10,Paramètres!$A$1:$I$89,3,0)*0.475*44/12</f>
        <v>4.2448742815814882</v>
      </c>
      <c r="AW77" s="21">
        <f>EXP(-LN(2)/2)*AW76+(1-EXP(-LN(2)/2))/(LN(2)/2)*AQ77*AT77*VLOOKUP('Données projet'!$B$10,Paramètres!$A$1:$I$89,3,0)*0.475*44/12</f>
        <v>1.0719777584685062E-8</v>
      </c>
      <c r="AX77" s="21">
        <f t="shared" si="60"/>
        <v>55.917904503615198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137.97244371990928</v>
      </c>
      <c r="BJ77" s="59">
        <f t="shared" si="92"/>
        <v>340.50331317844757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51.673030211313929</v>
      </c>
      <c r="BQ77" s="21">
        <f>EXP(-LN(2)/25)*BQ76+(1-EXP(-LN(2)/25))/(LN(2)/25)*Calculateur!BL77*Calculateur!BN77*VLOOKUP('Données projet'!$B$11,Paramètres!$A$1:$I$89,3,0)*0.475*44/12</f>
        <v>4.2448742815814882</v>
      </c>
      <c r="BR77" s="21">
        <f>EXP(-LN(2)/2)*BR76+(1-EXP(-LN(2)/2))/(LN(2)/2)*BL77*BO77*VLOOKUP('Données projet'!$B$11,Paramètres!$A$1:$I$89,3,0)*0.475*44/12</f>
        <v>1.0719777584685062E-8</v>
      </c>
      <c r="BS77" s="22">
        <f t="shared" si="63"/>
        <v>55.917904503615198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222.3998399999999</v>
      </c>
      <c r="CA77" s="13">
        <f t="shared" si="93"/>
        <v>54.636149281681448</v>
      </c>
      <c r="CB77" s="20">
        <f t="shared" si="64"/>
        <v>482.50434799892832</v>
      </c>
      <c r="CC77" s="59">
        <f t="shared" si="65"/>
        <v>775.83768133226158</v>
      </c>
      <c r="CD77" s="59">
        <f ca="1">AVERAGE(OFFSET($CC$3,0,0,'Données projet'!$E$12+1,1))-AVERAGE(OFFSET($H$3,0,0,'Données projet'!$E$12+1,1))</f>
        <v>216.16148211123436</v>
      </c>
      <c r="CE77" s="59">
        <f t="shared" si="94"/>
        <v>132.59131750490178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48.42597149283845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48.42597149283845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67.860000000000056</v>
      </c>
      <c r="D78" s="11">
        <f t="shared" si="86"/>
        <v>19.141063649731766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671.58715799792992</v>
      </c>
      <c r="H78" s="66">
        <f t="shared" si="56"/>
        <v>444.86018585661623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767</v>
      </c>
      <c r="L78" s="12">
        <f>VLOOKUP(A78,'Données projet'!$A$35:$I$55,9,0)</f>
        <v>13.6</v>
      </c>
      <c r="M78" s="12">
        <f t="array" ref="M78">INDEX(L:L,MIN(IF(ISNUMBER(L78:L274),ROW(L78:L274),"")))</f>
        <v>13.6</v>
      </c>
      <c r="N78" s="13">
        <f>IF('Données projet'!$A$36&gt;35,N77+M78-V77,IF(A78&lt;'Données projet'!$A$36,$K$205^A78,IF(A78='Données projet'!$A$36,'Données projet'!$B$36,N77+M78-V77)))</f>
        <v>767.00000000000034</v>
      </c>
      <c r="O78" s="13">
        <f>N78*VLOOKUP('Données projet'!$B$9,Paramètres!$A$1:$I$89,3,0)*VLOOKUP('Données projet'!$B$9,Paramètres!$A$1:$I$89,5,0)</f>
        <v>458.66600000000022</v>
      </c>
      <c r="P78" s="13">
        <f t="shared" si="87"/>
        <v>103.57392027838762</v>
      </c>
      <c r="Q78" s="20">
        <f t="shared" si="54"/>
        <v>979.23452781819208</v>
      </c>
      <c r="R78" s="59">
        <f t="shared" si="55"/>
        <v>1272.5678611515254</v>
      </c>
      <c r="S78" s="59">
        <f ca="1">AVERAGE(OFFSET($R$3,0,0,'Données projet'!$E$9+1,1))-AVERAGE(OFFSET($H$3,0,0,'Données projet'!$E$9+1,1))</f>
        <v>443.63756287217456</v>
      </c>
      <c r="T78" s="59">
        <f t="shared" si="88"/>
        <v>384.990641425788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33</v>
      </c>
      <c r="W78" s="16">
        <f>IF(ISNA(VLOOKUP(A78,'Données projet'!$A$35:$I$55,5,0)),0%,VLOOKUP(A78,'Données projet'!$A$35:$I$55,5,0)*VLOOKUP('Données projet'!$B$9,Paramètres!$A$1:$I$89,7,0))</f>
        <v>0.45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104.88673329732963</v>
      </c>
      <c r="AA78" s="21">
        <f>EXP(-LN(2)/25)*AA77+(1-EXP(-LN(2)/25))/(LN(2)/25)*Calculateur!V78*Calculateur!X78*VLOOKUP('Données projet'!$B$9,Paramètres!$A$1:$I$89,3,0)*0.475*44/12</f>
        <v>18.78735596814014</v>
      </c>
      <c r="AB78" s="21">
        <f>EXP(-LN(2)/2)*AB77+(1-EXP(-LN(2)/2))/(LN(2)/2)*V78*Y78*VLOOKUP('Données projet'!$B$9,Paramètres!$A$1:$I$89,3,0)*0.475*44/12</f>
        <v>1.3242078192846271E-8</v>
      </c>
      <c r="AC78" s="22">
        <f t="shared" si="57"/>
        <v>123.67408927871185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137.97244371990928</v>
      </c>
      <c r="AO78" s="59">
        <f t="shared" si="90"/>
        <v>340.50331317844757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50.659753606306403</v>
      </c>
      <c r="AV78" s="21">
        <f>EXP(-LN(2)/25)*AV77+(1-EXP(-LN(2)/25))/(LN(2)/25)*Calculateur!AQ78*Calculateur!AS78*VLOOKUP('Données projet'!$B$10,Paramètres!$A$1:$I$89,3,0)*0.475*44/12</f>
        <v>4.1287979711234053</v>
      </c>
      <c r="AW78" s="21">
        <f>EXP(-LN(2)/2)*AW77+(1-EXP(-LN(2)/2))/(LN(2)/2)*AQ78*AT78*VLOOKUP('Données projet'!$B$10,Paramètres!$A$1:$I$89,3,0)*0.475*44/12</f>
        <v>7.5800274229423567E-9</v>
      </c>
      <c r="AX78" s="21">
        <f t="shared" si="60"/>
        <v>54.788551585009834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137.97244371990928</v>
      </c>
      <c r="BJ78" s="59">
        <f t="shared" si="92"/>
        <v>340.50331317844757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50.659753606306403</v>
      </c>
      <c r="BQ78" s="21">
        <f>EXP(-LN(2)/25)*BQ77+(1-EXP(-LN(2)/25))/(LN(2)/25)*Calculateur!BL78*Calculateur!BN78*VLOOKUP('Données projet'!$B$11,Paramètres!$A$1:$I$89,3,0)*0.475*44/12</f>
        <v>4.1287979711234053</v>
      </c>
      <c r="BR78" s="21">
        <f>EXP(-LN(2)/2)*BR77+(1-EXP(-LN(2)/2))/(LN(2)/2)*BL78*BO78*VLOOKUP('Données projet'!$B$11,Paramètres!$A$1:$I$89,3,0)*0.475*44/12</f>
        <v>7.5800274229423567E-9</v>
      </c>
      <c r="BS78" s="22">
        <f t="shared" si="63"/>
        <v>54.788551585009834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228.00959999999992</v>
      </c>
      <c r="CA78" s="13">
        <f t="shared" si="93"/>
        <v>55.852093054619829</v>
      </c>
      <c r="CB78" s="20">
        <f t="shared" si="64"/>
        <v>494.3924487367961</v>
      </c>
      <c r="CC78" s="59">
        <f t="shared" si="65"/>
        <v>787.72578207012941</v>
      </c>
      <c r="CD78" s="59">
        <f ca="1">AVERAGE(OFFSET($CC$3,0,0,'Données projet'!$E$12+1,1))-AVERAGE(OFFSET($H$3,0,0,'Données projet'!$E$12+1,1))</f>
        <v>216.16148211123436</v>
      </c>
      <c r="CE78" s="59">
        <f t="shared" si="94"/>
        <v>132.59131750490178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56.508441011384726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56.508441011384726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68.764800000000051</v>
      </c>
      <c r="D79" s="11">
        <f t="shared" si="86"/>
        <v>19.366396769521387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680.3109926068322</v>
      </c>
      <c r="H79" s="66">
        <f t="shared" si="56"/>
        <v>446.82850104024982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12.2</v>
      </c>
      <c r="N79" s="13">
        <f>IF('Données projet'!$A$36&gt;35,N78+M79-V78,IF(A79&lt;'Données projet'!$A$36,$K$205^A79,IF(A79='Données projet'!$A$36,'Données projet'!$B$36,N78+M79-V78)))</f>
        <v>746.20000000000039</v>
      </c>
      <c r="O79" s="13">
        <f>N79*VLOOKUP('Données projet'!$B$9,Paramètres!$A$1:$I$89,3,0)*VLOOKUP('Données projet'!$B$9,Paramètres!$A$1:$I$89,5,0)</f>
        <v>446.22760000000022</v>
      </c>
      <c r="P79" s="13">
        <f t="shared" si="87"/>
        <v>101.08812127877644</v>
      </c>
      <c r="Q79" s="20">
        <f t="shared" si="54"/>
        <v>953.24154789386921</v>
      </c>
      <c r="R79" s="59">
        <f t="shared" si="55"/>
        <v>1246.5748812272025</v>
      </c>
      <c r="S79" s="59">
        <f ca="1">AVERAGE(OFFSET($R$3,0,0,'Données projet'!$E$9+1,1))-AVERAGE(OFFSET($H$3,0,0,'Données projet'!$E$9+1,1))</f>
        <v>443.63756287217456</v>
      </c>
      <c r="T79" s="59">
        <f t="shared" si="88"/>
        <v>384.990641425788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102.82996843195934</v>
      </c>
      <c r="AA79" s="21">
        <f>EXP(-LN(2)/25)*AA78+(1-EXP(-LN(2)/25))/(LN(2)/25)*Calculateur!V79*Calculateur!X79*VLOOKUP('Données projet'!$B$9,Paramètres!$A$1:$I$89,3,0)*0.475*44/12</f>
        <v>18.273614731207235</v>
      </c>
      <c r="AB79" s="21">
        <f>EXP(-LN(2)/2)*AB78+(1-EXP(-LN(2)/2))/(LN(2)/2)*V79*Y79*VLOOKUP('Données projet'!$B$9,Paramètres!$A$1:$I$89,3,0)*0.475*44/12</f>
        <v>9.3635632871641009E-9</v>
      </c>
      <c r="AC79" s="22">
        <f t="shared" si="57"/>
        <v>121.10358317253014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137.97244371990928</v>
      </c>
      <c r="AO79" s="59">
        <f t="shared" si="90"/>
        <v>340.50331317844757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49.66634673748537</v>
      </c>
      <c r="AV79" s="21">
        <f>EXP(-LN(2)/25)*AV78+(1-EXP(-LN(2)/25))/(LN(2)/25)*Calculateur!AQ79*Calculateur!AS79*VLOOKUP('Données projet'!$B$10,Paramètres!$A$1:$I$89,3,0)*0.475*44/12</f>
        <v>4.0158957734789871</v>
      </c>
      <c r="AW79" s="21">
        <f>EXP(-LN(2)/2)*AW78+(1-EXP(-LN(2)/2))/(LN(2)/2)*AQ79*AT79*VLOOKUP('Données projet'!$B$10,Paramètres!$A$1:$I$89,3,0)*0.475*44/12</f>
        <v>5.3598887923425308E-9</v>
      </c>
      <c r="AX79" s="21">
        <f t="shared" si="60"/>
        <v>53.682242516324244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137.97244371990928</v>
      </c>
      <c r="BJ79" s="59">
        <f t="shared" si="92"/>
        <v>340.50331317844757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49.66634673748537</v>
      </c>
      <c r="BQ79" s="21">
        <f>EXP(-LN(2)/25)*BQ78+(1-EXP(-LN(2)/25))/(LN(2)/25)*Calculateur!BL79*Calculateur!BN79*VLOOKUP('Données projet'!$B$11,Paramètres!$A$1:$I$89,3,0)*0.475*44/12</f>
        <v>4.0158957734789871</v>
      </c>
      <c r="BR79" s="21">
        <f>EXP(-LN(2)/2)*BR78+(1-EXP(-LN(2)/2))/(LN(2)/2)*BL79*BO79*VLOOKUP('Données projet'!$B$11,Paramètres!$A$1:$I$89,3,0)*0.475*44/12</f>
        <v>5.3598887923425308E-9</v>
      </c>
      <c r="BS79" s="22">
        <f t="shared" si="63"/>
        <v>53.682242516324244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214.43759999999989</v>
      </c>
      <c r="CA79" s="13">
        <f t="shared" si="93"/>
        <v>52.904129603372375</v>
      </c>
      <c r="CB79" s="20">
        <f t="shared" si="64"/>
        <v>465.62017905920658</v>
      </c>
      <c r="CC79" s="59">
        <f t="shared" si="65"/>
        <v>758.95351239253989</v>
      </c>
      <c r="CD79" s="59">
        <f ca="1">AVERAGE(OFFSET($CC$3,0,0,'Données projet'!$E$12+1,1))-AVERAGE(OFFSET($H$3,0,0,'Données projet'!$E$12+1,1))</f>
        <v>216.16148211123436</v>
      </c>
      <c r="CE79" s="59">
        <f t="shared" si="94"/>
        <v>132.59131750490178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55.400344949897182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55.400344949897182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69.669600000000045</v>
      </c>
      <c r="D80" s="11">
        <f t="shared" si="86"/>
        <v>19.591385027476974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689.03216512438405</v>
      </c>
      <c r="H80" s="66">
        <f t="shared" si="56"/>
        <v>448.79621558952243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12.2</v>
      </c>
      <c r="N80" s="13">
        <f>IF('Données projet'!$A$36&gt;35,N79+M80-V79,IF(A80&lt;'Données projet'!$A$36,$K$205^A80,IF(A80='Données projet'!$A$36,'Données projet'!$B$36,N79+M80-V79)))</f>
        <v>758.40000000000043</v>
      </c>
      <c r="O80" s="13">
        <f>N80*VLOOKUP('Données projet'!$B$9,Paramètres!$A$1:$I$89,3,0)*VLOOKUP('Données projet'!$B$9,Paramètres!$A$1:$I$89,5,0)</f>
        <v>453.52320000000026</v>
      </c>
      <c r="P80" s="13">
        <f t="shared" si="87"/>
        <v>102.54710171287262</v>
      </c>
      <c r="Q80" s="20">
        <f t="shared" si="54"/>
        <v>968.48910881658685</v>
      </c>
      <c r="R80" s="59">
        <f t="shared" si="55"/>
        <v>1261.8224421499201</v>
      </c>
      <c r="S80" s="59">
        <f ca="1">AVERAGE(OFFSET($R$3,0,0,'Données projet'!$E$9+1,1))-AVERAGE(OFFSET($H$3,0,0,'Données projet'!$E$9+1,1))</f>
        <v>443.63756287217456</v>
      </c>
      <c r="T80" s="59">
        <f t="shared" si="88"/>
        <v>384.990641425788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100.81353547109627</v>
      </c>
      <c r="AA80" s="21">
        <f>EXP(-LN(2)/25)*AA79+(1-EXP(-LN(2)/25))/(LN(2)/25)*Calculateur!V80*Calculateur!X80*VLOOKUP('Données projet'!$B$9,Paramètres!$A$1:$I$89,3,0)*0.475*44/12</f>
        <v>17.773921775414738</v>
      </c>
      <c r="AB80" s="21">
        <f>EXP(-LN(2)/2)*AB79+(1-EXP(-LN(2)/2))/(LN(2)/2)*V80*Y80*VLOOKUP('Données projet'!$B$9,Paramètres!$A$1:$I$89,3,0)*0.475*44/12</f>
        <v>6.6210390964231356E-9</v>
      </c>
      <c r="AC80" s="22">
        <f t="shared" si="57"/>
        <v>118.58745725313204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137.97244371990928</v>
      </c>
      <c r="AO80" s="59">
        <f t="shared" si="90"/>
        <v>340.50331317844757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48.692419971443556</v>
      </c>
      <c r="AV80" s="21">
        <f>EXP(-LN(2)/25)*AV79+(1-EXP(-LN(2)/25))/(LN(2)/25)*Calculateur!AQ80*Calculateur!AS80*VLOOKUP('Données projet'!$B$10,Paramètres!$A$1:$I$89,3,0)*0.475*44/12</f>
        <v>3.9060808923664241</v>
      </c>
      <c r="AW80" s="21">
        <f>EXP(-LN(2)/2)*AW79+(1-EXP(-LN(2)/2))/(LN(2)/2)*AQ80*AT80*VLOOKUP('Données projet'!$B$10,Paramètres!$A$1:$I$89,3,0)*0.475*44/12</f>
        <v>3.7900137114711784E-9</v>
      </c>
      <c r="AX80" s="21">
        <f t="shared" si="60"/>
        <v>52.598500867599995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137.97244371990928</v>
      </c>
      <c r="BJ80" s="59">
        <f t="shared" si="92"/>
        <v>340.50331317844757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48.692419971443556</v>
      </c>
      <c r="BQ80" s="21">
        <f>EXP(-LN(2)/25)*BQ79+(1-EXP(-LN(2)/25))/(LN(2)/25)*Calculateur!BL80*Calculateur!BN80*VLOOKUP('Données projet'!$B$11,Paramètres!$A$1:$I$89,3,0)*0.475*44/12</f>
        <v>3.9060808923664241</v>
      </c>
      <c r="BR80" s="21">
        <f>EXP(-LN(2)/2)*BR79+(1-EXP(-LN(2)/2))/(LN(2)/2)*BL80*BO80*VLOOKUP('Données projet'!$B$11,Paramètres!$A$1:$I$89,3,0)*0.475*44/12</f>
        <v>3.7900137114711784E-9</v>
      </c>
      <c r="BS80" s="22">
        <f t="shared" si="63"/>
        <v>52.598500867599995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219.86639999999989</v>
      </c>
      <c r="CA80" s="13">
        <f t="shared" si="93"/>
        <v>54.085847394182416</v>
      </c>
      <c r="CB80" s="20">
        <f t="shared" si="64"/>
        <v>477.13349754486745</v>
      </c>
      <c r="CC80" s="59">
        <f t="shared" si="65"/>
        <v>770.46683087820077</v>
      </c>
      <c r="CD80" s="59">
        <f ca="1">AVERAGE(OFFSET($CC$3,0,0,'Données projet'!$E$12+1,1))-AVERAGE(OFFSET($H$3,0,0,'Données projet'!$E$12+1,1))</f>
        <v>216.16148211123436</v>
      </c>
      <c r="CE80" s="59">
        <f t="shared" si="94"/>
        <v>132.59131750490178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54.313977976303548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54.313977976303548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70.57440000000004</v>
      </c>
      <c r="D81" s="11">
        <f t="shared" si="86"/>
        <v>19.816033420152444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697.75071412047521</v>
      </c>
      <c r="H81" s="66">
        <f t="shared" si="56"/>
        <v>450.76333820676552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12.2</v>
      </c>
      <c r="N81" s="13">
        <f>IF('Données projet'!$A$36&gt;35,N80+M81-V80,IF(A81&lt;'Données projet'!$A$36,$K$205^A81,IF(A81='Données projet'!$A$36,'Données projet'!$B$36,N80+M81-V80)))</f>
        <v>770.60000000000048</v>
      </c>
      <c r="O81" s="13">
        <f>N81*VLOOKUP('Données projet'!$B$9,Paramètres!$A$1:$I$89,3,0)*VLOOKUP('Données projet'!$B$9,Paramètres!$A$1:$I$89,5,0)</f>
        <v>460.81880000000029</v>
      </c>
      <c r="P81" s="13">
        <f t="shared" si="87"/>
        <v>104.00335268391156</v>
      </c>
      <c r="Q81" s="20">
        <f t="shared" si="54"/>
        <v>983.73191592447984</v>
      </c>
      <c r="R81" s="59">
        <f t="shared" si="55"/>
        <v>1277.0652492578131</v>
      </c>
      <c r="S81" s="59">
        <f ca="1">AVERAGE(OFFSET($R$3,0,0,'Données projet'!$E$9+1,1))-AVERAGE(OFFSET($H$3,0,0,'Données projet'!$E$9+1,1))</f>
        <v>443.63756287217456</v>
      </c>
      <c r="T81" s="59">
        <f t="shared" si="88"/>
        <v>384.990641425788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98.836643530693067</v>
      </c>
      <c r="AA81" s="21">
        <f>EXP(-LN(2)/25)*AA80+(1-EXP(-LN(2)/25))/(LN(2)/25)*Calculateur!V81*Calculateur!X81*VLOOKUP('Données projet'!$B$9,Paramètres!$A$1:$I$89,3,0)*0.475*44/12</f>
        <v>17.287892949776101</v>
      </c>
      <c r="AB81" s="21">
        <f>EXP(-LN(2)/2)*AB80+(1-EXP(-LN(2)/2))/(LN(2)/2)*V81*Y81*VLOOKUP('Données projet'!$B$9,Paramètres!$A$1:$I$89,3,0)*0.475*44/12</f>
        <v>4.6817816435820504E-9</v>
      </c>
      <c r="AC81" s="22">
        <f t="shared" si="57"/>
        <v>116.12453648515095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137.97244371990928</v>
      </c>
      <c r="AO81" s="59">
        <f t="shared" si="90"/>
        <v>340.50331317844757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47.737591315247151</v>
      </c>
      <c r="AV81" s="21">
        <f>EXP(-LN(2)/25)*AV80+(1-EXP(-LN(2)/25))/(LN(2)/25)*Calculateur!AQ81*Calculateur!AS81*VLOOKUP('Données projet'!$B$10,Paramètres!$A$1:$I$89,3,0)*0.475*44/12</f>
        <v>3.7992689049527977</v>
      </c>
      <c r="AW81" s="21">
        <f>EXP(-LN(2)/2)*AW80+(1-EXP(-LN(2)/2))/(LN(2)/2)*AQ81*AT81*VLOOKUP('Données projet'!$B$10,Paramètres!$A$1:$I$89,3,0)*0.475*44/12</f>
        <v>2.6799443961712654E-9</v>
      </c>
      <c r="AX81" s="21">
        <f t="shared" si="60"/>
        <v>51.536860222879895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137.97244371990928</v>
      </c>
      <c r="BJ81" s="59">
        <f t="shared" si="92"/>
        <v>340.50331317844757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47.737591315247151</v>
      </c>
      <c r="BQ81" s="21">
        <f>EXP(-LN(2)/25)*BQ80+(1-EXP(-LN(2)/25))/(LN(2)/25)*Calculateur!BL81*Calculateur!BN81*VLOOKUP('Données projet'!$B$11,Paramètres!$A$1:$I$89,3,0)*0.475*44/12</f>
        <v>3.7992689049527977</v>
      </c>
      <c r="BR81" s="21">
        <f>EXP(-LN(2)/2)*BR80+(1-EXP(-LN(2)/2))/(LN(2)/2)*BL81*BO81*VLOOKUP('Données projet'!$B$11,Paramètres!$A$1:$I$89,3,0)*0.475*44/12</f>
        <v>2.6799443961712654E-9</v>
      </c>
      <c r="BS81" s="22">
        <f t="shared" si="63"/>
        <v>51.536860222879895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225.29519999999991</v>
      </c>
      <c r="CA81" s="13">
        <f t="shared" si="93"/>
        <v>55.264173352293078</v>
      </c>
      <c r="CB81" s="20">
        <f t="shared" si="64"/>
        <v>488.64090858857691</v>
      </c>
      <c r="CC81" s="59">
        <f t="shared" si="65"/>
        <v>781.97424192191022</v>
      </c>
      <c r="CD81" s="59">
        <f ca="1">AVERAGE(OFFSET($CC$3,0,0,'Données projet'!$E$12+1,1))-AVERAGE(OFFSET($H$3,0,0,'Données projet'!$E$12+1,1))</f>
        <v>216.16148211123436</v>
      </c>
      <c r="CE81" s="59">
        <f t="shared" si="94"/>
        <v>132.59131750490178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53.248913996443655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53.248913996443655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71.479200000000034</v>
      </c>
      <c r="D82" s="11">
        <f t="shared" si="86"/>
        <v>20.040346808618629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706.46667711916155</v>
      </c>
      <c r="H82" s="66">
        <f t="shared" si="56"/>
        <v>452.72987735834414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12.2</v>
      </c>
      <c r="N82" s="13">
        <f>IF('Données projet'!$A$36&gt;35,N81+M82-V81,IF(A82&lt;'Données projet'!$A$36,$K$205^A82,IF(A82='Données projet'!$A$36,'Données projet'!$B$36,N81+M82-V81)))</f>
        <v>782.80000000000052</v>
      </c>
      <c r="O82" s="13">
        <f>N82*VLOOKUP('Données projet'!$B$9,Paramètres!$A$1:$I$89,3,0)*VLOOKUP('Données projet'!$B$9,Paramètres!$A$1:$I$89,5,0)</f>
        <v>468.11440000000033</v>
      </c>
      <c r="P82" s="13">
        <f t="shared" si="87"/>
        <v>105.45692239381121</v>
      </c>
      <c r="Q82" s="20">
        <f t="shared" si="54"/>
        <v>998.97005316922184</v>
      </c>
      <c r="R82" s="59">
        <f t="shared" si="55"/>
        <v>1292.3033865025552</v>
      </c>
      <c r="S82" s="59">
        <f ca="1">AVERAGE(OFFSET($R$3,0,0,'Données projet'!$E$9+1,1))-AVERAGE(OFFSET($H$3,0,0,'Données projet'!$E$9+1,1))</f>
        <v>443.63756287217456</v>
      </c>
      <c r="T82" s="59">
        <f t="shared" si="88"/>
        <v>384.990641425788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96.89851723545614</v>
      </c>
      <c r="AA82" s="21">
        <f>EXP(-LN(2)/25)*AA81+(1-EXP(-LN(2)/25))/(LN(2)/25)*Calculateur!V82*Calculateur!X82*VLOOKUP('Données projet'!$B$9,Paramètres!$A$1:$I$89,3,0)*0.475*44/12</f>
        <v>16.815154607933696</v>
      </c>
      <c r="AB82" s="21">
        <f>EXP(-LN(2)/2)*AB81+(1-EXP(-LN(2)/2))/(LN(2)/2)*V82*Y82*VLOOKUP('Données projet'!$B$9,Paramètres!$A$1:$I$89,3,0)*0.475*44/12</f>
        <v>3.3105195482115678E-9</v>
      </c>
      <c r="AC82" s="22">
        <f t="shared" si="57"/>
        <v>113.71367184670035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137.97244371990928</v>
      </c>
      <c r="AO82" s="59">
        <f t="shared" si="90"/>
        <v>340.50331317844757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46.801486266610787</v>
      </c>
      <c r="AV82" s="21">
        <f>EXP(-LN(2)/25)*AV81+(1-EXP(-LN(2)/25))/(LN(2)/25)*Calculateur!AQ82*Calculateur!AS82*VLOOKUP('Données projet'!$B$10,Paramètres!$A$1:$I$89,3,0)*0.475*44/12</f>
        <v>3.6953776969519949</v>
      </c>
      <c r="AW82" s="21">
        <f>EXP(-LN(2)/2)*AW81+(1-EXP(-LN(2)/2))/(LN(2)/2)*AQ82*AT82*VLOOKUP('Données projet'!$B$10,Paramètres!$A$1:$I$89,3,0)*0.475*44/12</f>
        <v>1.8950068557355892E-9</v>
      </c>
      <c r="AX82" s="21">
        <f t="shared" si="60"/>
        <v>50.496863965457791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137.97244371990928</v>
      </c>
      <c r="BJ82" s="59">
        <f t="shared" si="92"/>
        <v>340.50331317844757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46.801486266610787</v>
      </c>
      <c r="BQ82" s="21">
        <f>EXP(-LN(2)/25)*BQ81+(1-EXP(-LN(2)/25))/(LN(2)/25)*Calculateur!BL82*Calculateur!BN82*VLOOKUP('Données projet'!$B$11,Paramètres!$A$1:$I$89,3,0)*0.475*44/12</f>
        <v>3.6953776969519949</v>
      </c>
      <c r="BR82" s="21">
        <f>EXP(-LN(2)/2)*BR81+(1-EXP(-LN(2)/2))/(LN(2)/2)*BL82*BO82*VLOOKUP('Données projet'!$B$11,Paramètres!$A$1:$I$89,3,0)*0.475*44/12</f>
        <v>1.8950068557355892E-9</v>
      </c>
      <c r="BS82" s="22">
        <f t="shared" si="63"/>
        <v>50.496863965457791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230.72399999999988</v>
      </c>
      <c r="CA82" s="13">
        <f t="shared" si="93"/>
        <v>56.439198612082045</v>
      </c>
      <c r="CB82" s="20">
        <f t="shared" si="64"/>
        <v>500.14257091604264</v>
      </c>
      <c r="CC82" s="59">
        <f t="shared" si="65"/>
        <v>793.47590424937596</v>
      </c>
      <c r="CD82" s="59">
        <f ca="1">AVERAGE(OFFSET($CC$3,0,0,'Données projet'!$E$12+1,1))-AVERAGE(OFFSET($H$3,0,0,'Données projet'!$E$12+1,1))</f>
        <v>216.16148211123436</v>
      </c>
      <c r="CE82" s="59">
        <f t="shared" si="94"/>
        <v>132.59131750490178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52.204735271603937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52.204735271603937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72.384000000000029</v>
      </c>
      <c r="D83" s="11">
        <f t="shared" si="86"/>
        <v>20.264329923804397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715.18009063989382</v>
      </c>
      <c r="H83" s="66">
        <f t="shared" si="56"/>
        <v>454.69584128395934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795</v>
      </c>
      <c r="L83" s="12">
        <f>VLOOKUP(A83,'Données projet'!$A$35:$I$55,9,0)</f>
        <v>12.2</v>
      </c>
      <c r="M83" s="12">
        <f t="array" ref="M83">INDEX(L:L,MIN(IF(ISNUMBER(L83:L279),ROW(L83:L279),"")))</f>
        <v>12.2</v>
      </c>
      <c r="N83" s="13">
        <f>IF('Données projet'!$A$36&gt;35,N82+M83-V82,IF(A83&lt;'Données projet'!$A$36,$K$205^A83,IF(A83='Données projet'!$A$36,'Données projet'!$B$36,N82+M83-V82)))</f>
        <v>795.00000000000057</v>
      </c>
      <c r="O83" s="13">
        <f>N83*VLOOKUP('Données projet'!$B$9,Paramètres!$A$1:$I$89,3,0)*VLOOKUP('Données projet'!$B$9,Paramètres!$A$1:$I$89,5,0)</f>
        <v>475.41000000000037</v>
      </c>
      <c r="P83" s="13">
        <f t="shared" si="87"/>
        <v>106.90785745583379</v>
      </c>
      <c r="Q83" s="20">
        <f t="shared" si="54"/>
        <v>1014.2036017355778</v>
      </c>
      <c r="R83" s="59">
        <f t="shared" si="55"/>
        <v>1307.5369350689111</v>
      </c>
      <c r="S83" s="59">
        <f ca="1">AVERAGE(OFFSET($R$3,0,0,'Données projet'!$E$9+1,1))-AVERAGE(OFFSET($H$3,0,0,'Données projet'!$E$9+1,1))</f>
        <v>443.63756287217456</v>
      </c>
      <c r="T83" s="59">
        <f t="shared" si="88"/>
        <v>384.990641425788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32</v>
      </c>
      <c r="W83" s="16">
        <f>IF(ISNA(VLOOKUP(A83,'Données projet'!$A$35:$I$55,5,0)),0%,VLOOKUP(A83,'Données projet'!$A$35:$I$55,5,0)*VLOOKUP('Données projet'!$B$9,Paramètres!$A$1:$I$89,7,0))</f>
        <v>0.45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106.42170825340946</v>
      </c>
      <c r="AA83" s="21">
        <f>EXP(-LN(2)/25)*AA82+(1-EXP(-LN(2)/25))/(LN(2)/25)*Calculateur!V83*Calculateur!X83*VLOOKUP('Données projet'!$B$9,Paramètres!$A$1:$I$89,3,0)*0.475*44/12</f>
        <v>16.355343320909199</v>
      </c>
      <c r="AB83" s="21">
        <f>EXP(-LN(2)/2)*AB82+(1-EXP(-LN(2)/2))/(LN(2)/2)*V83*Y83*VLOOKUP('Données projet'!$B$9,Paramètres!$A$1:$I$89,3,0)*0.475*44/12</f>
        <v>2.3408908217910252E-9</v>
      </c>
      <c r="AC83" s="22">
        <f t="shared" si="57"/>
        <v>122.77705157665956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137.97244371990928</v>
      </c>
      <c r="AO83" s="59">
        <f t="shared" si="90"/>
        <v>340.50331317844757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45.883737667010479</v>
      </c>
      <c r="AV83" s="21">
        <f>EXP(-LN(2)/25)*AV82+(1-EXP(-LN(2)/25))/(LN(2)/25)*Calculateur!AQ83*Calculateur!AS83*VLOOKUP('Données projet'!$B$10,Paramètres!$A$1:$I$89,3,0)*0.475*44/12</f>
        <v>3.5943273994973755</v>
      </c>
      <c r="AW83" s="21">
        <f>EXP(-LN(2)/2)*AW82+(1-EXP(-LN(2)/2))/(LN(2)/2)*AQ83*AT83*VLOOKUP('Données projet'!$B$10,Paramètres!$A$1:$I$89,3,0)*0.475*44/12</f>
        <v>1.3399721980856327E-9</v>
      </c>
      <c r="AX83" s="21">
        <f t="shared" si="60"/>
        <v>49.478065067847822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137.97244371990928</v>
      </c>
      <c r="BJ83" s="59">
        <f t="shared" si="92"/>
        <v>340.50331317844757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45.883737667010479</v>
      </c>
      <c r="BQ83" s="21">
        <f>EXP(-LN(2)/25)*BQ82+(1-EXP(-LN(2)/25))/(LN(2)/25)*Calculateur!BL83*Calculateur!BN83*VLOOKUP('Données projet'!$B$11,Paramètres!$A$1:$I$89,3,0)*0.475*44/12</f>
        <v>3.5943273994973755</v>
      </c>
      <c r="BR83" s="21">
        <f>EXP(-LN(2)/2)*BR82+(1-EXP(-LN(2)/2))/(LN(2)/2)*BL83*BO83*VLOOKUP('Données projet'!$B$11,Paramètres!$A$1:$I$89,3,0)*0.475*44/12</f>
        <v>1.3399721980856327E-9</v>
      </c>
      <c r="BS83" s="22">
        <f t="shared" si="63"/>
        <v>49.478065067847822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236.15279999999987</v>
      </c>
      <c r="CA83" s="13">
        <f t="shared" si="93"/>
        <v>57.61100977459931</v>
      </c>
      <c r="CB83" s="20">
        <f t="shared" si="64"/>
        <v>511.63863535742689</v>
      </c>
      <c r="CC83" s="59">
        <f t="shared" si="65"/>
        <v>804.97196869076015</v>
      </c>
      <c r="CD83" s="59">
        <f ca="1">AVERAGE(OFFSET($CC$3,0,0,'Données projet'!$E$12+1,1))-AVERAGE(OFFSET($H$3,0,0,'Données projet'!$E$12+1,1))</f>
        <v>216.16148211123436</v>
      </c>
      <c r="CE83" s="59">
        <f t="shared" si="94"/>
        <v>132.59131750490178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60.213105537266948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60.213105537266948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73.288800000000023</v>
      </c>
      <c r="D84" s="11">
        <f t="shared" si="86"/>
        <v>20.487987371563225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723.89099023662857</v>
      </c>
      <c r="H84" s="66">
        <f t="shared" si="56"/>
        <v>456.66123800547257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763.00000000000057</v>
      </c>
      <c r="O84" s="13">
        <f>N84*VLOOKUP('Données projet'!$B$9,Paramètres!$A$1:$I$89,3,0)*VLOOKUP('Données projet'!$B$9,Paramètres!$A$1:$I$89,5,0)</f>
        <v>456.2740000000004</v>
      </c>
      <c r="P84" s="13">
        <f t="shared" si="87"/>
        <v>103.09649786611838</v>
      </c>
      <c r="Q84" s="20">
        <f t="shared" si="54"/>
        <v>974.23695045015677</v>
      </c>
      <c r="R84" s="59">
        <f t="shared" si="55"/>
        <v>1267.5702837834901</v>
      </c>
      <c r="S84" s="59">
        <f ca="1">AVERAGE(OFFSET($R$3,0,0,'Données projet'!$E$9+1,1))-AVERAGE(OFFSET($H$3,0,0,'Données projet'!$E$9+1,1))</f>
        <v>443.63756287217456</v>
      </c>
      <c r="T84" s="59">
        <f t="shared" si="88"/>
        <v>384.990641425788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104.33484346539272</v>
      </c>
      <c r="AA84" s="21">
        <f>EXP(-LN(2)/25)*AA83+(1-EXP(-LN(2)/25))/(LN(2)/25)*Calculateur!V84*Calculateur!X84*VLOOKUP('Données projet'!$B$9,Paramètres!$A$1:$I$89,3,0)*0.475*44/12</f>
        <v>15.908105597708813</v>
      </c>
      <c r="AB84" s="21">
        <f>EXP(-LN(2)/2)*AB83+(1-EXP(-LN(2)/2))/(LN(2)/2)*V84*Y84*VLOOKUP('Données projet'!$B$9,Paramètres!$A$1:$I$89,3,0)*0.475*44/12</f>
        <v>1.6552597741057839E-9</v>
      </c>
      <c r="AC84" s="22">
        <f t="shared" si="57"/>
        <v>120.2429490647568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137.97244371990928</v>
      </c>
      <c r="AO84" s="59">
        <f t="shared" si="90"/>
        <v>340.50331317844757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44.983985557676959</v>
      </c>
      <c r="AV84" s="21">
        <f>EXP(-LN(2)/25)*AV83+(1-EXP(-LN(2)/25))/(LN(2)/25)*Calculateur!AQ84*Calculateur!AS84*VLOOKUP('Données projet'!$B$10,Paramètres!$A$1:$I$89,3,0)*0.475*44/12</f>
        <v>3.4960403277406567</v>
      </c>
      <c r="AW84" s="21">
        <f>EXP(-LN(2)/2)*AW83+(1-EXP(-LN(2)/2))/(LN(2)/2)*AQ84*AT84*VLOOKUP('Données projet'!$B$10,Paramètres!$A$1:$I$89,3,0)*0.475*44/12</f>
        <v>9.4750342786779459E-10</v>
      </c>
      <c r="AX84" s="21">
        <f t="shared" si="60"/>
        <v>48.480025886365119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137.97244371990928</v>
      </c>
      <c r="BJ84" s="59">
        <f t="shared" si="92"/>
        <v>340.50331317844757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44.983985557676959</v>
      </c>
      <c r="BQ84" s="21">
        <f>EXP(-LN(2)/25)*BQ83+(1-EXP(-LN(2)/25))/(LN(2)/25)*Calculateur!BL84*Calculateur!BN84*VLOOKUP('Données projet'!$B$11,Paramètres!$A$1:$I$89,3,0)*0.475*44/12</f>
        <v>3.4960403277406567</v>
      </c>
      <c r="BR84" s="21">
        <f>EXP(-LN(2)/2)*BR83+(1-EXP(-LN(2)/2))/(LN(2)/2)*BL84*BO84*VLOOKUP('Données projet'!$B$11,Paramètres!$A$1:$I$89,3,0)*0.475*44/12</f>
        <v>9.4750342786779459E-10</v>
      </c>
      <c r="BS84" s="22">
        <f t="shared" si="63"/>
        <v>48.480025886365119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222.3998399999999</v>
      </c>
      <c r="CA84" s="13">
        <f t="shared" si="93"/>
        <v>54.636149281681448</v>
      </c>
      <c r="CB84" s="20">
        <f t="shared" si="64"/>
        <v>482.50434799892832</v>
      </c>
      <c r="CC84" s="59">
        <f t="shared" si="65"/>
        <v>775.83768133226158</v>
      </c>
      <c r="CD84" s="59">
        <f ca="1">AVERAGE(OFFSET($CC$3,0,0,'Données projet'!$E$12+1,1))-AVERAGE(OFFSET($H$3,0,0,'Données projet'!$E$12+1,1))</f>
        <v>216.16148211123436</v>
      </c>
      <c r="CE84" s="59">
        <f t="shared" si="94"/>
        <v>132.59131750490178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59.032363264049096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59.032363264049096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74.193600000000018</v>
      </c>
      <c r="D85" s="11">
        <f t="shared" si="86"/>
        <v>20.711323637482362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732.59941053495174</v>
      </c>
      <c r="H85" s="66">
        <f t="shared" si="56"/>
        <v>458.62607533528183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763.00000000000057</v>
      </c>
      <c r="O85" s="13">
        <f>N85*VLOOKUP('Données projet'!$B$9,Paramètres!$A$1:$I$89,3,0)*VLOOKUP('Données projet'!$B$9,Paramètres!$A$1:$I$89,5,0)</f>
        <v>456.2740000000004</v>
      </c>
      <c r="P85" s="13">
        <f t="shared" si="87"/>
        <v>103.09649786611838</v>
      </c>
      <c r="Q85" s="20">
        <f t="shared" si="54"/>
        <v>974.23695045015677</v>
      </c>
      <c r="R85" s="59">
        <f t="shared" si="55"/>
        <v>1267.5702837834901</v>
      </c>
      <c r="S85" s="59">
        <f ca="1">AVERAGE(OFFSET($R$3,0,0,'Données projet'!$E$9+1,1))-AVERAGE(OFFSET($H$3,0,0,'Données projet'!$E$9+1,1))</f>
        <v>443.63756287217456</v>
      </c>
      <c r="T85" s="59">
        <f t="shared" si="88"/>
        <v>384.990641425788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102.28890082300715</v>
      </c>
      <c r="AA85" s="21">
        <f>EXP(-LN(2)/25)*AA84+(1-EXP(-LN(2)/25))/(LN(2)/25)*Calculateur!V85*Calculateur!X85*VLOOKUP('Données projet'!$B$9,Paramètres!$A$1:$I$89,3,0)*0.475*44/12</f>
        <v>15.47309761356855</v>
      </c>
      <c r="AB85" s="21">
        <f>EXP(-LN(2)/2)*AB84+(1-EXP(-LN(2)/2))/(LN(2)/2)*V85*Y85*VLOOKUP('Données projet'!$B$9,Paramètres!$A$1:$I$89,3,0)*0.475*44/12</f>
        <v>1.1704454108955126E-9</v>
      </c>
      <c r="AC85" s="22">
        <f t="shared" si="57"/>
        <v>117.76199843774616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137.97244371990928</v>
      </c>
      <c r="AO85" s="59">
        <f t="shared" si="90"/>
        <v>340.50331317844757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44.101877038412873</v>
      </c>
      <c r="AV85" s="21">
        <f>EXP(-LN(2)/25)*AV84+(1-EXP(-LN(2)/25))/(LN(2)/25)*Calculateur!AQ85*Calculateur!AS85*VLOOKUP('Données projet'!$B$10,Paramètres!$A$1:$I$89,3,0)*0.475*44/12</f>
        <v>3.4004409211298179</v>
      </c>
      <c r="AW85" s="21">
        <f>EXP(-LN(2)/2)*AW84+(1-EXP(-LN(2)/2))/(LN(2)/2)*AQ85*AT85*VLOOKUP('Données projet'!$B$10,Paramètres!$A$1:$I$89,3,0)*0.475*44/12</f>
        <v>6.6998609904281635E-10</v>
      </c>
      <c r="AX85" s="21">
        <f t="shared" si="60"/>
        <v>47.502317960212679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137.97244371990928</v>
      </c>
      <c r="BJ85" s="59">
        <f t="shared" si="92"/>
        <v>340.50331317844757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44.101877038412873</v>
      </c>
      <c r="BQ85" s="21">
        <f>EXP(-LN(2)/25)*BQ84+(1-EXP(-LN(2)/25))/(LN(2)/25)*Calculateur!BL85*Calculateur!BN85*VLOOKUP('Données projet'!$B$11,Paramètres!$A$1:$I$89,3,0)*0.475*44/12</f>
        <v>3.4004409211298179</v>
      </c>
      <c r="BR85" s="21">
        <f>EXP(-LN(2)/2)*BR84+(1-EXP(-LN(2)/2))/(LN(2)/2)*BL85*BO85*VLOOKUP('Données projet'!$B$11,Paramètres!$A$1:$I$89,3,0)*0.475*44/12</f>
        <v>6.6998609904281635E-10</v>
      </c>
      <c r="BS85" s="22">
        <f t="shared" si="63"/>
        <v>47.502317960212679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227.64767999999992</v>
      </c>
      <c r="CA85" s="13">
        <f t="shared" si="93"/>
        <v>55.773751036838313</v>
      </c>
      <c r="CB85" s="20">
        <f t="shared" si="64"/>
        <v>493.62565905582659</v>
      </c>
      <c r="CC85" s="59">
        <f t="shared" si="65"/>
        <v>786.9589923891599</v>
      </c>
      <c r="CD85" s="59">
        <f ca="1">AVERAGE(OFFSET($CC$3,0,0,'Données projet'!$E$12+1,1))-AVERAGE(OFFSET($H$3,0,0,'Données projet'!$E$12+1,1))</f>
        <v>216.16148211123436</v>
      </c>
      <c r="CE85" s="59">
        <f t="shared" si="94"/>
        <v>132.59131750490178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57.874774626627371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57.874774626627371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75.098400000000012</v>
      </c>
      <c r="D86" s="11">
        <f t="shared" si="86"/>
        <v>20.934343091450742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741.30538526733926</v>
      </c>
      <c r="H86" s="66">
        <f t="shared" si="56"/>
        <v>460.59036088427672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763.00000000000057</v>
      </c>
      <c r="O86" s="13">
        <f>N86*VLOOKUP('Données projet'!$B$9,Paramètres!$A$1:$I$89,3,0)*VLOOKUP('Données projet'!$B$9,Paramètres!$A$1:$I$89,5,0)</f>
        <v>456.2740000000004</v>
      </c>
      <c r="P86" s="13">
        <f t="shared" si="87"/>
        <v>103.09649786611838</v>
      </c>
      <c r="Q86" s="20">
        <f t="shared" si="54"/>
        <v>974.23695045015677</v>
      </c>
      <c r="R86" s="59">
        <f t="shared" si="55"/>
        <v>1267.5702837834901</v>
      </c>
      <c r="S86" s="59">
        <f ca="1">AVERAGE(OFFSET($R$3,0,0,'Données projet'!$E$9+1,1))-AVERAGE(OFFSET($H$3,0,0,'Données projet'!$E$9+1,1))</f>
        <v>443.63756287217456</v>
      </c>
      <c r="T86" s="59">
        <f t="shared" si="88"/>
        <v>384.990641425788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100.28307786793698</v>
      </c>
      <c r="AA86" s="21">
        <f>EXP(-LN(2)/25)*AA85+(1-EXP(-LN(2)/25))/(LN(2)/25)*Calculateur!V86*Calculateur!X86*VLOOKUP('Données projet'!$B$9,Paramètres!$A$1:$I$89,3,0)*0.475*44/12</f>
        <v>15.049984945630678</v>
      </c>
      <c r="AB86" s="21">
        <f>EXP(-LN(2)/2)*AB85+(1-EXP(-LN(2)/2))/(LN(2)/2)*V86*Y86*VLOOKUP('Données projet'!$B$9,Paramètres!$A$1:$I$89,3,0)*0.475*44/12</f>
        <v>8.2762988705289195E-10</v>
      </c>
      <c r="AC86" s="22">
        <f t="shared" si="57"/>
        <v>115.33306281439529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137.97244371990928</v>
      </c>
      <c r="AO86" s="59">
        <f t="shared" si="90"/>
        <v>340.50331317844757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43.237066129178487</v>
      </c>
      <c r="AV86" s="21">
        <f>EXP(-LN(2)/25)*AV85+(1-EXP(-LN(2)/25))/(LN(2)/25)*Calculateur!AQ86*Calculateur!AS86*VLOOKUP('Données projet'!$B$10,Paramètres!$A$1:$I$89,3,0)*0.475*44/12</f>
        <v>3.3074556853201069</v>
      </c>
      <c r="AW86" s="21">
        <f>EXP(-LN(2)/2)*AW85+(1-EXP(-LN(2)/2))/(LN(2)/2)*AQ86*AT86*VLOOKUP('Données projet'!$B$10,Paramètres!$A$1:$I$89,3,0)*0.475*44/12</f>
        <v>4.737517139338973E-10</v>
      </c>
      <c r="AX86" s="21">
        <f t="shared" si="60"/>
        <v>46.544521814972349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137.97244371990928</v>
      </c>
      <c r="BJ86" s="59">
        <f t="shared" si="92"/>
        <v>340.50331317844757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43.237066129178487</v>
      </c>
      <c r="BQ86" s="21">
        <f>EXP(-LN(2)/25)*BQ85+(1-EXP(-LN(2)/25))/(LN(2)/25)*Calculateur!BL86*Calculateur!BN86*VLOOKUP('Données projet'!$B$11,Paramètres!$A$1:$I$89,3,0)*0.475*44/12</f>
        <v>3.3074556853201069</v>
      </c>
      <c r="BR86" s="21">
        <f>EXP(-LN(2)/2)*BR85+(1-EXP(-LN(2)/2))/(LN(2)/2)*BL86*BO86*VLOOKUP('Données projet'!$B$11,Paramètres!$A$1:$I$89,3,0)*0.475*44/12</f>
        <v>4.737517139338973E-10</v>
      </c>
      <c r="BS86" s="22">
        <f t="shared" si="63"/>
        <v>46.544521814972349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232.89551999999992</v>
      </c>
      <c r="CA86" s="13">
        <f t="shared" si="93"/>
        <v>56.908304063818662</v>
      </c>
      <c r="CB86" s="20">
        <f t="shared" si="64"/>
        <v>504.74166024448397</v>
      </c>
      <c r="CC86" s="59">
        <f t="shared" si="65"/>
        <v>798.07499357781728</v>
      </c>
      <c r="CD86" s="59">
        <f ca="1">AVERAGE(OFFSET($CC$3,0,0,'Données projet'!$E$12+1,1))-AVERAGE(OFFSET($H$3,0,0,'Données projet'!$E$12+1,1))</f>
        <v>216.16148211123436</v>
      </c>
      <c r="CE86" s="59">
        <f t="shared" si="94"/>
        <v>132.59131750490178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56.739885596326133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56.739885596326133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76.003200000000007</v>
      </c>
      <c r="D87" s="11">
        <f t="shared" si="86"/>
        <v>21.157049992000456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750.00894730667017</v>
      </c>
      <c r="H87" s="66">
        <f t="shared" si="56"/>
        <v>462.55410206940076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763.00000000000057</v>
      </c>
      <c r="O87" s="13">
        <f>N87*VLOOKUP('Données projet'!$B$9,Paramètres!$A$1:$I$89,3,0)*VLOOKUP('Données projet'!$B$9,Paramètres!$A$1:$I$89,5,0)</f>
        <v>456.2740000000004</v>
      </c>
      <c r="P87" s="13">
        <f t="shared" si="87"/>
        <v>103.09649786611838</v>
      </c>
      <c r="Q87" s="20">
        <f t="shared" si="54"/>
        <v>974.23695045015677</v>
      </c>
      <c r="R87" s="59">
        <f t="shared" si="55"/>
        <v>1267.5702837834901</v>
      </c>
      <c r="S87" s="59">
        <f ca="1">AVERAGE(OFFSET($R$3,0,0,'Données projet'!$E$9+1,1))-AVERAGE(OFFSET($H$3,0,0,'Données projet'!$E$9+1,1))</f>
        <v>443.63756287217456</v>
      </c>
      <c r="T87" s="59">
        <f t="shared" si="88"/>
        <v>384.990641425788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98.316587877584539</v>
      </c>
      <c r="AA87" s="21">
        <f>EXP(-LN(2)/25)*AA86+(1-EXP(-LN(2)/25))/(LN(2)/25)*Calculateur!V87*Calculateur!X87*VLOOKUP('Données projet'!$B$9,Paramètres!$A$1:$I$89,3,0)*0.475*44/12</f>
        <v>14.638442315848096</v>
      </c>
      <c r="AB87" s="21">
        <f>EXP(-LN(2)/2)*AB86+(1-EXP(-LN(2)/2))/(LN(2)/2)*V87*Y87*VLOOKUP('Données projet'!$B$9,Paramètres!$A$1:$I$89,3,0)*0.475*44/12</f>
        <v>5.852227054477563E-10</v>
      </c>
      <c r="AC87" s="22">
        <f t="shared" si="57"/>
        <v>112.95503019401785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137.97244371990928</v>
      </c>
      <c r="AO87" s="59">
        <f t="shared" si="90"/>
        <v>340.50331317844757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42.389213634391616</v>
      </c>
      <c r="AV87" s="21">
        <f>EXP(-LN(2)/25)*AV86+(1-EXP(-LN(2)/25))/(LN(2)/25)*Calculateur!AQ87*Calculateur!AS87*VLOOKUP('Données projet'!$B$10,Paramètres!$A$1:$I$89,3,0)*0.475*44/12</f>
        <v>3.2170131356734935</v>
      </c>
      <c r="AW87" s="21">
        <f>EXP(-LN(2)/2)*AW86+(1-EXP(-LN(2)/2))/(LN(2)/2)*AQ87*AT87*VLOOKUP('Données projet'!$B$10,Paramètres!$A$1:$I$89,3,0)*0.475*44/12</f>
        <v>3.3499304952140817E-10</v>
      </c>
      <c r="AX87" s="21">
        <f t="shared" si="60"/>
        <v>45.606226770400099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137.97244371990928</v>
      </c>
      <c r="BJ87" s="59">
        <f t="shared" si="92"/>
        <v>340.50331317844757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42.389213634391616</v>
      </c>
      <c r="BQ87" s="21">
        <f>EXP(-LN(2)/25)*BQ86+(1-EXP(-LN(2)/25))/(LN(2)/25)*Calculateur!BL87*Calculateur!BN87*VLOOKUP('Données projet'!$B$11,Paramètres!$A$1:$I$89,3,0)*0.475*44/12</f>
        <v>3.2170131356734935</v>
      </c>
      <c r="BR87" s="21">
        <f>EXP(-LN(2)/2)*BR86+(1-EXP(-LN(2)/2))/(LN(2)/2)*BL87*BO87*VLOOKUP('Données projet'!$B$11,Paramètres!$A$1:$I$89,3,0)*0.475*44/12</f>
        <v>3.3499304952140817E-10</v>
      </c>
      <c r="BS87" s="22">
        <f t="shared" si="63"/>
        <v>45.606226770400099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238.14335999999992</v>
      </c>
      <c r="CA87" s="13">
        <f t="shared" si="93"/>
        <v>58.039884968630489</v>
      </c>
      <c r="CB87" s="20">
        <f t="shared" si="64"/>
        <v>515.85248498703129</v>
      </c>
      <c r="CC87" s="59">
        <f t="shared" si="65"/>
        <v>809.18581832036466</v>
      </c>
      <c r="CD87" s="59">
        <f ca="1">AVERAGE(OFFSET($CC$3,0,0,'Données projet'!$E$12+1,1))-AVERAGE(OFFSET($H$3,0,0,'Données projet'!$E$12+1,1))</f>
        <v>216.16148211123436</v>
      </c>
      <c r="CE87" s="59">
        <f t="shared" si="94"/>
        <v>132.59131750490178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55.627251047695147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55.627251047695147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76.908000000000001</v>
      </c>
      <c r="D88" s="11">
        <f t="shared" si="86"/>
        <v>21.379448490435635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758.71012869809965</v>
      </c>
      <c r="H88" s="66">
        <f t="shared" si="56"/>
        <v>464.51730612084202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763.00000000000057</v>
      </c>
      <c r="O88" s="13">
        <f>N88*VLOOKUP('Données projet'!$B$9,Paramètres!$A$1:$I$89,3,0)*VLOOKUP('Données projet'!$B$9,Paramètres!$A$1:$I$89,5,0)</f>
        <v>456.2740000000004</v>
      </c>
      <c r="P88" s="13">
        <f t="shared" si="87"/>
        <v>103.09649786611838</v>
      </c>
      <c r="Q88" s="20">
        <f t="shared" si="54"/>
        <v>974.23695045015677</v>
      </c>
      <c r="R88" s="59">
        <f t="shared" si="55"/>
        <v>1267.5702837834901</v>
      </c>
      <c r="S88" s="59">
        <f ca="1">AVERAGE(OFFSET($R$3,0,0,'Données projet'!$E$9+1,1))-AVERAGE(OFFSET($H$3,0,0,'Données projet'!$E$9+1,1))</f>
        <v>443.63756287217456</v>
      </c>
      <c r="T88" s="59">
        <f t="shared" si="88"/>
        <v>384.990641425788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96.388659556502446</v>
      </c>
      <c r="AA88" s="21">
        <f>EXP(-LN(2)/25)*AA87+(1-EXP(-LN(2)/25))/(LN(2)/25)*Calculateur!V88*Calculateur!X88*VLOOKUP('Données projet'!$B$9,Paramètres!$A$1:$I$89,3,0)*0.475*44/12</f>
        <v>14.238153340919006</v>
      </c>
      <c r="AB88" s="21">
        <f>EXP(-LN(2)/2)*AB87+(1-EXP(-LN(2)/2))/(LN(2)/2)*V88*Y88*VLOOKUP('Données projet'!$B$9,Paramètres!$A$1:$I$89,3,0)*0.475*44/12</f>
        <v>4.1381494352644598E-10</v>
      </c>
      <c r="AC88" s="22">
        <f t="shared" si="57"/>
        <v>110.62681289783526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137.97244371990928</v>
      </c>
      <c r="AO88" s="59">
        <f t="shared" si="90"/>
        <v>340.50331317844757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41.557987009888556</v>
      </c>
      <c r="AV88" s="21">
        <f>EXP(-LN(2)/25)*AV87+(1-EXP(-LN(2)/25))/(LN(2)/25)*Calculateur!AQ88*Calculateur!AS88*VLOOKUP('Données projet'!$B$10,Paramètres!$A$1:$I$89,3,0)*0.475*44/12</f>
        <v>3.1290437423031334</v>
      </c>
      <c r="AW88" s="21">
        <f>EXP(-LN(2)/2)*AW87+(1-EXP(-LN(2)/2))/(LN(2)/2)*AQ88*AT88*VLOOKUP('Données projet'!$B$10,Paramètres!$A$1:$I$89,3,0)*0.475*44/12</f>
        <v>2.3687585696694865E-10</v>
      </c>
      <c r="AX88" s="21">
        <f t="shared" si="60"/>
        <v>44.687030752428562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137.97244371990928</v>
      </c>
      <c r="BJ88" s="59">
        <f t="shared" si="92"/>
        <v>340.50331317844757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41.557987009888556</v>
      </c>
      <c r="BQ88" s="21">
        <f>EXP(-LN(2)/25)*BQ87+(1-EXP(-LN(2)/25))/(LN(2)/25)*Calculateur!BL88*Calculateur!BN88*VLOOKUP('Données projet'!$B$11,Paramètres!$A$1:$I$89,3,0)*0.475*44/12</f>
        <v>3.1290437423031334</v>
      </c>
      <c r="BR88" s="21">
        <f>EXP(-LN(2)/2)*BR87+(1-EXP(-LN(2)/2))/(LN(2)/2)*BL88*BO88*VLOOKUP('Données projet'!$B$11,Paramètres!$A$1:$I$89,3,0)*0.475*44/12</f>
        <v>2.3687585696694865E-10</v>
      </c>
      <c r="BS88" s="22">
        <f t="shared" si="63"/>
        <v>44.687030752428562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243.39119999999994</v>
      </c>
      <c r="CA88" s="13">
        <f t="shared" si="93"/>
        <v>59.168566788241527</v>
      </c>
      <c r="CB88" s="20">
        <f t="shared" si="64"/>
        <v>526.95826048952051</v>
      </c>
      <c r="CC88" s="59">
        <f t="shared" si="65"/>
        <v>820.29159382285388</v>
      </c>
      <c r="CD88" s="59">
        <f ca="1">AVERAGE(OFFSET($CC$3,0,0,'Données projet'!$E$12+1,1))-AVERAGE(OFFSET($H$3,0,0,'Données projet'!$E$12+1,1))</f>
        <v>216.16148211123436</v>
      </c>
      <c r="CE88" s="59">
        <f t="shared" si="94"/>
        <v>132.59131750490178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63.568507866517507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63.568507866517507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77.812799999999996</v>
      </c>
      <c r="D89" s="11">
        <f t="shared" si="86"/>
        <v>21.601542634761511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767.40896068938719</v>
      </c>
      <c r="H89" s="66">
        <f t="shared" si="56"/>
        <v>466.47998008887623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763.00000000000057</v>
      </c>
      <c r="O89" s="13">
        <f>N89*VLOOKUP('Données projet'!$B$9,Paramètres!$A$1:$I$89,3,0)*VLOOKUP('Données projet'!$B$9,Paramètres!$A$1:$I$89,5,0)</f>
        <v>456.2740000000004</v>
      </c>
      <c r="P89" s="13">
        <f t="shared" si="87"/>
        <v>103.09649786611838</v>
      </c>
      <c r="Q89" s="20">
        <f t="shared" si="54"/>
        <v>974.23695045015677</v>
      </c>
      <c r="R89" s="59">
        <f t="shared" si="55"/>
        <v>1267.5702837834901</v>
      </c>
      <c r="S89" s="59">
        <f ca="1">AVERAGE(OFFSET($R$3,0,0,'Données projet'!$E$9+1,1))-AVERAGE(OFFSET($H$3,0,0,'Données projet'!$E$9+1,1))</f>
        <v>443.63756287217456</v>
      </c>
      <c r="T89" s="59">
        <f t="shared" si="88"/>
        <v>384.990641425788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94.498536733876605</v>
      </c>
      <c r="AA89" s="21">
        <f>EXP(-LN(2)/25)*AA88+(1-EXP(-LN(2)/25))/(LN(2)/25)*Calculateur!V89*Calculateur!X89*VLOOKUP('Données projet'!$B$9,Paramètres!$A$1:$I$89,3,0)*0.475*44/12</f>
        <v>13.848810289059633</v>
      </c>
      <c r="AB89" s="21">
        <f>EXP(-LN(2)/2)*AB88+(1-EXP(-LN(2)/2))/(LN(2)/2)*V89*Y89*VLOOKUP('Données projet'!$B$9,Paramètres!$A$1:$I$89,3,0)*0.475*44/12</f>
        <v>2.9261135272387815E-10</v>
      </c>
      <c r="AC89" s="22">
        <f t="shared" si="57"/>
        <v>108.34734702322885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137.97244371990928</v>
      </c>
      <c r="AO89" s="59">
        <f t="shared" si="90"/>
        <v>340.50331317844757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40.743060232493825</v>
      </c>
      <c r="AV89" s="21">
        <f>EXP(-LN(2)/25)*AV88+(1-EXP(-LN(2)/25))/(LN(2)/25)*Calculateur!AQ89*Calculateur!AS89*VLOOKUP('Données projet'!$B$10,Paramètres!$A$1:$I$89,3,0)*0.475*44/12</f>
        <v>3.0434798766205953</v>
      </c>
      <c r="AW89" s="21">
        <f>EXP(-LN(2)/2)*AW88+(1-EXP(-LN(2)/2))/(LN(2)/2)*AQ89*AT89*VLOOKUP('Données projet'!$B$10,Paramètres!$A$1:$I$89,3,0)*0.475*44/12</f>
        <v>1.6749652476070409E-10</v>
      </c>
      <c r="AX89" s="21">
        <f t="shared" si="60"/>
        <v>43.786540109281916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137.97244371990928</v>
      </c>
      <c r="BJ89" s="59">
        <f t="shared" si="92"/>
        <v>340.50331317844757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40.743060232493825</v>
      </c>
      <c r="BQ89" s="21">
        <f>EXP(-LN(2)/25)*BQ88+(1-EXP(-LN(2)/25))/(LN(2)/25)*Calculateur!BL89*Calculateur!BN89*VLOOKUP('Données projet'!$B$11,Paramètres!$A$1:$I$89,3,0)*0.475*44/12</f>
        <v>3.0434798766205953</v>
      </c>
      <c r="BR89" s="21">
        <f>EXP(-LN(2)/2)*BR88+(1-EXP(-LN(2)/2))/(LN(2)/2)*BL89*BO89*VLOOKUP('Données projet'!$B$11,Paramètres!$A$1:$I$89,3,0)*0.475*44/12</f>
        <v>1.6749652476070409E-10</v>
      </c>
      <c r="BS89" s="22">
        <f t="shared" si="63"/>
        <v>43.786540109281916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229.27631999999994</v>
      </c>
      <c r="CA89" s="13">
        <f t="shared" si="93"/>
        <v>56.126176307517476</v>
      </c>
      <c r="CB89" s="20">
        <f t="shared" si="64"/>
        <v>497.07601440225949</v>
      </c>
      <c r="CC89" s="59">
        <f t="shared" si="65"/>
        <v>790.40934773559275</v>
      </c>
      <c r="CD89" s="59">
        <f ca="1">AVERAGE(OFFSET($CC$3,0,0,'Données projet'!$E$12+1,1))-AVERAGE(OFFSET($H$3,0,0,'Données projet'!$E$12+1,1))</f>
        <v>216.16148211123436</v>
      </c>
      <c r="CE89" s="59">
        <f t="shared" si="94"/>
        <v>132.59131750490178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62.321968200216382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62.321968200216382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78.71759999999999</v>
      </c>
      <c r="D90" s="11">
        <f t="shared" si="86"/>
        <v>21.823336373425391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776.10547375977501</v>
      </c>
      <c r="H90" s="66">
        <f t="shared" si="56"/>
        <v>468.44213085038251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763.00000000000057</v>
      </c>
      <c r="O90" s="13">
        <f>N90*VLOOKUP('Données projet'!$B$9,Paramètres!$A$1:$I$89,3,0)*VLOOKUP('Données projet'!$B$9,Paramètres!$A$1:$I$89,5,0)</f>
        <v>456.2740000000004</v>
      </c>
      <c r="P90" s="13">
        <f t="shared" si="87"/>
        <v>103.09649786611838</v>
      </c>
      <c r="Q90" s="20">
        <f t="shared" si="54"/>
        <v>974.23695045015677</v>
      </c>
      <c r="R90" s="59">
        <f t="shared" si="55"/>
        <v>1267.5702837834901</v>
      </c>
      <c r="S90" s="59">
        <f ca="1">AVERAGE(OFFSET($R$3,0,0,'Données projet'!$E$9+1,1))-AVERAGE(OFFSET($H$3,0,0,'Données projet'!$E$9+1,1))</f>
        <v>443.63756287217456</v>
      </c>
      <c r="T90" s="59">
        <f t="shared" si="88"/>
        <v>384.990641425788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92.645478066941365</v>
      </c>
      <c r="AA90" s="21">
        <f>EXP(-LN(2)/25)*AA89+(1-EXP(-LN(2)/25))/(LN(2)/25)*Calculateur!V90*Calculateur!X90*VLOOKUP('Données projet'!$B$9,Paramètres!$A$1:$I$89,3,0)*0.475*44/12</f>
        <v>13.470113843428017</v>
      </c>
      <c r="AB90" s="21">
        <f>EXP(-LN(2)/2)*AB89+(1-EXP(-LN(2)/2))/(LN(2)/2)*V90*Y90*VLOOKUP('Données projet'!$B$9,Paramètres!$A$1:$I$89,3,0)*0.475*44/12</f>
        <v>2.0690747176322299E-10</v>
      </c>
      <c r="AC90" s="22">
        <f t="shared" si="57"/>
        <v>106.11559191057628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137.97244371990928</v>
      </c>
      <c r="AO90" s="59">
        <f t="shared" si="90"/>
        <v>340.50331317844757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39.944113672147552</v>
      </c>
      <c r="AV90" s="21">
        <f>EXP(-LN(2)/25)*AV89+(1-EXP(-LN(2)/25))/(LN(2)/25)*Calculateur!AQ90*Calculateur!AS90*VLOOKUP('Données projet'!$B$10,Paramètres!$A$1:$I$89,3,0)*0.475*44/12</f>
        <v>2.9602557593447543</v>
      </c>
      <c r="AW90" s="21">
        <f>EXP(-LN(2)/2)*AW89+(1-EXP(-LN(2)/2))/(LN(2)/2)*AQ90*AT90*VLOOKUP('Données projet'!$B$10,Paramètres!$A$1:$I$89,3,0)*0.475*44/12</f>
        <v>1.1843792848347432E-10</v>
      </c>
      <c r="AX90" s="21">
        <f t="shared" si="60"/>
        <v>42.904369431610746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137.97244371990928</v>
      </c>
      <c r="BJ90" s="59">
        <f t="shared" si="92"/>
        <v>340.50331317844757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39.944113672147552</v>
      </c>
      <c r="BQ90" s="21">
        <f>EXP(-LN(2)/25)*BQ89+(1-EXP(-LN(2)/25))/(LN(2)/25)*Calculateur!BL90*Calculateur!BN90*VLOOKUP('Données projet'!$B$11,Paramètres!$A$1:$I$89,3,0)*0.475*44/12</f>
        <v>2.9602557593447543</v>
      </c>
      <c r="BR90" s="21">
        <f>EXP(-LN(2)/2)*BR89+(1-EXP(-LN(2)/2))/(LN(2)/2)*BL90*BO90*VLOOKUP('Données projet'!$B$11,Paramètres!$A$1:$I$89,3,0)*0.475*44/12</f>
        <v>1.1843792848347432E-10</v>
      </c>
      <c r="BS90" s="22">
        <f t="shared" si="63"/>
        <v>42.904369431610746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234.16223999999988</v>
      </c>
      <c r="CA90" s="13">
        <f t="shared" si="93"/>
        <v>57.181713578143047</v>
      </c>
      <c r="CB90" s="20">
        <f t="shared" si="64"/>
        <v>507.42405248193222</v>
      </c>
      <c r="CC90" s="59">
        <f t="shared" si="65"/>
        <v>800.75738581526548</v>
      </c>
      <c r="CD90" s="59">
        <f ca="1">AVERAGE(OFFSET($CC$3,0,0,'Données projet'!$E$12+1,1))-AVERAGE(OFFSET($H$3,0,0,'Données projet'!$E$12+1,1))</f>
        <v>216.16148211123436</v>
      </c>
      <c r="CE90" s="59">
        <f t="shared" si="94"/>
        <v>132.59131750490178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61.099872416457302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61.099872416457302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79.622399999999985</v>
      </c>
      <c r="D91" s="11">
        <f t="shared" si="86"/>
        <v>22.044833558880924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784.79969764750183</v>
      </c>
      <c r="H91" s="66">
        <f t="shared" si="56"/>
        <v>470.40376511505087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763.00000000000057</v>
      </c>
      <c r="O91" s="13">
        <f>N91*VLOOKUP('Données projet'!$B$9,Paramètres!$A$1:$I$89,3,0)*VLOOKUP('Données projet'!$B$9,Paramètres!$A$1:$I$89,5,0)</f>
        <v>456.2740000000004</v>
      </c>
      <c r="P91" s="13">
        <f t="shared" si="87"/>
        <v>103.09649786611838</v>
      </c>
      <c r="Q91" s="20">
        <f t="shared" si="54"/>
        <v>974.23695045015677</v>
      </c>
      <c r="R91" s="59">
        <f t="shared" si="55"/>
        <v>1267.5702837834901</v>
      </c>
      <c r="S91" s="59">
        <f ca="1">AVERAGE(OFFSET($R$3,0,0,'Données projet'!$E$9+1,1))-AVERAGE(OFFSET($H$3,0,0,'Données projet'!$E$9+1,1))</f>
        <v>443.63756287217456</v>
      </c>
      <c r="T91" s="59">
        <f t="shared" si="88"/>
        <v>384.990641425788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90.828756750210545</v>
      </c>
      <c r="AA91" s="21">
        <f>EXP(-LN(2)/25)*AA90+(1-EXP(-LN(2)/25))/(LN(2)/25)*Calculateur!V91*Calculateur!X91*VLOOKUP('Données projet'!$B$9,Paramètres!$A$1:$I$89,3,0)*0.475*44/12</f>
        <v>13.101772872016976</v>
      </c>
      <c r="AB91" s="21">
        <f>EXP(-LN(2)/2)*AB90+(1-EXP(-LN(2)/2))/(LN(2)/2)*V91*Y91*VLOOKUP('Données projet'!$B$9,Paramètres!$A$1:$I$89,3,0)*0.475*44/12</f>
        <v>1.4630567636193908E-10</v>
      </c>
      <c r="AC91" s="22">
        <f t="shared" si="57"/>
        <v>103.93052962237383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137.97244371990928</v>
      </c>
      <c r="AO91" s="59">
        <f t="shared" si="90"/>
        <v>340.50331317844757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39.16083396654038</v>
      </c>
      <c r="AV91" s="21">
        <f>EXP(-LN(2)/25)*AV90+(1-EXP(-LN(2)/25))/(LN(2)/25)*Calculateur!AQ91*Calculateur!AS91*VLOOKUP('Données projet'!$B$10,Paramètres!$A$1:$I$89,3,0)*0.475*44/12</f>
        <v>2.8793074099323874</v>
      </c>
      <c r="AW91" s="21">
        <f>EXP(-LN(2)/2)*AW90+(1-EXP(-LN(2)/2))/(LN(2)/2)*AQ91*AT91*VLOOKUP('Données projet'!$B$10,Paramètres!$A$1:$I$89,3,0)*0.475*44/12</f>
        <v>8.3748262380352044E-11</v>
      </c>
      <c r="AX91" s="21">
        <f t="shared" si="60"/>
        <v>42.04014137655652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137.97244371990928</v>
      </c>
      <c r="BJ91" s="59">
        <f t="shared" si="92"/>
        <v>340.50331317844757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39.16083396654038</v>
      </c>
      <c r="BQ91" s="21">
        <f>EXP(-LN(2)/25)*BQ90+(1-EXP(-LN(2)/25))/(LN(2)/25)*Calculateur!BL91*Calculateur!BN91*VLOOKUP('Données projet'!$B$11,Paramètres!$A$1:$I$89,3,0)*0.475*44/12</f>
        <v>2.8793074099323874</v>
      </c>
      <c r="BR91" s="21">
        <f>EXP(-LN(2)/2)*BR90+(1-EXP(-LN(2)/2))/(LN(2)/2)*BL91*BO91*VLOOKUP('Données projet'!$B$11,Paramètres!$A$1:$I$89,3,0)*0.475*44/12</f>
        <v>8.3748262380352044E-11</v>
      </c>
      <c r="BS91" s="22">
        <f t="shared" si="63"/>
        <v>42.04014137655652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239.04815999999985</v>
      </c>
      <c r="CA91" s="13">
        <f t="shared" si="93"/>
        <v>58.234690128947292</v>
      </c>
      <c r="CB91" s="20">
        <f t="shared" si="64"/>
        <v>517.76763064124964</v>
      </c>
      <c r="CC91" s="59">
        <f t="shared" si="65"/>
        <v>811.10096397458301</v>
      </c>
      <c r="CD91" s="59">
        <f ca="1">AVERAGE(OFFSET($CC$3,0,0,'Données projet'!$E$12+1,1))-AVERAGE(OFFSET($H$3,0,0,'Données projet'!$E$12+1,1))</f>
        <v>216.16148211123436</v>
      </c>
      <c r="CE91" s="59">
        <f t="shared" si="94"/>
        <v>132.59131750490178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59.901741185612913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59.901741185612913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80.527199999999979</v>
      </c>
      <c r="D92" s="11">
        <f t="shared" si="86"/>
        <v>22.266037950985503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793.49166137602833</v>
      </c>
      <c r="H92" s="66">
        <f t="shared" si="56"/>
        <v>472.36488943129973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763.00000000000057</v>
      </c>
      <c r="O92" s="13">
        <f>N92*VLOOKUP('Données projet'!$B$9,Paramètres!$A$1:$I$89,3,0)*VLOOKUP('Données projet'!$B$9,Paramètres!$A$1:$I$89,5,0)</f>
        <v>456.2740000000004</v>
      </c>
      <c r="P92" s="13">
        <f t="shared" si="87"/>
        <v>103.09649786611838</v>
      </c>
      <c r="Q92" s="20">
        <f t="shared" si="54"/>
        <v>974.23695045015677</v>
      </c>
      <c r="R92" s="59">
        <f t="shared" si="55"/>
        <v>1267.5702837834901</v>
      </c>
      <c r="S92" s="59">
        <f ca="1">AVERAGE(OFFSET($R$3,0,0,'Données projet'!$E$9+1,1))-AVERAGE(OFFSET($H$3,0,0,'Données projet'!$E$9+1,1))</f>
        <v>443.63756287217456</v>
      </c>
      <c r="T92" s="59">
        <f t="shared" si="88"/>
        <v>384.990641425788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89.04766023041023</v>
      </c>
      <c r="AA92" s="21">
        <f>EXP(-LN(2)/25)*AA91+(1-EXP(-LN(2)/25))/(LN(2)/25)*Calculateur!V92*Calculateur!X92*VLOOKUP('Données projet'!$B$9,Paramètres!$A$1:$I$89,3,0)*0.475*44/12</f>
        <v>12.743504203839381</v>
      </c>
      <c r="AB92" s="21">
        <f>EXP(-LN(2)/2)*AB91+(1-EXP(-LN(2)/2))/(LN(2)/2)*V92*Y92*VLOOKUP('Données projet'!$B$9,Paramètres!$A$1:$I$89,3,0)*0.475*44/12</f>
        <v>1.0345373588161149E-10</v>
      </c>
      <c r="AC92" s="22">
        <f t="shared" si="57"/>
        <v>101.79116443435306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137.97244371990928</v>
      </c>
      <c r="AO92" s="59">
        <f t="shared" si="90"/>
        <v>340.50331317844757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38.392913898206722</v>
      </c>
      <c r="AV92" s="21">
        <f>EXP(-LN(2)/25)*AV91+(1-EXP(-LN(2)/25))/(LN(2)/25)*Calculateur!AQ92*Calculateur!AS92*VLOOKUP('Données projet'!$B$10,Paramètres!$A$1:$I$89,3,0)*0.475*44/12</f>
        <v>2.8005725973915903</v>
      </c>
      <c r="AW92" s="21">
        <f>EXP(-LN(2)/2)*AW91+(1-EXP(-LN(2)/2))/(LN(2)/2)*AQ92*AT92*VLOOKUP('Données projet'!$B$10,Paramètres!$A$1:$I$89,3,0)*0.475*44/12</f>
        <v>5.9218964241737162E-11</v>
      </c>
      <c r="AX92" s="21">
        <f t="shared" si="60"/>
        <v>41.193486495657531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137.97244371990928</v>
      </c>
      <c r="BJ92" s="59">
        <f t="shared" si="92"/>
        <v>340.50331317844757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38.392913898206722</v>
      </c>
      <c r="BQ92" s="21">
        <f>EXP(-LN(2)/25)*BQ91+(1-EXP(-LN(2)/25))/(LN(2)/25)*Calculateur!BL92*Calculateur!BN92*VLOOKUP('Données projet'!$B$11,Paramètres!$A$1:$I$89,3,0)*0.475*44/12</f>
        <v>2.8005725973915903</v>
      </c>
      <c r="BR92" s="21">
        <f>EXP(-LN(2)/2)*BR91+(1-EXP(-LN(2)/2))/(LN(2)/2)*BL92*BO92*VLOOKUP('Données projet'!$B$11,Paramètres!$A$1:$I$89,3,0)*0.475*44/12</f>
        <v>5.9218964241737162E-11</v>
      </c>
      <c r="BS92" s="22">
        <f t="shared" si="63"/>
        <v>41.193486495657531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243.93407999999988</v>
      </c>
      <c r="CA92" s="13">
        <f t="shared" si="93"/>
        <v>59.285164329617594</v>
      </c>
      <c r="CB92" s="20">
        <f t="shared" si="64"/>
        <v>528.10685054075043</v>
      </c>
      <c r="CC92" s="59">
        <f t="shared" si="65"/>
        <v>821.44018387408369</v>
      </c>
      <c r="CD92" s="59">
        <f ca="1">AVERAGE(OFFSET($CC$3,0,0,'Données projet'!$E$12+1,1))-AVERAGE(OFFSET($H$3,0,0,'Données projet'!$E$12+1,1))</f>
        <v>216.16148211123436</v>
      </c>
      <c r="CE92" s="59">
        <f t="shared" si="94"/>
        <v>132.59131750490178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58.727104577417492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58.727104577417492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81.431999999999974</v>
      </c>
      <c r="D93" s="11">
        <f t="shared" si="86"/>
        <v>22.486953220240881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802.18139327905226</v>
      </c>
      <c r="H93" s="66">
        <f t="shared" si="56"/>
        <v>474.32551019191948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763.00000000000057</v>
      </c>
      <c r="O93" s="13">
        <f>N93*VLOOKUP('Données projet'!$B$9,Paramètres!$A$1:$I$89,3,0)*VLOOKUP('Données projet'!$B$9,Paramètres!$A$1:$I$89,5,0)</f>
        <v>456.2740000000004</v>
      </c>
      <c r="P93" s="13">
        <f t="shared" si="87"/>
        <v>103.09649786611838</v>
      </c>
      <c r="Q93" s="20">
        <f t="shared" si="54"/>
        <v>974.23695045015677</v>
      </c>
      <c r="R93" s="59">
        <f t="shared" si="55"/>
        <v>1267.5702837834901</v>
      </c>
      <c r="S93" s="59">
        <f ca="1">AVERAGE(OFFSET($R$3,0,0,'Données projet'!$E$9+1,1))-AVERAGE(OFFSET($H$3,0,0,'Données projet'!$E$9+1,1))</f>
        <v>443.63756287217456</v>
      </c>
      <c r="T93" s="59">
        <f t="shared" si="88"/>
        <v>384.990641425788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87.301489927001597</v>
      </c>
      <c r="AA93" s="21">
        <f>EXP(-LN(2)/25)*AA92+(1-EXP(-LN(2)/25))/(LN(2)/25)*Calculateur!V93*Calculateur!X93*VLOOKUP('Données projet'!$B$9,Paramètres!$A$1:$I$89,3,0)*0.475*44/12</f>
        <v>12.395032411233633</v>
      </c>
      <c r="AB93" s="21">
        <f>EXP(-LN(2)/2)*AB92+(1-EXP(-LN(2)/2))/(LN(2)/2)*V93*Y93*VLOOKUP('Données projet'!$B$9,Paramètres!$A$1:$I$89,3,0)*0.475*44/12</f>
        <v>7.3152838180969538E-11</v>
      </c>
      <c r="AC93" s="22">
        <f t="shared" si="57"/>
        <v>99.696522338308384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137.97244371990928</v>
      </c>
      <c r="AO93" s="59">
        <f t="shared" si="90"/>
        <v>340.50331317844757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37.640052274028093</v>
      </c>
      <c r="AV93" s="21">
        <f>EXP(-LN(2)/25)*AV92+(1-EXP(-LN(2)/25))/(LN(2)/25)*Calculateur!AQ93*Calculateur!AS93*VLOOKUP('Données projet'!$B$10,Paramètres!$A$1:$I$89,3,0)*0.475*44/12</f>
        <v>2.7239907924402051</v>
      </c>
      <c r="AW93" s="21">
        <f>EXP(-LN(2)/2)*AW92+(1-EXP(-LN(2)/2))/(LN(2)/2)*AQ93*AT93*VLOOKUP('Données projet'!$B$10,Paramètres!$A$1:$I$89,3,0)*0.475*44/12</f>
        <v>4.1874131190176022E-11</v>
      </c>
      <c r="AX93" s="21">
        <f t="shared" si="60"/>
        <v>40.36404306651017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137.97244371990928</v>
      </c>
      <c r="BJ93" s="59">
        <f t="shared" si="92"/>
        <v>340.50331317844757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37.640052274028093</v>
      </c>
      <c r="BQ93" s="21">
        <f>EXP(-LN(2)/25)*BQ92+(1-EXP(-LN(2)/25))/(LN(2)/25)*Calculateur!BL93*Calculateur!BN93*VLOOKUP('Données projet'!$B$11,Paramètres!$A$1:$I$89,3,0)*0.475*44/12</f>
        <v>2.7239907924402051</v>
      </c>
      <c r="BR93" s="21">
        <f>EXP(-LN(2)/2)*BR92+(1-EXP(-LN(2)/2))/(LN(2)/2)*BL93*BO93*VLOOKUP('Données projet'!$B$11,Paramètres!$A$1:$I$89,3,0)*0.475*44/12</f>
        <v>4.1874131190176022E-11</v>
      </c>
      <c r="BS93" s="22">
        <f t="shared" si="63"/>
        <v>40.36404306651017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248.81999999999982</v>
      </c>
      <c r="CA93" s="13">
        <f t="shared" si="93"/>
        <v>60.333192077890018</v>
      </c>
      <c r="CB93" s="20">
        <f t="shared" si="64"/>
        <v>538.44180953565808</v>
      </c>
      <c r="CC93" s="59">
        <f t="shared" si="65"/>
        <v>831.77514286899145</v>
      </c>
      <c r="CD93" s="59">
        <f ca="1">AVERAGE(OFFSET($CC$3,0,0,'Données projet'!$E$12+1,1))-AVERAGE(OFFSET($H$3,0,0,'Données projet'!$E$12+1,1))</f>
        <v>216.16148211123436</v>
      </c>
      <c r="CE93" s="59">
        <f t="shared" si="94"/>
        <v>132.59131750490178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66.607575159245954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66.607575159245954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82.336799999999968</v>
      </c>
      <c r="D94" s="11">
        <f t="shared" si="86"/>
        <v>22.707582950885364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810.86892102437798</v>
      </c>
      <c r="H94" s="66">
        <f t="shared" si="56"/>
        <v>476.28563363945864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763.00000000000057</v>
      </c>
      <c r="O94" s="13">
        <f>N94*VLOOKUP('Données projet'!$B$9,Paramètres!$A$1:$I$89,3,0)*VLOOKUP('Données projet'!$B$9,Paramètres!$A$1:$I$89,5,0)</f>
        <v>456.2740000000004</v>
      </c>
      <c r="P94" s="13">
        <f t="shared" si="87"/>
        <v>103.09649786611838</v>
      </c>
      <c r="Q94" s="20">
        <f t="shared" si="54"/>
        <v>974.23695045015677</v>
      </c>
      <c r="R94" s="59">
        <f t="shared" si="55"/>
        <v>1267.5702837834901</v>
      </c>
      <c r="S94" s="59">
        <f ca="1">AVERAGE(OFFSET($R$3,0,0,'Données projet'!$E$9+1,1))-AVERAGE(OFFSET($H$3,0,0,'Données projet'!$E$9+1,1))</f>
        <v>443.63756287217456</v>
      </c>
      <c r="T94" s="59">
        <f t="shared" si="88"/>
        <v>384.990641425788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85.58956095818408</v>
      </c>
      <c r="AA94" s="21">
        <f>EXP(-LN(2)/25)*AA93+(1-EXP(-LN(2)/25))/(LN(2)/25)*Calculateur!V94*Calculateur!X94*VLOOKUP('Données projet'!$B$9,Paramètres!$A$1:$I$89,3,0)*0.475*44/12</f>
        <v>12.056089598122023</v>
      </c>
      <c r="AB94" s="21">
        <f>EXP(-LN(2)/2)*AB93+(1-EXP(-LN(2)/2))/(LN(2)/2)*V94*Y94*VLOOKUP('Données projet'!$B$9,Paramètres!$A$1:$I$89,3,0)*0.475*44/12</f>
        <v>5.1726867940805747E-11</v>
      </c>
      <c r="AC94" s="22">
        <f t="shared" si="57"/>
        <v>97.645650556357836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137.97244371990928</v>
      </c>
      <c r="AO94" s="59">
        <f t="shared" si="90"/>
        <v>340.50331317844757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36.90195380709936</v>
      </c>
      <c r="AV94" s="21">
        <f>EXP(-LN(2)/25)*AV93+(1-EXP(-LN(2)/25))/(LN(2)/25)*Calculateur!AQ94*Calculateur!AS94*VLOOKUP('Données projet'!$B$10,Paramètres!$A$1:$I$89,3,0)*0.475*44/12</f>
        <v>2.6495031209724775</v>
      </c>
      <c r="AW94" s="21">
        <f>EXP(-LN(2)/2)*AW93+(1-EXP(-LN(2)/2))/(LN(2)/2)*AQ94*AT94*VLOOKUP('Données projet'!$B$10,Paramètres!$A$1:$I$89,3,0)*0.475*44/12</f>
        <v>2.9609482120868581E-11</v>
      </c>
      <c r="AX94" s="21">
        <f t="shared" si="60"/>
        <v>39.551456928101445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137.97244371990928</v>
      </c>
      <c r="BJ94" s="59">
        <f t="shared" si="92"/>
        <v>340.50331317844757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36.90195380709936</v>
      </c>
      <c r="BQ94" s="21">
        <f>EXP(-LN(2)/25)*BQ93+(1-EXP(-LN(2)/25))/(LN(2)/25)*Calculateur!BL94*Calculateur!BN94*VLOOKUP('Données projet'!$B$11,Paramètres!$A$1:$I$89,3,0)*0.475*44/12</f>
        <v>2.6495031209724775</v>
      </c>
      <c r="BR94" s="21">
        <f>EXP(-LN(2)/2)*BR93+(1-EXP(-LN(2)/2))/(LN(2)/2)*BL94*BO94*VLOOKUP('Données projet'!$B$11,Paramètres!$A$1:$I$89,3,0)*0.475*44/12</f>
        <v>2.9609482120868581E-11</v>
      </c>
      <c r="BS94" s="22">
        <f t="shared" si="63"/>
        <v>39.551456928101445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</v>
      </c>
      <c r="BY94" s="12">
        <f>IF('Données projet'!$A$114&gt;35,BY93+BX94-CG93,IF(A94&lt;'Données projet'!$A$114,$BV$205^A94,IF(A94='Données projet'!$A$114,'Données projet'!$B$114,BY93+BX94-CG93)))</f>
        <v>258.99999999999983</v>
      </c>
      <c r="BZ94" s="13">
        <f>BY94*VLOOKUP('Données projet'!$B$12,Paramètres!$A$1:$I$89,3,0)*VLOOKUP('Données projet'!$B$12,Paramètres!$A$1:$I$89,5,0)</f>
        <v>234.34319999999983</v>
      </c>
      <c r="CA94" s="13">
        <f t="shared" si="93"/>
        <v>57.220758006491614</v>
      </c>
      <c r="CB94" s="20">
        <f t="shared" si="64"/>
        <v>507.80722686130588</v>
      </c>
      <c r="CC94" s="59">
        <f t="shared" si="65"/>
        <v>801.14056019463919</v>
      </c>
      <c r="CD94" s="59">
        <f ca="1">AVERAGE(OFFSET($CC$3,0,0,'Données projet'!$E$12+1,1))-AVERAGE(OFFSET($H$3,0,0,'Données projet'!$E$12+1,1))</f>
        <v>216.16148211123436</v>
      </c>
      <c r="CE94" s="59">
        <f t="shared" si="94"/>
        <v>132.59131750490178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65.301441236982441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65.301441236982441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83.241599999999963</v>
      </c>
      <c r="D95" s="11">
        <f t="shared" si="86"/>
        <v>22.927930643846508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819.55427163670959</v>
      </c>
      <c r="H95" s="66">
        <f t="shared" si="56"/>
        <v>478.24526587136592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763.00000000000057</v>
      </c>
      <c r="O95" s="13">
        <f>N95*VLOOKUP('Données projet'!$B$9,Paramètres!$A$1:$I$89,3,0)*VLOOKUP('Données projet'!$B$9,Paramètres!$A$1:$I$89,5,0)</f>
        <v>456.2740000000004</v>
      </c>
      <c r="P95" s="13">
        <f t="shared" si="87"/>
        <v>103.09649786611838</v>
      </c>
      <c r="Q95" s="20">
        <f t="shared" si="54"/>
        <v>974.23695045015677</v>
      </c>
      <c r="R95" s="59">
        <f t="shared" si="55"/>
        <v>1267.5702837834901</v>
      </c>
      <c r="S95" s="59">
        <f ca="1">AVERAGE(OFFSET($R$3,0,0,'Données projet'!$E$9+1,1))-AVERAGE(OFFSET($H$3,0,0,'Données projet'!$E$9+1,1))</f>
        <v>443.63756287217456</v>
      </c>
      <c r="T95" s="59">
        <f t="shared" si="88"/>
        <v>384.990641425788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83.911201872271505</v>
      </c>
      <c r="AA95" s="21">
        <f>EXP(-LN(2)/25)*AA94+(1-EXP(-LN(2)/25))/(LN(2)/25)*Calculateur!V95*Calculateur!X95*VLOOKUP('Données projet'!$B$9,Paramètres!$A$1:$I$89,3,0)*0.475*44/12</f>
        <v>11.726415194059179</v>
      </c>
      <c r="AB95" s="21">
        <f>EXP(-LN(2)/2)*AB94+(1-EXP(-LN(2)/2))/(LN(2)/2)*V95*Y95*VLOOKUP('Données projet'!$B$9,Paramètres!$A$1:$I$89,3,0)*0.475*44/12</f>
        <v>3.6576419090484769E-11</v>
      </c>
      <c r="AC95" s="22">
        <f t="shared" si="57"/>
        <v>95.637617066367255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137.97244371990928</v>
      </c>
      <c r="AO95" s="59">
        <f t="shared" si="90"/>
        <v>340.50331317844757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36.178329000911489</v>
      </c>
      <c r="AV95" s="21">
        <f>EXP(-LN(2)/25)*AV94+(1-EXP(-LN(2)/25))/(LN(2)/25)*Calculateur!AQ95*Calculateur!AS95*VLOOKUP('Données projet'!$B$10,Paramètres!$A$1:$I$89,3,0)*0.475*44/12</f>
        <v>2.5770523187981715</v>
      </c>
      <c r="AW95" s="21">
        <f>EXP(-LN(2)/2)*AW94+(1-EXP(-LN(2)/2))/(LN(2)/2)*AQ95*AT95*VLOOKUP('Données projet'!$B$10,Paramètres!$A$1:$I$89,3,0)*0.475*44/12</f>
        <v>2.0937065595088011E-11</v>
      </c>
      <c r="AX95" s="21">
        <f t="shared" si="60"/>
        <v>38.755381319730603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137.97244371990928</v>
      </c>
      <c r="BJ95" s="59">
        <f t="shared" si="92"/>
        <v>340.50331317844757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36.178329000911489</v>
      </c>
      <c r="BQ95" s="21">
        <f>EXP(-LN(2)/25)*BQ94+(1-EXP(-LN(2)/25))/(LN(2)/25)*Calculateur!BL95*Calculateur!BN95*VLOOKUP('Données projet'!$B$11,Paramètres!$A$1:$I$89,3,0)*0.475*44/12</f>
        <v>2.5770523187981715</v>
      </c>
      <c r="BR95" s="21">
        <f>EXP(-LN(2)/2)*BR94+(1-EXP(-LN(2)/2))/(LN(2)/2)*BL95*BO95*VLOOKUP('Données projet'!$B$11,Paramètres!$A$1:$I$89,3,0)*0.475*44/12</f>
        <v>2.0937065595088011E-11</v>
      </c>
      <c r="BS95" s="22">
        <f t="shared" si="63"/>
        <v>38.755381319730603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</v>
      </c>
      <c r="BY95" s="12">
        <f>IF('Données projet'!$A$114&gt;35,BY94+BX95-CG94,IF(A95&lt;'Données projet'!$A$114,$BV$205^A95,IF(A95='Données projet'!$A$114,'Données projet'!$B$114,BY94+BX95-CG94)))</f>
        <v>263.99999999999983</v>
      </c>
      <c r="BZ95" s="13">
        <f>BY95*VLOOKUP('Données projet'!$B$12,Paramètres!$A$1:$I$89,3,0)*VLOOKUP('Données projet'!$B$12,Paramètres!$A$1:$I$89,5,0)</f>
        <v>238.86719999999983</v>
      </c>
      <c r="CA95" s="13">
        <f t="shared" si="93"/>
        <v>58.195735973104156</v>
      </c>
      <c r="CB95" s="20">
        <f t="shared" si="64"/>
        <v>517.38461348648946</v>
      </c>
      <c r="CC95" s="59">
        <f t="shared" si="65"/>
        <v>810.71794681982283</v>
      </c>
      <c r="CD95" s="59">
        <f ca="1">AVERAGE(OFFSET($CC$3,0,0,'Données projet'!$E$12+1,1))-AVERAGE(OFFSET($H$3,0,0,'Données projet'!$E$12+1,1))</f>
        <v>216.16148211123436</v>
      </c>
      <c r="CE95" s="59">
        <f t="shared" si="94"/>
        <v>132.59131750490178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64.020919804271486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64.020919804271486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84.146399999999957</v>
      </c>
      <c r="D96" s="11">
        <f t="shared" si="86"/>
        <v>23.14799971956143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828.23747151942132</v>
      </c>
      <c r="H96" s="66">
        <f t="shared" si="56"/>
        <v>480.20441284490272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763.00000000000057</v>
      </c>
      <c r="O96" s="13">
        <f>N96*VLOOKUP('Données projet'!$B$9,Paramètres!$A$1:$I$89,3,0)*VLOOKUP('Données projet'!$B$9,Paramètres!$A$1:$I$89,5,0)</f>
        <v>456.2740000000004</v>
      </c>
      <c r="P96" s="13">
        <f t="shared" si="87"/>
        <v>103.09649786611838</v>
      </c>
      <c r="Q96" s="20">
        <f t="shared" si="54"/>
        <v>974.23695045015677</v>
      </c>
      <c r="R96" s="59">
        <f t="shared" si="55"/>
        <v>1267.5702837834901</v>
      </c>
      <c r="S96" s="59">
        <f ca="1">AVERAGE(OFFSET($R$3,0,0,'Données projet'!$E$9+1,1))-AVERAGE(OFFSET($H$3,0,0,'Données projet'!$E$9+1,1))</f>
        <v>443.63756287217456</v>
      </c>
      <c r="T96" s="59">
        <f t="shared" si="88"/>
        <v>384.990641425788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82.265754384335722</v>
      </c>
      <c r="AA96" s="21">
        <f>EXP(-LN(2)/25)*AA95+(1-EXP(-LN(2)/25))/(LN(2)/25)*Calculateur!V96*Calculateur!X96*VLOOKUP('Données projet'!$B$9,Paramètres!$A$1:$I$89,3,0)*0.475*44/12</f>
        <v>11.405755753912256</v>
      </c>
      <c r="AB96" s="21">
        <f>EXP(-LN(2)/2)*AB95+(1-EXP(-LN(2)/2))/(LN(2)/2)*V96*Y96*VLOOKUP('Données projet'!$B$9,Paramètres!$A$1:$I$89,3,0)*0.475*44/12</f>
        <v>2.5863433970402874E-11</v>
      </c>
      <c r="AC96" s="22">
        <f t="shared" si="57"/>
        <v>93.671510138273845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137.97244371990928</v>
      </c>
      <c r="AO96" s="59">
        <f t="shared" si="90"/>
        <v>340.50331317844757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35.468894035805413</v>
      </c>
      <c r="AV96" s="21">
        <f>EXP(-LN(2)/25)*AV95+(1-EXP(-LN(2)/25))/(LN(2)/25)*Calculateur!AQ96*Calculateur!AS96*VLOOKUP('Données projet'!$B$10,Paramètres!$A$1:$I$89,3,0)*0.475*44/12</f>
        <v>2.506582687619344</v>
      </c>
      <c r="AW96" s="21">
        <f>EXP(-LN(2)/2)*AW95+(1-EXP(-LN(2)/2))/(LN(2)/2)*AQ96*AT96*VLOOKUP('Données projet'!$B$10,Paramètres!$A$1:$I$89,3,0)*0.475*44/12</f>
        <v>1.480474106043429E-11</v>
      </c>
      <c r="AX96" s="21">
        <f t="shared" si="60"/>
        <v>37.975476723439563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137.97244371990928</v>
      </c>
      <c r="BJ96" s="59">
        <f t="shared" si="92"/>
        <v>340.50331317844757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35.468894035805413</v>
      </c>
      <c r="BQ96" s="21">
        <f>EXP(-LN(2)/25)*BQ95+(1-EXP(-LN(2)/25))/(LN(2)/25)*Calculateur!BL96*Calculateur!BN96*VLOOKUP('Données projet'!$B$11,Paramètres!$A$1:$I$89,3,0)*0.475*44/12</f>
        <v>2.506582687619344</v>
      </c>
      <c r="BR96" s="21">
        <f>EXP(-LN(2)/2)*BR95+(1-EXP(-LN(2)/2))/(LN(2)/2)*BL96*BO96*VLOOKUP('Données projet'!$B$11,Paramètres!$A$1:$I$89,3,0)*0.475*44/12</f>
        <v>1.480474106043429E-11</v>
      </c>
      <c r="BS96" s="22">
        <f t="shared" si="63"/>
        <v>37.975476723439563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</v>
      </c>
      <c r="BY96" s="12">
        <f>IF('Données projet'!$A$114&gt;35,BY95+BX96-CG95,IF(A96&lt;'Données projet'!$A$114,$BV$205^A96,IF(A96='Données projet'!$A$114,'Données projet'!$B$114,BY95+BX96-CG95)))</f>
        <v>268.99999999999983</v>
      </c>
      <c r="BZ96" s="13">
        <f>BY96*VLOOKUP('Données projet'!$B$12,Paramètres!$A$1:$I$89,3,0)*VLOOKUP('Données projet'!$B$12,Paramètres!$A$1:$I$89,5,0)</f>
        <v>243.39119999999986</v>
      </c>
      <c r="CA96" s="13">
        <f t="shared" si="93"/>
        <v>59.168566788241527</v>
      </c>
      <c r="CB96" s="20">
        <f t="shared" si="64"/>
        <v>526.95826048952051</v>
      </c>
      <c r="CC96" s="59">
        <f t="shared" si="65"/>
        <v>820.29159382285388</v>
      </c>
      <c r="CD96" s="59">
        <f ca="1">AVERAGE(OFFSET($CC$3,0,0,'Données projet'!$E$12+1,1))-AVERAGE(OFFSET($H$3,0,0,'Données projet'!$E$12+1,1))</f>
        <v>216.16148211123436</v>
      </c>
      <c r="CE96" s="59">
        <f t="shared" si="94"/>
        <v>132.59131750490178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62.765508615815044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62.765508615815044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85.051199999999952</v>
      </c>
      <c r="D97" s="11">
        <f t="shared" si="86"/>
        <v>23.367793520672731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836.91854647536809</v>
      </c>
      <c r="H97" s="66">
        <f t="shared" si="56"/>
        <v>482.1630803818382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763.00000000000057</v>
      </c>
      <c r="O97" s="13">
        <f>N97*VLOOKUP('Données projet'!$B$9,Paramètres!$A$1:$I$89,3,0)*VLOOKUP('Données projet'!$B$9,Paramètres!$A$1:$I$89,5,0)</f>
        <v>456.2740000000004</v>
      </c>
      <c r="P97" s="13">
        <f t="shared" si="87"/>
        <v>103.09649786611838</v>
      </c>
      <c r="Q97" s="20">
        <f t="shared" si="54"/>
        <v>974.23695045015677</v>
      </c>
      <c r="R97" s="59">
        <f t="shared" si="55"/>
        <v>1267.5702837834901</v>
      </c>
      <c r="S97" s="59">
        <f ca="1">AVERAGE(OFFSET($R$3,0,0,'Données projet'!$E$9+1,1))-AVERAGE(OFFSET($H$3,0,0,'Données projet'!$E$9+1,1))</f>
        <v>443.63756287217456</v>
      </c>
      <c r="T97" s="59">
        <f t="shared" si="88"/>
        <v>384.990641425788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80.652573118014487</v>
      </c>
      <c r="AA97" s="21">
        <f>EXP(-LN(2)/25)*AA96+(1-EXP(-LN(2)/25))/(LN(2)/25)*Calculateur!V97*Calculateur!X97*VLOOKUP('Données projet'!$B$9,Paramètres!$A$1:$I$89,3,0)*0.475*44/12</f>
        <v>11.0938647630189</v>
      </c>
      <c r="AB97" s="21">
        <f>EXP(-LN(2)/2)*AB96+(1-EXP(-LN(2)/2))/(LN(2)/2)*V97*Y97*VLOOKUP('Données projet'!$B$9,Paramètres!$A$1:$I$89,3,0)*0.475*44/12</f>
        <v>1.8288209545242385E-11</v>
      </c>
      <c r="AC97" s="22">
        <f t="shared" si="57"/>
        <v>91.746437881051676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137.97244371990928</v>
      </c>
      <c r="AO97" s="59">
        <f t="shared" si="90"/>
        <v>340.50331317844757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34.773370657652464</v>
      </c>
      <c r="AV97" s="21">
        <f>EXP(-LN(2)/25)*AV96+(1-EXP(-LN(2)/25))/(LN(2)/25)*Calculateur!AQ97*Calculateur!AS97*VLOOKUP('Données projet'!$B$10,Paramètres!$A$1:$I$89,3,0)*0.475*44/12</f>
        <v>2.4380400522109382</v>
      </c>
      <c r="AW97" s="21">
        <f>EXP(-LN(2)/2)*AW96+(1-EXP(-LN(2)/2))/(LN(2)/2)*AQ97*AT97*VLOOKUP('Données projet'!$B$10,Paramètres!$A$1:$I$89,3,0)*0.475*44/12</f>
        <v>1.0468532797544005E-11</v>
      </c>
      <c r="AX97" s="21">
        <f t="shared" si="60"/>
        <v>37.211410709873867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137.97244371990928</v>
      </c>
      <c r="BJ97" s="59">
        <f t="shared" si="92"/>
        <v>340.50331317844757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34.773370657652464</v>
      </c>
      <c r="BQ97" s="21">
        <f>EXP(-LN(2)/25)*BQ96+(1-EXP(-LN(2)/25))/(LN(2)/25)*Calculateur!BL97*Calculateur!BN97*VLOOKUP('Données projet'!$B$11,Paramètres!$A$1:$I$89,3,0)*0.475*44/12</f>
        <v>2.4380400522109382</v>
      </c>
      <c r="BR97" s="21">
        <f>EXP(-LN(2)/2)*BR96+(1-EXP(-LN(2)/2))/(LN(2)/2)*BL97*BO97*VLOOKUP('Données projet'!$B$11,Paramètres!$A$1:$I$89,3,0)*0.475*44/12</f>
        <v>1.0468532797544005E-11</v>
      </c>
      <c r="BS97" s="22">
        <f t="shared" si="63"/>
        <v>37.211410709873867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</v>
      </c>
      <c r="BY97" s="12">
        <f>IF('Données projet'!$A$114&gt;35,BY96+BX97-CG96,IF(A97&lt;'Données projet'!$A$114,$BV$205^A97,IF(A97='Données projet'!$A$114,'Données projet'!$B$114,BY96+BX97-CG96)))</f>
        <v>273.99999999999983</v>
      </c>
      <c r="BZ97" s="13">
        <f>BY97*VLOOKUP('Données projet'!$B$12,Paramètres!$A$1:$I$89,3,0)*VLOOKUP('Données projet'!$B$12,Paramètres!$A$1:$I$89,5,0)</f>
        <v>247.91519999999986</v>
      </c>
      <c r="CA97" s="13">
        <f t="shared" si="93"/>
        <v>60.139294964297406</v>
      </c>
      <c r="CB97" s="20">
        <f t="shared" si="64"/>
        <v>536.52824539615096</v>
      </c>
      <c r="CC97" s="59">
        <f t="shared" si="65"/>
        <v>829.86157872948434</v>
      </c>
      <c r="CD97" s="59">
        <f ca="1">AVERAGE(OFFSET($CC$3,0,0,'Données projet'!$E$12+1,1))-AVERAGE(OFFSET($H$3,0,0,'Données projet'!$E$12+1,1))</f>
        <v>216.16148211123436</v>
      </c>
      <c r="CE97" s="59">
        <f t="shared" si="94"/>
        <v>132.59131750490178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61.534715275039019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61.534715275039019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85.955999999999946</v>
      </c>
      <c r="D98" s="11">
        <f t="shared" si="86"/>
        <v>23.587315314606048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845.59752172678316</v>
      </c>
      <c r="H98" s="66">
        <f t="shared" si="56"/>
        <v>484.12127417293874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763.00000000000057</v>
      </c>
      <c r="O98" s="13">
        <f>N98*VLOOKUP('Données projet'!$B$9,Paramètres!$A$1:$I$89,3,0)*VLOOKUP('Données projet'!$B$9,Paramètres!$A$1:$I$89,5,0)</f>
        <v>456.2740000000004</v>
      </c>
      <c r="P98" s="13">
        <f t="shared" si="87"/>
        <v>103.09649786611838</v>
      </c>
      <c r="Q98" s="20">
        <f t="shared" si="54"/>
        <v>974.23695045015677</v>
      </c>
      <c r="R98" s="59">
        <f t="shared" si="55"/>
        <v>1267.5702837834901</v>
      </c>
      <c r="S98" s="59">
        <f ca="1">AVERAGE(OFFSET($R$3,0,0,'Données projet'!$E$9+1,1))-AVERAGE(OFFSET($H$3,0,0,'Données projet'!$E$9+1,1))</f>
        <v>443.63756287217456</v>
      </c>
      <c r="T98" s="59">
        <f t="shared" si="88"/>
        <v>384.990641425788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79.071025352382392</v>
      </c>
      <c r="AA98" s="21">
        <f>EXP(-LN(2)/25)*AA97+(1-EXP(-LN(2)/25))/(LN(2)/25)*Calculateur!V98*Calculateur!X98*VLOOKUP('Données projet'!$B$9,Paramètres!$A$1:$I$89,3,0)*0.475*44/12</f>
        <v>10.790502447673155</v>
      </c>
      <c r="AB98" s="21">
        <f>EXP(-LN(2)/2)*AB97+(1-EXP(-LN(2)/2))/(LN(2)/2)*V98*Y98*VLOOKUP('Données projet'!$B$9,Paramètres!$A$1:$I$89,3,0)*0.475*44/12</f>
        <v>1.2931716985201437E-11</v>
      </c>
      <c r="AC98" s="22">
        <f t="shared" si="57"/>
        <v>89.861527800068473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137.97244371990928</v>
      </c>
      <c r="AO98" s="59">
        <f t="shared" si="90"/>
        <v>340.50331317844757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34.091486068717721</v>
      </c>
      <c r="AV98" s="21">
        <f>EXP(-LN(2)/25)*AV97+(1-EXP(-LN(2)/25))/(LN(2)/25)*Calculateur!AQ98*Calculateur!AS98*VLOOKUP('Données projet'!$B$10,Paramètres!$A$1:$I$89,3,0)*0.475*44/12</f>
        <v>2.3713717187722758</v>
      </c>
      <c r="AW98" s="21">
        <f>EXP(-LN(2)/2)*AW97+(1-EXP(-LN(2)/2))/(LN(2)/2)*AQ98*AT98*VLOOKUP('Données projet'!$B$10,Paramètres!$A$1:$I$89,3,0)*0.475*44/12</f>
        <v>7.4023705302171452E-12</v>
      </c>
      <c r="AX98" s="21">
        <f t="shared" si="60"/>
        <v>36.462857787497398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137.97244371990928</v>
      </c>
      <c r="BJ98" s="59">
        <f t="shared" si="92"/>
        <v>340.50331317844757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34.091486068717721</v>
      </c>
      <c r="BQ98" s="21">
        <f>EXP(-LN(2)/25)*BQ97+(1-EXP(-LN(2)/25))/(LN(2)/25)*Calculateur!BL98*Calculateur!BN98*VLOOKUP('Données projet'!$B$11,Paramètres!$A$1:$I$89,3,0)*0.475*44/12</f>
        <v>2.3713717187722758</v>
      </c>
      <c r="BR98" s="21">
        <f>EXP(-LN(2)/2)*BR97+(1-EXP(-LN(2)/2))/(LN(2)/2)*BL98*BO98*VLOOKUP('Données projet'!$B$11,Paramètres!$A$1:$I$89,3,0)*0.475*44/12</f>
        <v>7.4023705302171452E-12</v>
      </c>
      <c r="BS98" s="22">
        <f t="shared" si="63"/>
        <v>36.462857787497398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279</v>
      </c>
      <c r="BW98" s="12">
        <f>VLOOKUP(A98,'Données projet'!$A$113:$I$133,9,0)</f>
        <v>5</v>
      </c>
      <c r="BX98" s="12">
        <f t="array" ref="BX98">INDEX(BW:BW,MIN(IF(ISNUMBER(BW98:BW294),ROW(BW98:BW294),"")))</f>
        <v>5</v>
      </c>
      <c r="BY98" s="12">
        <f>IF('Données projet'!$A$114&gt;35,BY97+BX98-CG97,IF(A98&lt;'Données projet'!$A$114,$BV$205^A98,IF(A98='Données projet'!$A$114,'Données projet'!$B$114,BY97+BX98-CG97)))</f>
        <v>278.99999999999983</v>
      </c>
      <c r="BZ98" s="13">
        <f>BY98*VLOOKUP('Données projet'!$B$12,Paramètres!$A$1:$I$89,3,0)*VLOOKUP('Données projet'!$B$12,Paramètres!$A$1:$I$89,5,0)</f>
        <v>252.43919999999983</v>
      </c>
      <c r="CA98" s="13">
        <f t="shared" si="93"/>
        <v>61.107963296116218</v>
      </c>
      <c r="CB98" s="20">
        <f t="shared" si="64"/>
        <v>546.09464274073537</v>
      </c>
      <c r="CC98" s="59">
        <f t="shared" si="65"/>
        <v>839.42797607406874</v>
      </c>
      <c r="CD98" s="59">
        <f ca="1">AVERAGE(OFFSET($CC$3,0,0,'Données projet'!$E$12+1,1))-AVERAGE(OFFSET($H$3,0,0,'Données projet'!$E$12+1,1))</f>
        <v>216.16148211123436</v>
      </c>
      <c r="CE98" s="59">
        <f t="shared" si="94"/>
        <v>132.59131750490178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69.360130323560554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69.360130323560554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86.860799999999941</v>
      </c>
      <c r="D99" s="11">
        <f t="shared" si="86"/>
        <v>23.806568296036275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854.27442193431477</v>
      </c>
      <c r="H99" s="66">
        <f t="shared" si="56"/>
        <v>486.07899978226305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763.00000000000057</v>
      </c>
      <c r="O99" s="13">
        <f>N99*VLOOKUP('Données projet'!$B$9,Paramètres!$A$1:$I$89,3,0)*VLOOKUP('Données projet'!$B$9,Paramètres!$A$1:$I$89,5,0)</f>
        <v>456.2740000000004</v>
      </c>
      <c r="P99" s="13">
        <f t="shared" si="87"/>
        <v>103.09649786611838</v>
      </c>
      <c r="Q99" s="20">
        <f t="shared" ref="Q99:Q130" si="107">(O99+P99)*0.475*44/12</f>
        <v>974.23695045015677</v>
      </c>
      <c r="R99" s="59">
        <f t="shared" si="55"/>
        <v>1267.5702837834901</v>
      </c>
      <c r="S99" s="59">
        <f ca="1">AVERAGE(OFFSET($R$3,0,0,'Données projet'!$E$9+1,1))-AVERAGE(OFFSET($H$3,0,0,'Données projet'!$E$9+1,1))</f>
        <v>443.63756287217456</v>
      </c>
      <c r="T99" s="59">
        <f t="shared" si="88"/>
        <v>384.990641425788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77.520490773785468</v>
      </c>
      <c r="AA99" s="21">
        <f>EXP(-LN(2)/25)*AA98+(1-EXP(-LN(2)/25))/(LN(2)/25)*Calculateur!V99*Calculateur!X99*VLOOKUP('Données projet'!$B$9,Paramètres!$A$1:$I$89,3,0)*0.475*44/12</f>
        <v>10.49543559079367</v>
      </c>
      <c r="AB99" s="21">
        <f>EXP(-LN(2)/2)*AB98+(1-EXP(-LN(2)/2))/(LN(2)/2)*V99*Y99*VLOOKUP('Données projet'!$B$9,Paramètres!$A$1:$I$89,3,0)*0.475*44/12</f>
        <v>9.1441047726211923E-12</v>
      </c>
      <c r="AC99" s="22">
        <f t="shared" si="57"/>
        <v>88.015926364588282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137.97244371990928</v>
      </c>
      <c r="AO99" s="59">
        <f t="shared" si="90"/>
        <v>340.50331317844757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33.422972820663453</v>
      </c>
      <c r="AV99" s="21">
        <f>EXP(-LN(2)/25)*AV98+(1-EXP(-LN(2)/25))/(LN(2)/25)*Calculateur!AQ99*Calculateur!AS99*VLOOKUP('Données projet'!$B$10,Paramètres!$A$1:$I$89,3,0)*0.475*44/12</f>
        <v>2.306526434417429</v>
      </c>
      <c r="AW99" s="21">
        <f>EXP(-LN(2)/2)*AW98+(1-EXP(-LN(2)/2))/(LN(2)/2)*AQ99*AT99*VLOOKUP('Données projet'!$B$10,Paramètres!$A$1:$I$89,3,0)*0.475*44/12</f>
        <v>5.2342663987720027E-12</v>
      </c>
      <c r="AX99" s="21">
        <f t="shared" si="60"/>
        <v>35.729499255086118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137.97244371990928</v>
      </c>
      <c r="BJ99" s="59">
        <f t="shared" si="92"/>
        <v>340.50331317844757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33.422972820663453</v>
      </c>
      <c r="BQ99" s="21">
        <f>EXP(-LN(2)/25)*BQ98+(1-EXP(-LN(2)/25))/(LN(2)/25)*Calculateur!BL99*Calculateur!BN99*VLOOKUP('Données projet'!$B$11,Paramètres!$A$1:$I$89,3,0)*0.475*44/12</f>
        <v>2.306526434417429</v>
      </c>
      <c r="BR99" s="21">
        <f>EXP(-LN(2)/2)*BR98+(1-EXP(-LN(2)/2))/(LN(2)/2)*BL99*BO99*VLOOKUP('Données projet'!$B$11,Paramètres!$A$1:$I$89,3,0)*0.475*44/12</f>
        <v>5.2342663987720027E-12</v>
      </c>
      <c r="BS99" s="22">
        <f t="shared" si="63"/>
        <v>35.729499255086118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4.8</v>
      </c>
      <c r="BY99" s="12">
        <f>IF('Données projet'!$A$114&gt;35,BY98+BX99-CG98,IF(A99&lt;'Données projet'!$A$114,$BV$205^A99,IF(A99='Données projet'!$A$114,'Données projet'!$B$114,BY98+BX99-CG98)))</f>
        <v>262.79999999999984</v>
      </c>
      <c r="BZ99" s="13">
        <f>BY99*VLOOKUP('Données projet'!$B$12,Paramètres!$A$1:$I$89,3,0)*VLOOKUP('Données projet'!$B$12,Paramètres!$A$1:$I$89,5,0)</f>
        <v>237.78143999999983</v>
      </c>
      <c r="CA99" s="13">
        <f t="shared" si="93"/>
        <v>57.9619387969109</v>
      </c>
      <c r="CB99" s="20">
        <f t="shared" si="64"/>
        <v>515.08638473795281</v>
      </c>
      <c r="CC99" s="59">
        <f t="shared" si="65"/>
        <v>808.41971807128607</v>
      </c>
      <c r="CD99" s="59">
        <f ca="1">AVERAGE(OFFSET($CC$3,0,0,'Données projet'!$E$12+1,1))-AVERAGE(OFFSET($H$3,0,0,'Données projet'!$E$12+1,1))</f>
        <v>216.16148211123436</v>
      </c>
      <c r="CE99" s="59">
        <f t="shared" si="94"/>
        <v>132.59131750490178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68.000020473417706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68.000020473417706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87.765599999999935</v>
      </c>
      <c r="D100" s="11">
        <f t="shared" si="86"/>
        <v>24.025555589247933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862.94927121524677</v>
      </c>
      <c r="H100" s="66">
        <f t="shared" si="56"/>
        <v>488.03626265127332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763.00000000000057</v>
      </c>
      <c r="O100" s="13">
        <f>N100*VLOOKUP('Données projet'!$B$9,Paramètres!$A$1:$I$89,3,0)*VLOOKUP('Données projet'!$B$9,Paramètres!$A$1:$I$89,5,0)</f>
        <v>456.2740000000004</v>
      </c>
      <c r="P100" s="13">
        <f t="shared" si="87"/>
        <v>103.09649786611838</v>
      </c>
      <c r="Q100" s="20">
        <f t="shared" si="107"/>
        <v>974.23695045015677</v>
      </c>
      <c r="R100" s="59">
        <f t="shared" si="55"/>
        <v>1267.5702837834901</v>
      </c>
      <c r="S100" s="59">
        <f ca="1">AVERAGE(OFFSET($R$3,0,0,'Données projet'!$E$9+1,1))-AVERAGE(OFFSET($H$3,0,0,'Données projet'!$E$9+1,1))</f>
        <v>443.63756287217456</v>
      </c>
      <c r="T100" s="59">
        <f t="shared" si="88"/>
        <v>384.990641425788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76.000361232542119</v>
      </c>
      <c r="AA100" s="21">
        <f>EXP(-LN(2)/25)*AA99+(1-EXP(-LN(2)/25))/(LN(2)/25)*Calculateur!V100*Calculateur!X100*VLOOKUP('Données projet'!$B$9,Paramètres!$A$1:$I$89,3,0)*0.475*44/12</f>
        <v>10.208437352632448</v>
      </c>
      <c r="AB100" s="21">
        <f>EXP(-LN(2)/2)*AB99+(1-EXP(-LN(2)/2))/(LN(2)/2)*V100*Y100*VLOOKUP('Données projet'!$B$9,Paramètres!$A$1:$I$89,3,0)*0.475*44/12</f>
        <v>6.4658584926007184E-12</v>
      </c>
      <c r="AC100" s="22">
        <f t="shared" si="57"/>
        <v>86.208798585181029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137.97244371990928</v>
      </c>
      <c r="AO100" s="59">
        <f t="shared" si="90"/>
        <v>340.50331317844757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32.76756870965071</v>
      </c>
      <c r="AV100" s="21">
        <f>EXP(-LN(2)/25)*AV99+(1-EXP(-LN(2)/25))/(LN(2)/25)*Calculateur!AQ100*Calculateur!AS100*VLOOKUP('Données projet'!$B$10,Paramètres!$A$1:$I$89,3,0)*0.475*44/12</f>
        <v>2.2434543477733309</v>
      </c>
      <c r="AW100" s="21">
        <f>EXP(-LN(2)/2)*AW99+(1-EXP(-LN(2)/2))/(LN(2)/2)*AQ100*AT100*VLOOKUP('Données projet'!$B$10,Paramètres!$A$1:$I$89,3,0)*0.475*44/12</f>
        <v>3.7011852651085726E-12</v>
      </c>
      <c r="AX100" s="21">
        <f t="shared" si="60"/>
        <v>35.011023057427742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137.97244371990928</v>
      </c>
      <c r="BJ100" s="59">
        <f t="shared" si="92"/>
        <v>340.50331317844757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32.76756870965071</v>
      </c>
      <c r="BQ100" s="21">
        <f>EXP(-LN(2)/25)*BQ99+(1-EXP(-LN(2)/25))/(LN(2)/25)*Calculateur!BL100*Calculateur!BN100*VLOOKUP('Données projet'!$B$11,Paramètres!$A$1:$I$89,3,0)*0.475*44/12</f>
        <v>2.2434543477733309</v>
      </c>
      <c r="BR100" s="21">
        <f>EXP(-LN(2)/2)*BR99+(1-EXP(-LN(2)/2))/(LN(2)/2)*BL100*BO100*VLOOKUP('Données projet'!$B$11,Paramètres!$A$1:$I$89,3,0)*0.475*44/12</f>
        <v>3.7011852651085726E-12</v>
      </c>
      <c r="BS100" s="22">
        <f t="shared" si="63"/>
        <v>35.011023057427742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4.8</v>
      </c>
      <c r="BY100" s="12">
        <f>IF('Données projet'!$A$114&gt;35,BY99+BX100-CG99,IF(A100&lt;'Données projet'!$A$114,$BV$205^A100,IF(A100='Données projet'!$A$114,'Données projet'!$B$114,BY99+BX100-CG99)))</f>
        <v>267.59999999999985</v>
      </c>
      <c r="BZ100" s="13">
        <f>BY100*VLOOKUP('Données projet'!$B$12,Paramètres!$A$1:$I$89,3,0)*VLOOKUP('Données projet'!$B$12,Paramètres!$A$1:$I$89,5,0)</f>
        <v>242.12447999999986</v>
      </c>
      <c r="CA100" s="13">
        <f t="shared" si="93"/>
        <v>58.896387987806008</v>
      </c>
      <c r="CB100" s="20">
        <f t="shared" si="64"/>
        <v>524.27801174542856</v>
      </c>
      <c r="CC100" s="59">
        <f t="shared" si="65"/>
        <v>817.61134507876181</v>
      </c>
      <c r="CD100" s="59">
        <f ca="1">AVERAGE(OFFSET($CC$3,0,0,'Données projet'!$E$12+1,1))-AVERAGE(OFFSET($H$3,0,0,'Données projet'!$E$12+1,1))</f>
        <v>216.16148211123436</v>
      </c>
      <c r="CE100" s="59">
        <f t="shared" si="94"/>
        <v>132.59131750490178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66.666581547851067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66.666581547851067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88.67039999999993</v>
      </c>
      <c r="D101" s="11">
        <f t="shared" si="86"/>
        <v>24.244280250395491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871.6220931609472</v>
      </c>
      <c r="H101" s="66">
        <f t="shared" si="56"/>
        <v>489.99306810277199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763.00000000000057</v>
      </c>
      <c r="O101" s="13">
        <f>N101*VLOOKUP('Données projet'!$B$9,Paramètres!$A$1:$I$89,3,0)*VLOOKUP('Données projet'!$B$9,Paramètres!$A$1:$I$89,5,0)</f>
        <v>456.2740000000004</v>
      </c>
      <c r="P101" s="13">
        <f t="shared" si="87"/>
        <v>103.09649786611838</v>
      </c>
      <c r="Q101" s="20">
        <f t="shared" si="107"/>
        <v>974.23695045015677</v>
      </c>
      <c r="R101" s="59">
        <f t="shared" si="55"/>
        <v>1267.5702837834901</v>
      </c>
      <c r="S101" s="59">
        <f ca="1">AVERAGE(OFFSET($R$3,0,0,'Données projet'!$E$9+1,1))-AVERAGE(OFFSET($H$3,0,0,'Données projet'!$E$9+1,1))</f>
        <v>443.63756287217456</v>
      </c>
      <c r="T101" s="59">
        <f t="shared" si="88"/>
        <v>384.990641425788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74.510040504415073</v>
      </c>
      <c r="AA101" s="21">
        <f>EXP(-LN(2)/25)*AA100+(1-EXP(-LN(2)/25))/(LN(2)/25)*Calculateur!V101*Calculateur!X101*VLOOKUP('Données projet'!$B$9,Paramètres!$A$1:$I$89,3,0)*0.475*44/12</f>
        <v>9.9292870963863251</v>
      </c>
      <c r="AB101" s="21">
        <f>EXP(-LN(2)/2)*AB100+(1-EXP(-LN(2)/2))/(LN(2)/2)*V101*Y101*VLOOKUP('Données projet'!$B$9,Paramètres!$A$1:$I$89,3,0)*0.475*44/12</f>
        <v>4.5720523863105961E-12</v>
      </c>
      <c r="AC101" s="22">
        <f t="shared" si="57"/>
        <v>84.439327600805967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137.97244371990928</v>
      </c>
      <c r="AO101" s="59">
        <f t="shared" si="90"/>
        <v>340.50331317844757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32.125016673497896</v>
      </c>
      <c r="AV101" s="21">
        <f>EXP(-LN(2)/25)*AV100+(1-EXP(-LN(2)/25))/(LN(2)/25)*Calculateur!AQ101*Calculateur!AS101*VLOOKUP('Données projet'!$B$10,Paramètres!$A$1:$I$89,3,0)*0.475*44/12</f>
        <v>2.1821069706553327</v>
      </c>
      <c r="AW101" s="21">
        <f>EXP(-LN(2)/2)*AW100+(1-EXP(-LN(2)/2))/(LN(2)/2)*AQ101*AT101*VLOOKUP('Données projet'!$B$10,Paramètres!$A$1:$I$89,3,0)*0.475*44/12</f>
        <v>2.6171331993860014E-12</v>
      </c>
      <c r="AX101" s="21">
        <f t="shared" si="60"/>
        <v>34.307123644155844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137.97244371990928</v>
      </c>
      <c r="BJ101" s="59">
        <f t="shared" si="92"/>
        <v>340.50331317844757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32.125016673497896</v>
      </c>
      <c r="BQ101" s="21">
        <f>EXP(-LN(2)/25)*BQ100+(1-EXP(-LN(2)/25))/(LN(2)/25)*Calculateur!BL101*Calculateur!BN101*VLOOKUP('Données projet'!$B$11,Paramètres!$A$1:$I$89,3,0)*0.475*44/12</f>
        <v>2.1821069706553327</v>
      </c>
      <c r="BR101" s="21">
        <f>EXP(-LN(2)/2)*BR100+(1-EXP(-LN(2)/2))/(LN(2)/2)*BL101*BO101*VLOOKUP('Données projet'!$B$11,Paramètres!$A$1:$I$89,3,0)*0.475*44/12</f>
        <v>2.6171331993860014E-12</v>
      </c>
      <c r="BS101" s="22">
        <f t="shared" si="63"/>
        <v>34.307123644155844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4.8</v>
      </c>
      <c r="BY101" s="12">
        <f>IF('Données projet'!$A$114&gt;35,BY100+BX101-CG100,IF(A101&lt;'Données projet'!$A$114,$BV$205^A101,IF(A101='Données projet'!$A$114,'Données projet'!$B$114,BY100+BX101-CG100)))</f>
        <v>272.39999999999986</v>
      </c>
      <c r="BZ101" s="13">
        <f>BY101*VLOOKUP('Données projet'!$B$12,Paramètres!$A$1:$I$89,3,0)*VLOOKUP('Données projet'!$B$12,Paramètres!$A$1:$I$89,5,0)</f>
        <v>246.46751999999987</v>
      </c>
      <c r="CA101" s="13">
        <f t="shared" si="93"/>
        <v>59.828888074216977</v>
      </c>
      <c r="CB101" s="20">
        <f t="shared" si="64"/>
        <v>533.46624406259423</v>
      </c>
      <c r="CC101" s="59">
        <f t="shared" si="65"/>
        <v>826.7995773959276</v>
      </c>
      <c r="CD101" s="59">
        <f ca="1">AVERAGE(OFFSET($CC$3,0,0,'Données projet'!$E$12+1,1))-AVERAGE(OFFSET($H$3,0,0,'Données projet'!$E$12+1,1))</f>
        <v>216.16148211123436</v>
      </c>
      <c r="CE101" s="59">
        <f t="shared" si="94"/>
        <v>132.59131750490178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65.359290546297359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65.359290546297359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89.575199999999924</v>
      </c>
      <c r="D102" s="11">
        <f t="shared" si="86"/>
        <v>24.46274526966867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880.29291085358227</v>
      </c>
      <c r="H102" s="66">
        <f t="shared" si="56"/>
        <v>491.94942134467277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763.00000000000057</v>
      </c>
      <c r="O102" s="13">
        <f>N102*VLOOKUP('Données projet'!$B$9,Paramètres!$A$1:$I$89,3,0)*VLOOKUP('Données projet'!$B$9,Paramètres!$A$1:$I$89,5,0)</f>
        <v>456.2740000000004</v>
      </c>
      <c r="P102" s="13">
        <f t="shared" si="87"/>
        <v>103.09649786611838</v>
      </c>
      <c r="Q102" s="20">
        <f t="shared" si="107"/>
        <v>974.23695045015677</v>
      </c>
      <c r="R102" s="59">
        <f t="shared" si="55"/>
        <v>1267.5702837834901</v>
      </c>
      <c r="S102" s="59">
        <f ca="1">AVERAGE(OFFSET($R$3,0,0,'Données projet'!$E$9+1,1))-AVERAGE(OFFSET($H$3,0,0,'Données projet'!$E$9+1,1))</f>
        <v>443.63756287217456</v>
      </c>
      <c r="T102" s="59">
        <f t="shared" si="88"/>
        <v>384.990641425788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73.048944056760718</v>
      </c>
      <c r="AA102" s="21">
        <f>EXP(-LN(2)/25)*AA101+(1-EXP(-LN(2)/25))/(LN(2)/25)*Calculateur!V102*Calculateur!X102*VLOOKUP('Données projet'!$B$9,Paramètres!$A$1:$I$89,3,0)*0.475*44/12</f>
        <v>9.6577702185771255</v>
      </c>
      <c r="AB102" s="21">
        <f>EXP(-LN(2)/2)*AB101+(1-EXP(-LN(2)/2))/(LN(2)/2)*V102*Y102*VLOOKUP('Données projet'!$B$9,Paramètres!$A$1:$I$89,3,0)*0.475*44/12</f>
        <v>3.2329292463003592E-12</v>
      </c>
      <c r="AC102" s="22">
        <f t="shared" si="57"/>
        <v>82.706714275341071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137.97244371990928</v>
      </c>
      <c r="AO102" s="59">
        <f t="shared" si="90"/>
        <v>340.50331317844757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31.495064690855994</v>
      </c>
      <c r="AV102" s="21">
        <f>EXP(-LN(2)/25)*AV101+(1-EXP(-LN(2)/25))/(LN(2)/25)*Calculateur!AQ102*Calculateur!AS102*VLOOKUP('Données projet'!$B$10,Paramètres!$A$1:$I$89,3,0)*0.475*44/12</f>
        <v>2.1224371407907441</v>
      </c>
      <c r="AW102" s="21">
        <f>EXP(-LN(2)/2)*AW101+(1-EXP(-LN(2)/2))/(LN(2)/2)*AQ102*AT102*VLOOKUP('Données projet'!$B$10,Paramètres!$A$1:$I$89,3,0)*0.475*44/12</f>
        <v>1.8505926325542863E-12</v>
      </c>
      <c r="AX102" s="21">
        <f t="shared" si="60"/>
        <v>33.617501831648582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137.97244371990928</v>
      </c>
      <c r="BJ102" s="59">
        <f t="shared" si="92"/>
        <v>340.50331317844757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31.495064690855994</v>
      </c>
      <c r="BQ102" s="21">
        <f>EXP(-LN(2)/25)*BQ101+(1-EXP(-LN(2)/25))/(LN(2)/25)*Calculateur!BL102*Calculateur!BN102*VLOOKUP('Données projet'!$B$11,Paramètres!$A$1:$I$89,3,0)*0.475*44/12</f>
        <v>2.1224371407907441</v>
      </c>
      <c r="BR102" s="21">
        <f>EXP(-LN(2)/2)*BR101+(1-EXP(-LN(2)/2))/(LN(2)/2)*BL102*BO102*VLOOKUP('Données projet'!$B$11,Paramètres!$A$1:$I$89,3,0)*0.475*44/12</f>
        <v>1.8505926325542863E-12</v>
      </c>
      <c r="BS102" s="22">
        <f t="shared" si="63"/>
        <v>33.617501831648582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4.8</v>
      </c>
      <c r="BY102" s="12">
        <f>IF('Données projet'!$A$114&gt;35,BY101+BX102-CG101,IF(A102&lt;'Données projet'!$A$114,$BV$205^A102,IF(A102='Données projet'!$A$114,'Données projet'!$B$114,BY101+BX102-CG101)))</f>
        <v>277.19999999999987</v>
      </c>
      <c r="BZ102" s="13">
        <f>BY102*VLOOKUP('Données projet'!$B$12,Paramètres!$A$1:$I$89,3,0)*VLOOKUP('Données projet'!$B$12,Paramètres!$A$1:$I$89,5,0)</f>
        <v>250.8105599999999</v>
      </c>
      <c r="CA102" s="13">
        <f t="shared" si="93"/>
        <v>60.75947736410869</v>
      </c>
      <c r="CB102" s="20">
        <f t="shared" si="64"/>
        <v>542.65114840915578</v>
      </c>
      <c r="CC102" s="59">
        <f t="shared" si="65"/>
        <v>835.98448174248915</v>
      </c>
      <c r="CD102" s="59">
        <f ca="1">AVERAGE(OFFSET($CC$3,0,0,'Données projet'!$E$12+1,1))-AVERAGE(OFFSET($H$3,0,0,'Données projet'!$E$12+1,1))</f>
        <v>216.16148211123436</v>
      </c>
      <c r="CE102" s="59">
        <f t="shared" si="94"/>
        <v>132.59131750490178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64.077634723915338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64.077634723915338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90.479999999999919</v>
      </c>
      <c r="D103" s="11">
        <f t="shared" si="86"/>
        <v>24.680953573367983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888.9617468821383</v>
      </c>
      <c r="H103" s="66">
        <f t="shared" si="56"/>
        <v>493.90532747361573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763.00000000000057</v>
      </c>
      <c r="O103" s="13">
        <f>N103*VLOOKUP('Données projet'!$B$9,Paramètres!$A$1:$I$89,3,0)*VLOOKUP('Données projet'!$B$9,Paramètres!$A$1:$I$89,5,0)</f>
        <v>456.2740000000004</v>
      </c>
      <c r="P103" s="13">
        <f t="shared" si="87"/>
        <v>103.09649786611838</v>
      </c>
      <c r="Q103" s="20">
        <f t="shared" si="107"/>
        <v>974.23695045015677</v>
      </c>
      <c r="R103" s="59">
        <f t="shared" si="55"/>
        <v>1267.5702837834901</v>
      </c>
      <c r="S103" s="59">
        <f ca="1">AVERAGE(OFFSET($R$3,0,0,'Données projet'!$E$9+1,1))-AVERAGE(OFFSET($H$3,0,0,'Données projet'!$E$9+1,1))</f>
        <v>443.63756287217456</v>
      </c>
      <c r="T103" s="59">
        <f t="shared" si="88"/>
        <v>384.990641425788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71.616498819264024</v>
      </c>
      <c r="AA103" s="21">
        <f>EXP(-LN(2)/25)*AA102+(1-EXP(-LN(2)/25))/(LN(2)/25)*Calculateur!V103*Calculateur!X103*VLOOKUP('Données projet'!$B$9,Paramètres!$A$1:$I$89,3,0)*0.475*44/12</f>
        <v>9.3936779840700719</v>
      </c>
      <c r="AB103" s="21">
        <f>EXP(-LN(2)/2)*AB102+(1-EXP(-LN(2)/2))/(LN(2)/2)*V103*Y103*VLOOKUP('Données projet'!$B$9,Paramètres!$A$1:$I$89,3,0)*0.475*44/12</f>
        <v>2.2860261931552981E-12</v>
      </c>
      <c r="AC103" s="22">
        <f t="shared" si="57"/>
        <v>81.010176803336378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137.97244371990928</v>
      </c>
      <c r="AO103" s="59">
        <f t="shared" si="90"/>
        <v>340.50331317844757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30.877465682360931</v>
      </c>
      <c r="AV103" s="21">
        <f>EXP(-LN(2)/25)*AV102+(1-EXP(-LN(2)/25))/(LN(2)/25)*Calculateur!AQ103*Calculateur!AS103*VLOOKUP('Données projet'!$B$10,Paramètres!$A$1:$I$89,3,0)*0.475*44/12</f>
        <v>2.0643989855617026</v>
      </c>
      <c r="AW103" s="21">
        <f>EXP(-LN(2)/2)*AW102+(1-EXP(-LN(2)/2))/(LN(2)/2)*AQ103*AT103*VLOOKUP('Données projet'!$B$10,Paramètres!$A$1:$I$89,3,0)*0.475*44/12</f>
        <v>1.3085665996930007E-12</v>
      </c>
      <c r="AX103" s="21">
        <f t="shared" si="60"/>
        <v>32.941864667923944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137.97244371990928</v>
      </c>
      <c r="BJ103" s="59">
        <f t="shared" si="92"/>
        <v>340.50331317844757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30.877465682360931</v>
      </c>
      <c r="BQ103" s="21">
        <f>EXP(-LN(2)/25)*BQ102+(1-EXP(-LN(2)/25))/(LN(2)/25)*Calculateur!BL103*Calculateur!BN103*VLOOKUP('Données projet'!$B$11,Paramètres!$A$1:$I$89,3,0)*0.475*44/12</f>
        <v>2.0643989855617026</v>
      </c>
      <c r="BR103" s="21">
        <f>EXP(-LN(2)/2)*BR102+(1-EXP(-LN(2)/2))/(LN(2)/2)*BL103*BO103*VLOOKUP('Données projet'!$B$11,Paramètres!$A$1:$I$89,3,0)*0.475*44/12</f>
        <v>1.3085665996930007E-12</v>
      </c>
      <c r="BS103" s="22">
        <f t="shared" si="63"/>
        <v>32.941864667923944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4.8</v>
      </c>
      <c r="BX103" s="12">
        <f t="array" ref="BX103">INDEX(BW:BW,MIN(IF(ISNUMBER(BW103:BW299),ROW(BW103:BW299),"")))</f>
        <v>4.8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255.15359999999987</v>
      </c>
      <c r="CA103" s="13">
        <f t="shared" si="93"/>
        <v>61.688192762754376</v>
      </c>
      <c r="CB103" s="20">
        <f t="shared" si="64"/>
        <v>551.83278906179692</v>
      </c>
      <c r="CC103" s="59">
        <f t="shared" si="65"/>
        <v>845.16612239513029</v>
      </c>
      <c r="CD103" s="59">
        <f ca="1">AVERAGE(OFFSET($CC$3,0,0,'Données projet'!$E$12+1,1))-AVERAGE(OFFSET($H$3,0,0,'Données projet'!$E$12+1,1))</f>
        <v>216.16148211123436</v>
      </c>
      <c r="CE103" s="59">
        <f t="shared" si="94"/>
        <v>132.59131750490178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71.853184673072121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71.853184673072121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91.384799999999913</v>
      </c>
      <c r="D104" s="11">
        <f t="shared" si="86"/>
        <v>24.89890802589462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897.62862335778243</v>
      </c>
      <c r="H104" s="66">
        <f t="shared" si="56"/>
        <v>495.86079147843293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763.00000000000057</v>
      </c>
      <c r="O104" s="13">
        <f>N104*VLOOKUP('Données projet'!$B$9,Paramètres!$A$1:$I$89,3,0)*VLOOKUP('Données projet'!$B$9,Paramètres!$A$1:$I$89,5,0)</f>
        <v>456.2740000000004</v>
      </c>
      <c r="P104" s="13">
        <f t="shared" si="87"/>
        <v>103.09649786611838</v>
      </c>
      <c r="Q104" s="20">
        <f t="shared" si="107"/>
        <v>974.23695045015677</v>
      </c>
      <c r="R104" s="59">
        <f t="shared" si="55"/>
        <v>1267.5702837834901</v>
      </c>
      <c r="S104" s="59">
        <f ca="1">AVERAGE(OFFSET($R$3,0,0,'Données projet'!$E$9+1,1))-AVERAGE(OFFSET($H$3,0,0,'Données projet'!$E$9+1,1))</f>
        <v>443.63756287217456</v>
      </c>
      <c r="T104" s="59">
        <f t="shared" si="88"/>
        <v>384.990641425788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70.212142959169327</v>
      </c>
      <c r="AA104" s="21">
        <f>EXP(-LN(2)/25)*AA103+(1-EXP(-LN(2)/25))/(LN(2)/25)*Calculateur!V104*Calculateur!X104*VLOOKUP('Données projet'!$B$9,Paramètres!$A$1:$I$89,3,0)*0.475*44/12</f>
        <v>9.1368073656036195</v>
      </c>
      <c r="AB104" s="21">
        <f>EXP(-LN(2)/2)*AB103+(1-EXP(-LN(2)/2))/(LN(2)/2)*V104*Y104*VLOOKUP('Données projet'!$B$9,Paramètres!$A$1:$I$89,3,0)*0.475*44/12</f>
        <v>1.6164646231501796E-12</v>
      </c>
      <c r="AC104" s="22">
        <f t="shared" si="57"/>
        <v>79.348950324774563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137.97244371990928</v>
      </c>
      <c r="AO104" s="59">
        <f t="shared" si="90"/>
        <v>340.50331317844757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30.271977413724258</v>
      </c>
      <c r="AV104" s="21">
        <f>EXP(-LN(2)/25)*AV103+(1-EXP(-LN(2)/25))/(LN(2)/25)*Calculateur!AQ104*Calculateur!AS104*VLOOKUP('Données projet'!$B$10,Paramètres!$A$1:$I$89,3,0)*0.475*44/12</f>
        <v>2.0079478867394935</v>
      </c>
      <c r="AW104" s="21">
        <f>EXP(-LN(2)/2)*AW103+(1-EXP(-LN(2)/2))/(LN(2)/2)*AQ104*AT104*VLOOKUP('Données projet'!$B$10,Paramètres!$A$1:$I$89,3,0)*0.475*44/12</f>
        <v>9.2529631627714316E-13</v>
      </c>
      <c r="AX104" s="21">
        <f t="shared" si="60"/>
        <v>32.279925300464676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137.97244371990928</v>
      </c>
      <c r="BJ104" s="59">
        <f t="shared" si="92"/>
        <v>340.50331317844757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30.271977413724258</v>
      </c>
      <c r="BQ104" s="21">
        <f>EXP(-LN(2)/25)*BQ103+(1-EXP(-LN(2)/25))/(LN(2)/25)*Calculateur!BL104*Calculateur!BN104*VLOOKUP('Données projet'!$B$11,Paramètres!$A$1:$I$89,3,0)*0.475*44/12</f>
        <v>2.0079478867394935</v>
      </c>
      <c r="BR104" s="21">
        <f>EXP(-LN(2)/2)*BR103+(1-EXP(-LN(2)/2))/(LN(2)/2)*BL104*BO104*VLOOKUP('Données projet'!$B$11,Paramètres!$A$1:$I$89,3,0)*0.475*44/12</f>
        <v>9.2529631627714316E-13</v>
      </c>
      <c r="BS104" s="22">
        <f t="shared" si="63"/>
        <v>32.279925300464676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4.5999999999999996</v>
      </c>
      <c r="BY104" s="12">
        <f>IF('Données projet'!$A$114&gt;35,BY103+BX104-CG103,IF(A104&lt;'Données projet'!$A$114,$BV$205^A104,IF(A104='Données projet'!$A$114,'Données projet'!$B$114,BY103+BX104-CG103)))</f>
        <v>265.59999999999991</v>
      </c>
      <c r="BZ104" s="13">
        <f>BY104*VLOOKUP('Données projet'!$B$12,Paramètres!$A$1:$I$89,3,0)*VLOOKUP('Données projet'!$B$12,Paramètres!$A$1:$I$89,5,0)</f>
        <v>240.31487999999993</v>
      </c>
      <c r="CA104" s="13">
        <f t="shared" si="93"/>
        <v>58.50727327751612</v>
      </c>
      <c r="CB104" s="20">
        <f t="shared" si="64"/>
        <v>520.44858362500713</v>
      </c>
      <c r="CC104" s="59">
        <f t="shared" si="65"/>
        <v>813.78191695834039</v>
      </c>
      <c r="CD104" s="59">
        <f ca="1">AVERAGE(OFFSET($CC$3,0,0,'Données projet'!$E$12+1,1))-AVERAGE(OFFSET($H$3,0,0,'Données projet'!$E$12+1,1))</f>
        <v>216.16148211123436</v>
      </c>
      <c r="CE104" s="59">
        <f t="shared" si="94"/>
        <v>132.59131750490178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70.444187547748356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70.444187547748356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92.289599999999908</v>
      </c>
      <c r="D105" s="11">
        <f t="shared" si="86"/>
        <v>25.116611431659525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906.29356192859905</v>
      </c>
      <c r="H105" s="66">
        <f t="shared" si="56"/>
        <v>497.81581824347347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763.00000000000057</v>
      </c>
      <c r="O105" s="13">
        <f>N105*VLOOKUP('Données projet'!$B$9,Paramètres!$A$1:$I$89,3,0)*VLOOKUP('Données projet'!$B$9,Paramètres!$A$1:$I$89,5,0)</f>
        <v>456.2740000000004</v>
      </c>
      <c r="P105" s="13">
        <f t="shared" si="87"/>
        <v>103.09649786611838</v>
      </c>
      <c r="Q105" s="20">
        <f t="shared" si="107"/>
        <v>974.23695045015677</v>
      </c>
      <c r="R105" s="59">
        <f t="shared" si="55"/>
        <v>1267.5702837834901</v>
      </c>
      <c r="S105" s="59">
        <f ca="1">AVERAGE(OFFSET($R$3,0,0,'Données projet'!$E$9+1,1))-AVERAGE(OFFSET($H$3,0,0,'Données projet'!$E$9+1,1))</f>
        <v>443.63756287217456</v>
      </c>
      <c r="T105" s="59">
        <f t="shared" si="88"/>
        <v>384.990641425788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68.835325660918585</v>
      </c>
      <c r="AA105" s="21">
        <f>EXP(-LN(2)/25)*AA104+(1-EXP(-LN(2)/25))/(LN(2)/25)*Calculateur!V105*Calculateur!X105*VLOOKUP('Données projet'!$B$9,Paramètres!$A$1:$I$89,3,0)*0.475*44/12</f>
        <v>8.8869608877073709</v>
      </c>
      <c r="AB105" s="21">
        <f>EXP(-LN(2)/2)*AB104+(1-EXP(-LN(2)/2))/(LN(2)/2)*V105*Y105*VLOOKUP('Données projet'!$B$9,Paramètres!$A$1:$I$89,3,0)*0.475*44/12</f>
        <v>1.143013096577649E-12</v>
      </c>
      <c r="AC105" s="22">
        <f t="shared" si="57"/>
        <v>77.722286548627096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137.97244371990928</v>
      </c>
      <c r="AO105" s="59">
        <f t="shared" si="90"/>
        <v>340.50331317844757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29.678362400724172</v>
      </c>
      <c r="AV105" s="21">
        <f>EXP(-LN(2)/25)*AV104+(1-EXP(-LN(2)/25))/(LN(2)/25)*Calculateur!AQ105*Calculateur!AS105*VLOOKUP('Données projet'!$B$10,Paramètres!$A$1:$I$89,3,0)*0.475*44/12</f>
        <v>1.953040446183212</v>
      </c>
      <c r="AW105" s="21">
        <f>EXP(-LN(2)/2)*AW104+(1-EXP(-LN(2)/2))/(LN(2)/2)*AQ105*AT105*VLOOKUP('Données projet'!$B$10,Paramètres!$A$1:$I$89,3,0)*0.475*44/12</f>
        <v>6.5428329984650034E-13</v>
      </c>
      <c r="AX105" s="21">
        <f t="shared" si="60"/>
        <v>31.631402846908038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137.97244371990928</v>
      </c>
      <c r="BJ105" s="59">
        <f t="shared" si="92"/>
        <v>340.50331317844757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29.678362400724172</v>
      </c>
      <c r="BQ105" s="21">
        <f>EXP(-LN(2)/25)*BQ104+(1-EXP(-LN(2)/25))/(LN(2)/25)*Calculateur!BL105*Calculateur!BN105*VLOOKUP('Données projet'!$B$11,Paramètres!$A$1:$I$89,3,0)*0.475*44/12</f>
        <v>1.953040446183212</v>
      </c>
      <c r="BR105" s="21">
        <f>EXP(-LN(2)/2)*BR104+(1-EXP(-LN(2)/2))/(LN(2)/2)*BL105*BO105*VLOOKUP('Données projet'!$B$11,Paramètres!$A$1:$I$89,3,0)*0.475*44/12</f>
        <v>6.5428329984650034E-13</v>
      </c>
      <c r="BS105" s="22">
        <f t="shared" si="63"/>
        <v>31.631402846908038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4.5999999999999996</v>
      </c>
      <c r="BY105" s="12">
        <f>IF('Données projet'!$A$114&gt;35,BY104+BX105-CG104,IF(A105&lt;'Données projet'!$A$114,$BV$205^A105,IF(A105='Données projet'!$A$114,'Données projet'!$B$114,BY104+BX105-CG104)))</f>
        <v>270.19999999999993</v>
      </c>
      <c r="BZ105" s="13">
        <f>BY105*VLOOKUP('Données projet'!$B$12,Paramètres!$A$1:$I$89,3,0)*VLOOKUP('Données projet'!$B$12,Paramètres!$A$1:$I$89,5,0)</f>
        <v>244.47695999999993</v>
      </c>
      <c r="CA105" s="13">
        <f t="shared" si="93"/>
        <v>59.401731670234192</v>
      </c>
      <c r="CB105" s="20">
        <f t="shared" si="64"/>
        <v>529.25538799232447</v>
      </c>
      <c r="CC105" s="59">
        <f t="shared" si="65"/>
        <v>822.58872132565784</v>
      </c>
      <c r="CD105" s="59">
        <f ca="1">AVERAGE(OFFSET($CC$3,0,0,'Données projet'!$E$12+1,1))-AVERAGE(OFFSET($H$3,0,0,'Données projet'!$E$12+1,1))</f>
        <v>216.16148211123436</v>
      </c>
      <c r="CE105" s="59">
        <f t="shared" si="94"/>
        <v>132.59131750490178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69.062819996648798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69.062819996648798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93.194399999999902</v>
      </c>
      <c r="D106" s="11">
        <f t="shared" si="86"/>
        <v>25.334066536915259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914.95658379373106</v>
      </c>
      <c r="H106" s="66">
        <f t="shared" si="56"/>
        <v>499.77041255179387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763.00000000000057</v>
      </c>
      <c r="O106" s="13">
        <f>N106*VLOOKUP('Données projet'!$B$9,Paramètres!$A$1:$I$89,3,0)*VLOOKUP('Données projet'!$B$9,Paramètres!$A$1:$I$89,5,0)</f>
        <v>456.2740000000004</v>
      </c>
      <c r="P106" s="13">
        <f t="shared" si="87"/>
        <v>103.09649786611838</v>
      </c>
      <c r="Q106" s="20">
        <f t="shared" si="107"/>
        <v>974.23695045015677</v>
      </c>
      <c r="R106" s="59">
        <f t="shared" si="55"/>
        <v>1267.5702837834901</v>
      </c>
      <c r="S106" s="59">
        <f ca="1">AVERAGE(OFFSET($R$3,0,0,'Données projet'!$E$9+1,1))-AVERAGE(OFFSET($H$3,0,0,'Données projet'!$E$9+1,1))</f>
        <v>443.63756287217456</v>
      </c>
      <c r="T106" s="59">
        <f t="shared" si="88"/>
        <v>384.990641425788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67.485506910110914</v>
      </c>
      <c r="AA106" s="21">
        <f>EXP(-LN(2)/25)*AA105+(1-EXP(-LN(2)/25))/(LN(2)/25)*Calculateur!V106*Calculateur!X106*VLOOKUP('Données projet'!$B$9,Paramètres!$A$1:$I$89,3,0)*0.475*44/12</f>
        <v>8.6439464748880503</v>
      </c>
      <c r="AB106" s="21">
        <f>EXP(-LN(2)/2)*AB105+(1-EXP(-LN(2)/2))/(LN(2)/2)*V106*Y106*VLOOKUP('Données projet'!$B$9,Paramètres!$A$1:$I$89,3,0)*0.475*44/12</f>
        <v>8.082323115750898E-13</v>
      </c>
      <c r="AC106" s="22">
        <f t="shared" si="57"/>
        <v>76.129453384999778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137.97244371990928</v>
      </c>
      <c r="AO106" s="59">
        <f t="shared" si="90"/>
        <v>340.50331317844757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29.096387816059611</v>
      </c>
      <c r="AV106" s="21">
        <f>EXP(-LN(2)/25)*AV105+(1-EXP(-LN(2)/25))/(LN(2)/25)*Calculateur!AQ106*Calculateur!AS106*VLOOKUP('Données projet'!$B$10,Paramètres!$A$1:$I$89,3,0)*0.475*44/12</f>
        <v>1.8996344524763988</v>
      </c>
      <c r="AW106" s="21">
        <f>EXP(-LN(2)/2)*AW105+(1-EXP(-LN(2)/2))/(LN(2)/2)*AQ106*AT106*VLOOKUP('Données projet'!$B$10,Paramètres!$A$1:$I$89,3,0)*0.475*44/12</f>
        <v>4.6264815813857158E-13</v>
      </c>
      <c r="AX106" s="21">
        <f t="shared" si="60"/>
        <v>30.996022268536471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137.97244371990928</v>
      </c>
      <c r="BJ106" s="59">
        <f t="shared" si="92"/>
        <v>340.50331317844757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29.096387816059611</v>
      </c>
      <c r="BQ106" s="21">
        <f>EXP(-LN(2)/25)*BQ105+(1-EXP(-LN(2)/25))/(LN(2)/25)*Calculateur!BL106*Calculateur!BN106*VLOOKUP('Données projet'!$B$11,Paramètres!$A$1:$I$89,3,0)*0.475*44/12</f>
        <v>1.8996344524763988</v>
      </c>
      <c r="BR106" s="21">
        <f>EXP(-LN(2)/2)*BR105+(1-EXP(-LN(2)/2))/(LN(2)/2)*BL106*BO106*VLOOKUP('Données projet'!$B$11,Paramètres!$A$1:$I$89,3,0)*0.475*44/12</f>
        <v>4.6264815813857158E-13</v>
      </c>
      <c r="BS106" s="22">
        <f t="shared" si="63"/>
        <v>30.996022268536471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4.5999999999999996</v>
      </c>
      <c r="BY106" s="12">
        <f>IF('Données projet'!$A$114&gt;35,BY105+BX106-CG105,IF(A106&lt;'Données projet'!$A$114,$BV$205^A106,IF(A106='Données projet'!$A$114,'Données projet'!$B$114,BY105+BX106-CG105)))</f>
        <v>274.79999999999995</v>
      </c>
      <c r="BZ106" s="13">
        <f>BY106*VLOOKUP('Données projet'!$B$12,Paramètres!$A$1:$I$89,3,0)*VLOOKUP('Données projet'!$B$12,Paramètres!$A$1:$I$89,5,0)</f>
        <v>248.63903999999994</v>
      </c>
      <c r="CA106" s="13">
        <f t="shared" si="93"/>
        <v>60.294419230169922</v>
      </c>
      <c r="CB106" s="20">
        <f t="shared" si="64"/>
        <v>538.05910815921254</v>
      </c>
      <c r="CC106" s="59">
        <f t="shared" si="65"/>
        <v>831.39244149254591</v>
      </c>
      <c r="CD106" s="59">
        <f ca="1">AVERAGE(OFFSET($CC$3,0,0,'Données projet'!$E$12+1,1))-AVERAGE(OFFSET($H$3,0,0,'Données projet'!$E$12+1,1))</f>
        <v>216.16148211123436</v>
      </c>
      <c r="CE106" s="59">
        <f t="shared" si="94"/>
        <v>132.59131750490178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67.708540220675303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67.708540220675303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94.099199999999897</v>
      </c>
      <c r="D107" s="11">
        <f t="shared" si="86"/>
        <v>25.551276031514796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923.61770971695569</v>
      </c>
      <c r="H107" s="66">
        <f t="shared" si="56"/>
        <v>501.72457908822139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763.00000000000057</v>
      </c>
      <c r="O107" s="13">
        <f>N107*VLOOKUP('Données projet'!$B$9,Paramètres!$A$1:$I$89,3,0)*VLOOKUP('Données projet'!$B$9,Paramètres!$A$1:$I$89,5,0)</f>
        <v>456.2740000000004</v>
      </c>
      <c r="P107" s="13">
        <f t="shared" si="87"/>
        <v>103.09649786611838</v>
      </c>
      <c r="Q107" s="20">
        <f t="shared" si="107"/>
        <v>974.23695045015677</v>
      </c>
      <c r="R107" s="59">
        <f t="shared" si="55"/>
        <v>1267.5702837834901</v>
      </c>
      <c r="S107" s="59">
        <f ca="1">AVERAGE(OFFSET($R$3,0,0,'Données projet'!$E$9+1,1))-AVERAGE(OFFSET($H$3,0,0,'Données projet'!$E$9+1,1))</f>
        <v>443.63756287217456</v>
      </c>
      <c r="T107" s="59">
        <f t="shared" si="88"/>
        <v>384.990641425788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66.162157281698441</v>
      </c>
      <c r="AA107" s="21">
        <f>EXP(-LN(2)/25)*AA106+(1-EXP(-LN(2)/25))/(LN(2)/25)*Calculateur!V107*Calculateur!X107*VLOOKUP('Données projet'!$B$9,Paramètres!$A$1:$I$89,3,0)*0.475*44/12</f>
        <v>8.407577303966848</v>
      </c>
      <c r="AB107" s="21">
        <f>EXP(-LN(2)/2)*AB106+(1-EXP(-LN(2)/2))/(LN(2)/2)*V107*Y107*VLOOKUP('Données projet'!$B$9,Paramètres!$A$1:$I$89,3,0)*0.475*44/12</f>
        <v>5.7150654828882452E-13</v>
      </c>
      <c r="AC107" s="22">
        <f t="shared" si="57"/>
        <v>74.569734585665856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137.97244371990928</v>
      </c>
      <c r="AO107" s="59">
        <f t="shared" si="90"/>
        <v>340.50331317844757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28.525825398030875</v>
      </c>
      <c r="AV107" s="21">
        <f>EXP(-LN(2)/25)*AV106+(1-EXP(-LN(2)/25))/(LN(2)/25)*Calculateur!AQ107*Calculateur!AS107*VLOOKUP('Données projet'!$B$10,Paramètres!$A$1:$I$89,3,0)*0.475*44/12</f>
        <v>1.8476888484759975</v>
      </c>
      <c r="AW107" s="21">
        <f>EXP(-LN(2)/2)*AW106+(1-EXP(-LN(2)/2))/(LN(2)/2)*AQ107*AT107*VLOOKUP('Données projet'!$B$10,Paramètres!$A$1:$I$89,3,0)*0.475*44/12</f>
        <v>3.2714164992325017E-13</v>
      </c>
      <c r="AX107" s="21">
        <f t="shared" si="60"/>
        <v>30.373514246507199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137.97244371990928</v>
      </c>
      <c r="BJ107" s="59">
        <f t="shared" si="92"/>
        <v>340.50331317844757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28.525825398030875</v>
      </c>
      <c r="BQ107" s="21">
        <f>EXP(-LN(2)/25)*BQ106+(1-EXP(-LN(2)/25))/(LN(2)/25)*Calculateur!BL107*Calculateur!BN107*VLOOKUP('Données projet'!$B$11,Paramètres!$A$1:$I$89,3,0)*0.475*44/12</f>
        <v>1.8476888484759975</v>
      </c>
      <c r="BR107" s="21">
        <f>EXP(-LN(2)/2)*BR106+(1-EXP(-LN(2)/2))/(LN(2)/2)*BL107*BO107*VLOOKUP('Données projet'!$B$11,Paramètres!$A$1:$I$89,3,0)*0.475*44/12</f>
        <v>3.2714164992325017E-13</v>
      </c>
      <c r="BS107" s="22">
        <f t="shared" si="63"/>
        <v>30.373514246507199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4.5999999999999996</v>
      </c>
      <c r="BY107" s="12">
        <f>IF('Données projet'!$A$114&gt;35,BY106+BX107-CG106,IF(A107&lt;'Données projet'!$A$114,$BV$205^A107,IF(A107='Données projet'!$A$114,'Données projet'!$B$114,BY106+BX107-CG106)))</f>
        <v>279.39999999999998</v>
      </c>
      <c r="BZ107" s="13">
        <f>BY107*VLOOKUP('Données projet'!$B$12,Paramètres!$A$1:$I$89,3,0)*VLOOKUP('Données projet'!$B$12,Paramètres!$A$1:$I$89,5,0)</f>
        <v>252.80111999999994</v>
      </c>
      <c r="CA107" s="13">
        <f t="shared" si="93"/>
        <v>61.185369021394209</v>
      </c>
      <c r="CB107" s="20">
        <f t="shared" si="64"/>
        <v>546.8598017122614</v>
      </c>
      <c r="CC107" s="59">
        <f t="shared" si="65"/>
        <v>840.19313504559477</v>
      </c>
      <c r="CD107" s="59">
        <f ca="1">AVERAGE(OFFSET($CC$3,0,0,'Données projet'!$E$12+1,1))-AVERAGE(OFFSET($H$3,0,0,'Données projet'!$E$12+1,1))</f>
        <v>216.16148211123436</v>
      </c>
      <c r="CE107" s="59">
        <f t="shared" si="94"/>
        <v>132.59131750490178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66.380817045079539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66.380817045079539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95.003999999999891</v>
      </c>
      <c r="D108" s="11">
        <f t="shared" si="86"/>
        <v>25.768242550600739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932.27696003972414</v>
      </c>
      <c r="H108" s="66">
        <f t="shared" si="56"/>
        <v>503.67832244229606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763.00000000000057</v>
      </c>
      <c r="O108" s="13">
        <f>N108*VLOOKUP('Données projet'!$B$9,Paramètres!$A$1:$I$89,3,0)*VLOOKUP('Données projet'!$B$9,Paramètres!$A$1:$I$89,5,0)</f>
        <v>456.2740000000004</v>
      </c>
      <c r="P108" s="13">
        <f t="shared" si="87"/>
        <v>103.09649786611838</v>
      </c>
      <c r="Q108" s="20">
        <f t="shared" si="107"/>
        <v>974.23695045015677</v>
      </c>
      <c r="R108" s="59">
        <f t="shared" si="55"/>
        <v>1267.5702837834901</v>
      </c>
      <c r="S108" s="59">
        <f ca="1">AVERAGE(OFFSET($R$3,0,0,'Données projet'!$E$9+1,1))-AVERAGE(OFFSET($H$3,0,0,'Données projet'!$E$9+1,1))</f>
        <v>443.63756287217456</v>
      </c>
      <c r="T108" s="59">
        <f t="shared" si="88"/>
        <v>384.990641425788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64.864757732335562</v>
      </c>
      <c r="AA108" s="21">
        <f>EXP(-LN(2)/25)*AA107+(1-EXP(-LN(2)/25))/(LN(2)/25)*Calculateur!V108*Calculateur!X108*VLOOKUP('Données projet'!$B$9,Paramètres!$A$1:$I$89,3,0)*0.475*44/12</f>
        <v>8.1776716604545996</v>
      </c>
      <c r="AB108" s="21">
        <f>EXP(-LN(2)/2)*AB107+(1-EXP(-LN(2)/2))/(LN(2)/2)*V108*Y108*VLOOKUP('Données projet'!$B$9,Paramètres!$A$1:$I$89,3,0)*0.475*44/12</f>
        <v>4.041161557875449E-13</v>
      </c>
      <c r="AC108" s="22">
        <f t="shared" si="57"/>
        <v>73.042429392790552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137.97244371990928</v>
      </c>
      <c r="AO108" s="59">
        <f t="shared" si="90"/>
        <v>340.50331317844757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27.966451361010972</v>
      </c>
      <c r="AV108" s="21">
        <f>EXP(-LN(2)/25)*AV107+(1-EXP(-LN(2)/25))/(LN(2)/25)*Calculateur!AQ108*Calculateur!AS108*VLOOKUP('Données projet'!$B$10,Paramètres!$A$1:$I$89,3,0)*0.475*44/12</f>
        <v>1.7971636997486877</v>
      </c>
      <c r="AW108" s="21">
        <f>EXP(-LN(2)/2)*AW107+(1-EXP(-LN(2)/2))/(LN(2)/2)*AQ108*AT108*VLOOKUP('Données projet'!$B$10,Paramètres!$A$1:$I$89,3,0)*0.475*44/12</f>
        <v>2.3132407906928579E-13</v>
      </c>
      <c r="AX108" s="21">
        <f t="shared" si="60"/>
        <v>29.763615060759889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137.97244371990928</v>
      </c>
      <c r="BJ108" s="59">
        <f t="shared" si="92"/>
        <v>340.50331317844757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27.966451361010972</v>
      </c>
      <c r="BQ108" s="21">
        <f>EXP(-LN(2)/25)*BQ107+(1-EXP(-LN(2)/25))/(LN(2)/25)*Calculateur!BL108*Calculateur!BN108*VLOOKUP('Données projet'!$B$11,Paramètres!$A$1:$I$89,3,0)*0.475*44/12</f>
        <v>1.7971636997486877</v>
      </c>
      <c r="BR108" s="21">
        <f>EXP(-LN(2)/2)*BR107+(1-EXP(-LN(2)/2))/(LN(2)/2)*BL108*BO108*VLOOKUP('Données projet'!$B$11,Paramètres!$A$1:$I$89,3,0)*0.475*44/12</f>
        <v>2.3132407906928579E-13</v>
      </c>
      <c r="BS108" s="22">
        <f t="shared" si="63"/>
        <v>29.763615060759889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284</v>
      </c>
      <c r="BW108" s="12">
        <f>VLOOKUP(A108,'Données projet'!$A$113:$I$133,9,0)</f>
        <v>4.5999999999999996</v>
      </c>
      <c r="BX108" s="12">
        <f t="array" ref="BX108">INDEX(BW:BW,MIN(IF(ISNUMBER(BW108:BW304),ROW(BW108:BW304),"")))</f>
        <v>4.5999999999999996</v>
      </c>
      <c r="BY108" s="12">
        <f>IF('Données projet'!$A$114&gt;35,BY107+BX108-CG107,IF(A108&lt;'Données projet'!$A$114,$BV$205^A108,IF(A108='Données projet'!$A$114,'Données projet'!$B$114,BY107+BX108-CG107)))</f>
        <v>284</v>
      </c>
      <c r="BZ108" s="13">
        <f>BY108*VLOOKUP('Données projet'!$B$12,Paramètres!$A$1:$I$89,3,0)*VLOOKUP('Données projet'!$B$12,Paramètres!$A$1:$I$89,5,0)</f>
        <v>256.96320000000003</v>
      </c>
      <c r="CA108" s="13">
        <f t="shared" si="93"/>
        <v>62.074612956838024</v>
      </c>
      <c r="CB108" s="20">
        <f t="shared" si="64"/>
        <v>555.65752423315951</v>
      </c>
      <c r="CC108" s="59">
        <f t="shared" si="65"/>
        <v>848.99085756649288</v>
      </c>
      <c r="CD108" s="59">
        <f ca="1">AVERAGE(OFFSET($CC$3,0,0,'Données projet'!$E$12+1,1))-AVERAGE(OFFSET($H$3,0,0,'Données projet'!$E$12+1,1))</f>
        <v>216.16148211123436</v>
      </c>
      <c r="CE108" s="59">
        <f t="shared" si="94"/>
        <v>132.59131750490178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20</v>
      </c>
      <c r="CH108" s="16">
        <f>IF(ISNA(VLOOKUP(A108,'Données projet'!$A$113:$I$133,5,0)),0%,VLOOKUP(A108,'Données projet'!$A$113:$I$133,5,0)*VLOOKUP('Données projet'!$B$12,Paramètres!$A$1:$I$89,7,0))</f>
        <v>0.43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73.681104265978192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73.681104265978192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95.908799999999886</v>
      </c>
      <c r="D109" s="11">
        <f t="shared" si="86"/>
        <v>25.984968676228309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940.93435469369126</v>
      </c>
      <c r="H109" s="66">
        <f t="shared" si="56"/>
        <v>505.63164711109744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763.00000000000057</v>
      </c>
      <c r="O109" s="13">
        <f>N109*VLOOKUP('Données projet'!$B$9,Paramètres!$A$1:$I$89,3,0)*VLOOKUP('Données projet'!$B$9,Paramètres!$A$1:$I$89,5,0)</f>
        <v>456.2740000000004</v>
      </c>
      <c r="P109" s="13">
        <f t="shared" si="87"/>
        <v>103.09649786611838</v>
      </c>
      <c r="Q109" s="20">
        <f t="shared" si="107"/>
        <v>974.23695045015677</v>
      </c>
      <c r="R109" s="59">
        <f t="shared" si="55"/>
        <v>1267.5702837834901</v>
      </c>
      <c r="S109" s="59">
        <f ca="1">AVERAGE(OFFSET($R$3,0,0,'Données projet'!$E$9+1,1))-AVERAGE(OFFSET($H$3,0,0,'Données projet'!$E$9+1,1))</f>
        <v>443.63756287217456</v>
      </c>
      <c r="T109" s="59">
        <f t="shared" si="88"/>
        <v>384.990641425788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63.592799396800096</v>
      </c>
      <c r="AA109" s="21">
        <f>EXP(-LN(2)/25)*AA108+(1-EXP(-LN(2)/25))/(LN(2)/25)*Calculateur!V109*Calculateur!X109*VLOOKUP('Données projet'!$B$9,Paramètres!$A$1:$I$89,3,0)*0.475*44/12</f>
        <v>7.9540527988544065</v>
      </c>
      <c r="AB109" s="21">
        <f>EXP(-LN(2)/2)*AB108+(1-EXP(-LN(2)/2))/(LN(2)/2)*V109*Y109*VLOOKUP('Données projet'!$B$9,Paramètres!$A$1:$I$89,3,0)*0.475*44/12</f>
        <v>2.8575327414441226E-13</v>
      </c>
      <c r="AC109" s="22">
        <f t="shared" si="57"/>
        <v>71.546852195654793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137.97244371990928</v>
      </c>
      <c r="AO109" s="59">
        <f t="shared" si="90"/>
        <v>340.50331317844757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27.418046307672554</v>
      </c>
      <c r="AV109" s="21">
        <f>EXP(-LN(2)/25)*AV108+(1-EXP(-LN(2)/25))/(LN(2)/25)*Calculateur!AQ109*Calculateur!AS109*VLOOKUP('Données projet'!$B$10,Paramètres!$A$1:$I$89,3,0)*0.475*44/12</f>
        <v>1.7480201638703283</v>
      </c>
      <c r="AW109" s="21">
        <f>EXP(-LN(2)/2)*AW108+(1-EXP(-LN(2)/2))/(LN(2)/2)*AQ109*AT109*VLOOKUP('Données projet'!$B$10,Paramètres!$A$1:$I$89,3,0)*0.475*44/12</f>
        <v>1.6357082496162509E-13</v>
      </c>
      <c r="AX109" s="21">
        <f t="shared" si="60"/>
        <v>29.166066471543047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137.97244371990928</v>
      </c>
      <c r="BJ109" s="59">
        <f t="shared" si="92"/>
        <v>340.50331317844757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27.418046307672554</v>
      </c>
      <c r="BQ109" s="21">
        <f>EXP(-LN(2)/25)*BQ108+(1-EXP(-LN(2)/25))/(LN(2)/25)*Calculateur!BL109*Calculateur!BN109*VLOOKUP('Données projet'!$B$11,Paramètres!$A$1:$I$89,3,0)*0.475*44/12</f>
        <v>1.7480201638703283</v>
      </c>
      <c r="BR109" s="21">
        <f>EXP(-LN(2)/2)*BR108+(1-EXP(-LN(2)/2))/(LN(2)/2)*BL109*BO109*VLOOKUP('Données projet'!$B$11,Paramètres!$A$1:$I$89,3,0)*0.475*44/12</f>
        <v>1.6357082496162509E-13</v>
      </c>
      <c r="BS109" s="22">
        <f t="shared" si="63"/>
        <v>29.166066471543047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4.2</v>
      </c>
      <c r="BY109" s="12">
        <f>IF('Données projet'!$A$114&gt;35,BY108+BX109-CG108,IF(A109&lt;'Données projet'!$A$114,$BV$205^A109,IF(A109='Données projet'!$A$114,'Données projet'!$B$114,BY108+BX109-CG108)))</f>
        <v>268.2</v>
      </c>
      <c r="BZ109" s="13">
        <f>BY109*VLOOKUP('Données projet'!$B$12,Paramètres!$A$1:$I$89,3,0)*VLOOKUP('Données projet'!$B$12,Paramètres!$A$1:$I$89,5,0)</f>
        <v>242.66735999999997</v>
      </c>
      <c r="CA109" s="13">
        <f t="shared" si="93"/>
        <v>59.013056290731797</v>
      </c>
      <c r="CB109" s="20">
        <f t="shared" si="64"/>
        <v>525.42672503969118</v>
      </c>
      <c r="CC109" s="59">
        <f t="shared" si="65"/>
        <v>818.76005837302455</v>
      </c>
      <c r="CD109" s="59">
        <f ca="1">AVERAGE(OFFSET($CC$3,0,0,'Données projet'!$E$12+1,1))-AVERAGE(OFFSET($H$3,0,0,'Données projet'!$E$12+1,1))</f>
        <v>216.16148211123436</v>
      </c>
      <c r="CE109" s="59">
        <f t="shared" si="94"/>
        <v>132.59131750490178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72.2362627523584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72.2362627523584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96.81359999999988</v>
      </c>
      <c r="D110" s="11">
        <f t="shared" si="86"/>
        <v>26.20145693892529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949.58991321275573</v>
      </c>
      <c r="H110" s="66">
        <f t="shared" si="56"/>
        <v>507.58455750196129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763.00000000000057</v>
      </c>
      <c r="O110" s="13">
        <f>N110*VLOOKUP('Données projet'!$B$9,Paramètres!$A$1:$I$89,3,0)*VLOOKUP('Données projet'!$B$9,Paramètres!$A$1:$I$89,5,0)</f>
        <v>456.2740000000004</v>
      </c>
      <c r="P110" s="13">
        <f t="shared" si="87"/>
        <v>103.09649786611838</v>
      </c>
      <c r="Q110" s="20">
        <f t="shared" si="107"/>
        <v>974.23695045015677</v>
      </c>
      <c r="R110" s="59">
        <f t="shared" si="55"/>
        <v>1267.5702837834901</v>
      </c>
      <c r="S110" s="59">
        <f ca="1">AVERAGE(OFFSET($R$3,0,0,'Données projet'!$E$9+1,1))-AVERAGE(OFFSET($H$3,0,0,'Données projet'!$E$9+1,1))</f>
        <v>443.63756287217456</v>
      </c>
      <c r="T110" s="59">
        <f t="shared" si="88"/>
        <v>384.990641425788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62.345783388406502</v>
      </c>
      <c r="AA110" s="21">
        <f>EXP(-LN(2)/25)*AA109+(1-EXP(-LN(2)/25))/(LN(2)/25)*Calculateur!V110*Calculateur!X110*VLOOKUP('Données projet'!$B$9,Paramètres!$A$1:$I$89,3,0)*0.475*44/12</f>
        <v>7.7365488067842749</v>
      </c>
      <c r="AB110" s="21">
        <f>EXP(-LN(2)/2)*AB109+(1-EXP(-LN(2)/2))/(LN(2)/2)*V110*Y110*VLOOKUP('Données projet'!$B$9,Paramètres!$A$1:$I$89,3,0)*0.475*44/12</f>
        <v>2.0205807789377245E-13</v>
      </c>
      <c r="AC110" s="22">
        <f t="shared" si="57"/>
        <v>70.082332195190972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137.97244371990928</v>
      </c>
      <c r="AO110" s="59">
        <f t="shared" si="90"/>
        <v>340.50331317844757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26.880395142936049</v>
      </c>
      <c r="AV110" s="21">
        <f>EXP(-LN(2)/25)*AV109+(1-EXP(-LN(2)/25))/(LN(2)/25)*Calculateur!AQ110*Calculateur!AS110*VLOOKUP('Données projet'!$B$10,Paramètres!$A$1:$I$89,3,0)*0.475*44/12</f>
        <v>1.7002204605649089</v>
      </c>
      <c r="AW110" s="21">
        <f>EXP(-LN(2)/2)*AW109+(1-EXP(-LN(2)/2))/(LN(2)/2)*AQ110*AT110*VLOOKUP('Données projet'!$B$10,Paramètres!$A$1:$I$89,3,0)*0.475*44/12</f>
        <v>1.1566203953464289E-13</v>
      </c>
      <c r="AX110" s="21">
        <f t="shared" si="60"/>
        <v>28.580615603501077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137.97244371990928</v>
      </c>
      <c r="BJ110" s="59">
        <f t="shared" si="92"/>
        <v>340.50331317844757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26.880395142936049</v>
      </c>
      <c r="BQ110" s="21">
        <f>EXP(-LN(2)/25)*BQ109+(1-EXP(-LN(2)/25))/(LN(2)/25)*Calculateur!BL110*Calculateur!BN110*VLOOKUP('Données projet'!$B$11,Paramètres!$A$1:$I$89,3,0)*0.475*44/12</f>
        <v>1.7002204605649089</v>
      </c>
      <c r="BR110" s="21">
        <f>EXP(-LN(2)/2)*BR109+(1-EXP(-LN(2)/2))/(LN(2)/2)*BL110*BO110*VLOOKUP('Données projet'!$B$11,Paramètres!$A$1:$I$89,3,0)*0.475*44/12</f>
        <v>1.1566203953464289E-13</v>
      </c>
      <c r="BS110" s="22">
        <f t="shared" si="63"/>
        <v>28.580615603501077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4.2</v>
      </c>
      <c r="BY110" s="12">
        <f>IF('Données projet'!$A$114&gt;35,BY109+BX110-CG109,IF(A110&lt;'Données projet'!$A$114,$BV$205^A110,IF(A110='Données projet'!$A$114,'Données projet'!$B$114,BY109+BX110-CG109)))</f>
        <v>272.39999999999998</v>
      </c>
      <c r="BZ110" s="13">
        <f>BY110*VLOOKUP('Données projet'!$B$12,Paramètres!$A$1:$I$89,3,0)*VLOOKUP('Données projet'!$B$12,Paramètres!$A$1:$I$89,5,0)</f>
        <v>246.46751999999995</v>
      </c>
      <c r="CA110" s="13">
        <f t="shared" si="93"/>
        <v>59.828888074216977</v>
      </c>
      <c r="CB110" s="20">
        <f t="shared" si="64"/>
        <v>533.46624406259446</v>
      </c>
      <c r="CC110" s="59">
        <f t="shared" si="65"/>
        <v>826.79957739592783</v>
      </c>
      <c r="CD110" s="59">
        <f ca="1">AVERAGE(OFFSET($CC$3,0,0,'Données projet'!$E$12+1,1))-AVERAGE(OFFSET($H$3,0,0,'Données projet'!$E$12+1,1))</f>
        <v>216.16148211123436</v>
      </c>
      <c r="CE110" s="59">
        <f t="shared" si="94"/>
        <v>132.59131750490178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70.819753699554383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70.819753699554383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97.718399999999875</v>
      </c>
      <c r="D111" s="11">
        <f t="shared" si="86"/>
        <v>26.417709819192172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958.24365474464037</v>
      </c>
      <c r="H111" s="66">
        <f t="shared" si="56"/>
        <v>509.53705793509278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763.00000000000057</v>
      </c>
      <c r="O111" s="13">
        <f>N111*VLOOKUP('Données projet'!$B$9,Paramètres!$A$1:$I$89,3,0)*VLOOKUP('Données projet'!$B$9,Paramètres!$A$1:$I$89,5,0)</f>
        <v>456.2740000000004</v>
      </c>
      <c r="P111" s="13">
        <f t="shared" si="87"/>
        <v>103.09649786611838</v>
      </c>
      <c r="Q111" s="20">
        <f t="shared" si="107"/>
        <v>974.23695045015677</v>
      </c>
      <c r="R111" s="59">
        <f t="shared" si="55"/>
        <v>1267.5702837834901</v>
      </c>
      <c r="S111" s="59">
        <f ca="1">AVERAGE(OFFSET($R$3,0,0,'Données projet'!$E$9+1,1))-AVERAGE(OFFSET($H$3,0,0,'Données projet'!$E$9+1,1))</f>
        <v>443.63756287217456</v>
      </c>
      <c r="T111" s="59">
        <f t="shared" si="88"/>
        <v>384.990641425788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61.123220603332847</v>
      </c>
      <c r="AA111" s="21">
        <f>EXP(-LN(2)/25)*AA110+(1-EXP(-LN(2)/25))/(LN(2)/25)*Calculateur!V111*Calculateur!X111*VLOOKUP('Données projet'!$B$9,Paramètres!$A$1:$I$89,3,0)*0.475*44/12</f>
        <v>7.524992472815339</v>
      </c>
      <c r="AB111" s="21">
        <f>EXP(-LN(2)/2)*AB110+(1-EXP(-LN(2)/2))/(LN(2)/2)*V111*Y111*VLOOKUP('Données projet'!$B$9,Paramètres!$A$1:$I$89,3,0)*0.475*44/12</f>
        <v>1.4287663707220613E-13</v>
      </c>
      <c r="AC111" s="22">
        <f t="shared" si="57"/>
        <v>68.648213076148323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137.97244371990928</v>
      </c>
      <c r="AO111" s="59">
        <f t="shared" si="90"/>
        <v>340.50331317844757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26.353286989605195</v>
      </c>
      <c r="AV111" s="21">
        <f>EXP(-LN(2)/25)*AV110+(1-EXP(-LN(2)/25))/(LN(2)/25)*Calculateur!AQ111*Calculateur!AS111*VLOOKUP('Données projet'!$B$10,Paramètres!$A$1:$I$89,3,0)*0.475*44/12</f>
        <v>1.6537278426600535</v>
      </c>
      <c r="AW111" s="21">
        <f>EXP(-LN(2)/2)*AW110+(1-EXP(-LN(2)/2))/(LN(2)/2)*AQ111*AT111*VLOOKUP('Données projet'!$B$10,Paramètres!$A$1:$I$89,3,0)*0.475*44/12</f>
        <v>8.1785412480812543E-14</v>
      </c>
      <c r="AX111" s="21">
        <f t="shared" si="60"/>
        <v>28.00701483226533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137.97244371990928</v>
      </c>
      <c r="BJ111" s="59">
        <f t="shared" si="92"/>
        <v>340.50331317844757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26.353286989605195</v>
      </c>
      <c r="BQ111" s="21">
        <f>EXP(-LN(2)/25)*BQ110+(1-EXP(-LN(2)/25))/(LN(2)/25)*Calculateur!BL111*Calculateur!BN111*VLOOKUP('Données projet'!$B$11,Paramètres!$A$1:$I$89,3,0)*0.475*44/12</f>
        <v>1.6537278426600535</v>
      </c>
      <c r="BR111" s="21">
        <f>EXP(-LN(2)/2)*BR110+(1-EXP(-LN(2)/2))/(LN(2)/2)*BL111*BO111*VLOOKUP('Données projet'!$B$11,Paramètres!$A$1:$I$89,3,0)*0.475*44/12</f>
        <v>8.1785412480812543E-14</v>
      </c>
      <c r="BS111" s="22">
        <f t="shared" si="63"/>
        <v>28.00701483226533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4.2</v>
      </c>
      <c r="BY111" s="12">
        <f>IF('Données projet'!$A$114&gt;35,BY110+BX111-CG110,IF(A111&lt;'Données projet'!$A$114,$BV$205^A111,IF(A111='Données projet'!$A$114,'Données projet'!$B$114,BY110+BX111-CG110)))</f>
        <v>276.59999999999997</v>
      </c>
      <c r="BZ111" s="13">
        <f>BY111*VLOOKUP('Données projet'!$B$12,Paramètres!$A$1:$I$89,3,0)*VLOOKUP('Données projet'!$B$12,Paramètres!$A$1:$I$89,5,0)</f>
        <v>250.26767999999996</v>
      </c>
      <c r="CA111" s="13">
        <f t="shared" si="93"/>
        <v>60.643256925083442</v>
      </c>
      <c r="CB111" s="20">
        <f t="shared" si="64"/>
        <v>541.50321514452014</v>
      </c>
      <c r="CC111" s="59">
        <f t="shared" si="65"/>
        <v>834.83654847785351</v>
      </c>
      <c r="CD111" s="59">
        <f ca="1">AVERAGE(OFFSET($CC$3,0,0,'Données projet'!$E$12+1,1))-AVERAGE(OFFSET($H$3,0,0,'Données projet'!$E$12+1,1))</f>
        <v>216.16148211123436</v>
      </c>
      <c r="CE111" s="59">
        <f t="shared" si="94"/>
        <v>132.59131750490178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69.431021525290646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69.431021525290646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98.623199999999869</v>
      </c>
      <c r="D112" s="11">
        <f t="shared" si="86"/>
        <v>26.633729748944887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966.89559806202988</v>
      </c>
      <c r="H112" s="66">
        <f t="shared" si="56"/>
        <v>511.48915264607876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763.00000000000057</v>
      </c>
      <c r="O112" s="13">
        <f>N112*VLOOKUP('Données projet'!$B$9,Paramètres!$A$1:$I$89,3,0)*VLOOKUP('Données projet'!$B$9,Paramètres!$A$1:$I$89,5,0)</f>
        <v>456.2740000000004</v>
      </c>
      <c r="P112" s="13">
        <f t="shared" si="87"/>
        <v>103.09649786611838</v>
      </c>
      <c r="Q112" s="20">
        <f t="shared" si="107"/>
        <v>974.23695045015677</v>
      </c>
      <c r="R112" s="59">
        <f t="shared" si="55"/>
        <v>1267.5702837834901</v>
      </c>
      <c r="S112" s="59">
        <f ca="1">AVERAGE(OFFSET($R$3,0,0,'Données projet'!$E$9+1,1))-AVERAGE(OFFSET($H$3,0,0,'Données projet'!$E$9+1,1))</f>
        <v>443.63756287217456</v>
      </c>
      <c r="T112" s="59">
        <f t="shared" si="88"/>
        <v>384.990641425788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59.924631528784815</v>
      </c>
      <c r="AA112" s="21">
        <f>EXP(-LN(2)/25)*AA111+(1-EXP(-LN(2)/25))/(LN(2)/25)*Calculateur!V112*Calculateur!X112*VLOOKUP('Données projet'!$B$9,Paramètres!$A$1:$I$89,3,0)*0.475*44/12</f>
        <v>7.3192211579240478</v>
      </c>
      <c r="AB112" s="21">
        <f>EXP(-LN(2)/2)*AB111+(1-EXP(-LN(2)/2))/(LN(2)/2)*V112*Y112*VLOOKUP('Données projet'!$B$9,Paramètres!$A$1:$I$89,3,0)*0.475*44/12</f>
        <v>1.0102903894688622E-13</v>
      </c>
      <c r="AC112" s="22">
        <f t="shared" si="57"/>
        <v>67.243852686708962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137.97244371990928</v>
      </c>
      <c r="AO112" s="59">
        <f t="shared" si="90"/>
        <v>340.50331317844757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25.836515105656932</v>
      </c>
      <c r="AV112" s="21">
        <f>EXP(-LN(2)/25)*AV111+(1-EXP(-LN(2)/25))/(LN(2)/25)*Calculateur!AQ112*Calculateur!AS112*VLOOKUP('Données projet'!$B$10,Paramètres!$A$1:$I$89,3,0)*0.475*44/12</f>
        <v>1.6085065678367467</v>
      </c>
      <c r="AW112" s="21">
        <f>EXP(-LN(2)/2)*AW111+(1-EXP(-LN(2)/2))/(LN(2)/2)*AQ112*AT112*VLOOKUP('Données projet'!$B$10,Paramètres!$A$1:$I$89,3,0)*0.475*44/12</f>
        <v>5.7831019767321447E-14</v>
      </c>
      <c r="AX112" s="21">
        <f t="shared" si="60"/>
        <v>27.445021673493734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137.97244371990928</v>
      </c>
      <c r="BJ112" s="59">
        <f t="shared" si="92"/>
        <v>340.50331317844757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25.836515105656932</v>
      </c>
      <c r="BQ112" s="21">
        <f>EXP(-LN(2)/25)*BQ111+(1-EXP(-LN(2)/25))/(LN(2)/25)*Calculateur!BL112*Calculateur!BN112*VLOOKUP('Données projet'!$B$11,Paramètres!$A$1:$I$89,3,0)*0.475*44/12</f>
        <v>1.6085065678367467</v>
      </c>
      <c r="BR112" s="21">
        <f>EXP(-LN(2)/2)*BR111+(1-EXP(-LN(2)/2))/(LN(2)/2)*BL112*BO112*VLOOKUP('Données projet'!$B$11,Paramètres!$A$1:$I$89,3,0)*0.475*44/12</f>
        <v>5.7831019767321447E-14</v>
      </c>
      <c r="BS112" s="22">
        <f t="shared" si="63"/>
        <v>27.445021673493734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4.2</v>
      </c>
      <c r="BY112" s="12">
        <f>IF('Données projet'!$A$114&gt;35,BY111+BX112-CG111,IF(A112&lt;'Données projet'!$A$114,$BV$205^A112,IF(A112='Données projet'!$A$114,'Données projet'!$B$114,BY111+BX112-CG111)))</f>
        <v>280.79999999999995</v>
      </c>
      <c r="BZ112" s="13">
        <f>BY112*VLOOKUP('Données projet'!$B$12,Paramètres!$A$1:$I$89,3,0)*VLOOKUP('Données projet'!$B$12,Paramètres!$A$1:$I$89,5,0)</f>
        <v>254.06783999999996</v>
      </c>
      <c r="CA112" s="13">
        <f t="shared" si="93"/>
        <v>61.456187622750718</v>
      </c>
      <c r="CB112" s="20">
        <f t="shared" si="64"/>
        <v>549.53768144295748</v>
      </c>
      <c r="CC112" s="59">
        <f t="shared" si="65"/>
        <v>842.87101477629085</v>
      </c>
      <c r="CD112" s="59">
        <f ca="1">AVERAGE(OFFSET($CC$3,0,0,'Données projet'!$E$12+1,1))-AVERAGE(OFFSET($H$3,0,0,'Données projet'!$E$12+1,1))</f>
        <v>216.16148211123436</v>
      </c>
      <c r="CE112" s="59">
        <f t="shared" si="94"/>
        <v>132.59131750490178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68.069521541921233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68.069521541921233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99.527999999999864</v>
      </c>
      <c r="D113" s="11">
        <f t="shared" si="86"/>
        <v>26.849519112903298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975.54576157328768</v>
      </c>
      <c r="H113" s="66">
        <f t="shared" si="56"/>
        <v>513.44084578830632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763.00000000000057</v>
      </c>
      <c r="O113" s="13">
        <f>N113*VLOOKUP('Données projet'!$B$9,Paramètres!$A$1:$I$89,3,0)*VLOOKUP('Données projet'!$B$9,Paramètres!$A$1:$I$89,5,0)</f>
        <v>456.2740000000004</v>
      </c>
      <c r="P113" s="13">
        <f t="shared" si="87"/>
        <v>103.09649786611838</v>
      </c>
      <c r="Q113" s="20">
        <f t="shared" si="107"/>
        <v>974.23695045015677</v>
      </c>
      <c r="R113" s="59">
        <f t="shared" si="55"/>
        <v>1267.5702837834901</v>
      </c>
      <c r="S113" s="59">
        <f ca="1">AVERAGE(OFFSET($R$3,0,0,'Données projet'!$E$9+1,1))-AVERAGE(OFFSET($H$3,0,0,'Données projet'!$E$9+1,1))</f>
        <v>443.63756287217456</v>
      </c>
      <c r="T113" s="59">
        <f t="shared" si="88"/>
        <v>384.990641425788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58.749546054921524</v>
      </c>
      <c r="AA113" s="21">
        <f>EXP(-LN(2)/25)*AA112+(1-EXP(-LN(2)/25))/(LN(2)/25)*Calculateur!V113*Calculateur!X113*VLOOKUP('Données projet'!$B$9,Paramètres!$A$1:$I$89,3,0)*0.475*44/12</f>
        <v>7.1190766704595028</v>
      </c>
      <c r="AB113" s="21">
        <f>EXP(-LN(2)/2)*AB112+(1-EXP(-LN(2)/2))/(LN(2)/2)*V113*Y113*VLOOKUP('Données projet'!$B$9,Paramètres!$A$1:$I$89,3,0)*0.475*44/12</f>
        <v>7.1438318536103064E-14</v>
      </c>
      <c r="AC113" s="22">
        <f t="shared" si="57"/>
        <v>65.868622725381101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137.97244371990928</v>
      </c>
      <c r="AO113" s="59">
        <f t="shared" si="90"/>
        <v>340.50331317844757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25.329876803153169</v>
      </c>
      <c r="AV113" s="21">
        <f>EXP(-LN(2)/25)*AV112+(1-EXP(-LN(2)/25))/(LN(2)/25)*Calculateur!AQ113*Calculateur!AS113*VLOOKUP('Données projet'!$B$10,Paramètres!$A$1:$I$89,3,0)*0.475*44/12</f>
        <v>1.5645218711515667</v>
      </c>
      <c r="AW113" s="21">
        <f>EXP(-LN(2)/2)*AW112+(1-EXP(-LN(2)/2))/(LN(2)/2)*AQ113*AT113*VLOOKUP('Données projet'!$B$10,Paramètres!$A$1:$I$89,3,0)*0.475*44/12</f>
        <v>4.0892706240406271E-14</v>
      </c>
      <c r="AX113" s="21">
        <f t="shared" si="60"/>
        <v>26.894398674304778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137.97244371990928</v>
      </c>
      <c r="BJ113" s="59">
        <f t="shared" si="92"/>
        <v>340.50331317844757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25.329876803153169</v>
      </c>
      <c r="BQ113" s="21">
        <f>EXP(-LN(2)/25)*BQ112+(1-EXP(-LN(2)/25))/(LN(2)/25)*Calculateur!BL113*Calculateur!BN113*VLOOKUP('Données projet'!$B$11,Paramètres!$A$1:$I$89,3,0)*0.475*44/12</f>
        <v>1.5645218711515667</v>
      </c>
      <c r="BR113" s="21">
        <f>EXP(-LN(2)/2)*BR112+(1-EXP(-LN(2)/2))/(LN(2)/2)*BL113*BO113*VLOOKUP('Données projet'!$B$11,Paramètres!$A$1:$I$89,3,0)*0.475*44/12</f>
        <v>4.0892706240406271E-14</v>
      </c>
      <c r="BS113" s="22">
        <f t="shared" si="63"/>
        <v>26.894398674304778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4.2</v>
      </c>
      <c r="BX113" s="12">
        <f t="array" ref="BX113">INDEX(BW:BW,MIN(IF(ISNUMBER(BW113:BW309),ROW(BW113:BW309),"")))</f>
        <v>4.2</v>
      </c>
      <c r="BY113" s="12">
        <f>IF('Données projet'!$A$114&gt;35,BY112+BX113-CG112,IF(A113&lt;'Données projet'!$A$114,$BV$205^A113,IF(A113='Données projet'!$A$114,'Données projet'!$B$114,BY112+BX113-CG112)))</f>
        <v>284.99999999999994</v>
      </c>
      <c r="BZ113" s="13">
        <f>BY113*VLOOKUP('Données projet'!$B$12,Paramètres!$A$1:$I$89,3,0)*VLOOKUP('Données projet'!$B$12,Paramètres!$A$1:$I$89,5,0)</f>
        <v>257.86799999999994</v>
      </c>
      <c r="CA113" s="13">
        <f t="shared" si="93"/>
        <v>62.267704162827528</v>
      </c>
      <c r="CB113" s="20">
        <f t="shared" si="64"/>
        <v>557.56968475025781</v>
      </c>
      <c r="CC113" s="59">
        <f t="shared" si="65"/>
        <v>850.90301808359118</v>
      </c>
      <c r="CD113" s="59">
        <f ca="1">AVERAGE(OFFSET($CC$3,0,0,'Données projet'!$E$12+1,1))-AVERAGE(OFFSET($H$3,0,0,'Données projet'!$E$12+1,1))</f>
        <v>216.16148211123436</v>
      </c>
      <c r="CE113" s="59">
        <f t="shared" si="94"/>
        <v>132.59131750490178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19</v>
      </c>
      <c r="CH113" s="16">
        <f>IF(ISNA(VLOOKUP(A113,'Données projet'!$A$113:$I$133,5,0)),0%,VLOOKUP(A113,'Données projet'!$A$113:$I$133,5,0)*VLOOKUP('Données projet'!$B$12,Paramètres!$A$1:$I$89,7,0))</f>
        <v>0.43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74.906595569902251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74.906595569902251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100.43279999999986</v>
      </c>
      <c r="D114" s="11">
        <f t="shared" si="86"/>
        <v>27.06508024992765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984.19416333277388</v>
      </c>
      <c r="H114" s="66">
        <f t="shared" si="56"/>
        <v>515.39214143529034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763.00000000000057</v>
      </c>
      <c r="O114" s="13">
        <f>N114*VLOOKUP('Données projet'!$B$9,Paramètres!$A$1:$I$89,3,0)*VLOOKUP('Données projet'!$B$9,Paramètres!$A$1:$I$89,5,0)</f>
        <v>456.2740000000004</v>
      </c>
      <c r="P114" s="13">
        <f t="shared" si="87"/>
        <v>103.09649786611838</v>
      </c>
      <c r="Q114" s="20">
        <f t="shared" si="107"/>
        <v>974.23695045015677</v>
      </c>
      <c r="R114" s="59">
        <f t="shared" si="55"/>
        <v>1267.5702837834901</v>
      </c>
      <c r="S114" s="59">
        <f ca="1">AVERAGE(OFFSET($R$3,0,0,'Données projet'!$E$9+1,1))-AVERAGE(OFFSET($H$3,0,0,'Données projet'!$E$9+1,1))</f>
        <v>443.63756287217456</v>
      </c>
      <c r="T114" s="59">
        <f t="shared" si="88"/>
        <v>384.990641425788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57.597503290469326</v>
      </c>
      <c r="AA114" s="21">
        <f>EXP(-LN(2)/25)*AA113+(1-EXP(-LN(2)/25))/(LN(2)/25)*Calculateur!V114*Calculateur!X114*VLOOKUP('Données projet'!$B$9,Paramètres!$A$1:$I$89,3,0)*0.475*44/12</f>
        <v>6.9244051445298167</v>
      </c>
      <c r="AB114" s="21">
        <f>EXP(-LN(2)/2)*AB113+(1-EXP(-LN(2)/2))/(LN(2)/2)*V114*Y114*VLOOKUP('Données projet'!$B$9,Paramètres!$A$1:$I$89,3,0)*0.475*44/12</f>
        <v>5.0514519473443112E-14</v>
      </c>
      <c r="AC114" s="22">
        <f t="shared" si="57"/>
        <v>64.521908434999204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137.97244371990928</v>
      </c>
      <c r="AO114" s="59">
        <f t="shared" si="90"/>
        <v>340.50331317844757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24.833173368742653</v>
      </c>
      <c r="AV114" s="21">
        <f>EXP(-LN(2)/25)*AV113+(1-EXP(-LN(2)/25))/(LN(2)/25)*Calculateur!AQ114*Calculateur!AS114*VLOOKUP('Données projet'!$B$10,Paramètres!$A$1:$I$89,3,0)*0.475*44/12</f>
        <v>1.5217399383102976</v>
      </c>
      <c r="AW114" s="21">
        <f>EXP(-LN(2)/2)*AW113+(1-EXP(-LN(2)/2))/(LN(2)/2)*AQ114*AT114*VLOOKUP('Données projet'!$B$10,Paramètres!$A$1:$I$89,3,0)*0.475*44/12</f>
        <v>2.8915509883660724E-14</v>
      </c>
      <c r="AX114" s="21">
        <f t="shared" si="60"/>
        <v>26.354913307052978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137.97244371990928</v>
      </c>
      <c r="BJ114" s="59">
        <f t="shared" si="92"/>
        <v>340.50331317844757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24.833173368742653</v>
      </c>
      <c r="BQ114" s="21">
        <f>EXP(-LN(2)/25)*BQ113+(1-EXP(-LN(2)/25))/(LN(2)/25)*Calculateur!BL114*Calculateur!BN114*VLOOKUP('Données projet'!$B$11,Paramètres!$A$1:$I$89,3,0)*0.475*44/12</f>
        <v>1.5217399383102976</v>
      </c>
      <c r="BR114" s="21">
        <f>EXP(-LN(2)/2)*BR113+(1-EXP(-LN(2)/2))/(LN(2)/2)*BL114*BO114*VLOOKUP('Données projet'!$B$11,Paramètres!$A$1:$I$89,3,0)*0.475*44/12</f>
        <v>2.8915509883660724E-14</v>
      </c>
      <c r="BS114" s="22">
        <f t="shared" si="63"/>
        <v>26.354913307052978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3.8</v>
      </c>
      <c r="BY114" s="12">
        <f>IF('Données projet'!$A$114&gt;35,BY113+BX114-CG113,IF(A114&lt;'Données projet'!$A$114,$BV$205^A114,IF(A114='Données projet'!$A$114,'Données projet'!$B$114,BY113+BX114-CG113)))</f>
        <v>269.79999999999995</v>
      </c>
      <c r="BZ114" s="13">
        <f>BY114*VLOOKUP('Données projet'!$B$12,Paramètres!$A$1:$I$89,3,0)*VLOOKUP('Données projet'!$B$12,Paramètres!$A$1:$I$89,5,0)</f>
        <v>244.11503999999994</v>
      </c>
      <c r="CA114" s="13">
        <f t="shared" si="93"/>
        <v>59.324023461759012</v>
      </c>
      <c r="CB114" s="20">
        <f t="shared" si="64"/>
        <v>528.48970219589683</v>
      </c>
      <c r="CC114" s="59">
        <f t="shared" si="65"/>
        <v>821.82303552923008</v>
      </c>
      <c r="CD114" s="59">
        <f ca="1">AVERAGE(OFFSET($CC$3,0,0,'Données projet'!$E$12+1,1))-AVERAGE(OFFSET($H$3,0,0,'Données projet'!$E$12+1,1))</f>
        <v>216.16148211123436</v>
      </c>
      <c r="CE114" s="59">
        <f t="shared" si="94"/>
        <v>132.59131750490178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73.437722919288404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73.437722919288404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101.33759999999985</v>
      </c>
      <c r="D115" s="11">
        <f t="shared" si="86"/>
        <v>27.280415454305516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992.84082105077835</v>
      </c>
      <c r="H115" s="66">
        <f t="shared" si="56"/>
        <v>517.34304358291524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763.00000000000057</v>
      </c>
      <c r="O115" s="13">
        <f>N115*VLOOKUP('Données projet'!$B$9,Paramètres!$A$1:$I$89,3,0)*VLOOKUP('Données projet'!$B$9,Paramètres!$A$1:$I$89,5,0)</f>
        <v>456.2740000000004</v>
      </c>
      <c r="P115" s="13">
        <f t="shared" si="87"/>
        <v>103.09649786611838</v>
      </c>
      <c r="Q115" s="20">
        <f t="shared" si="107"/>
        <v>974.23695045015677</v>
      </c>
      <c r="R115" s="59">
        <f t="shared" si="55"/>
        <v>1267.5702837834901</v>
      </c>
      <c r="S115" s="59">
        <f ca="1">AVERAGE(OFFSET($R$3,0,0,'Données projet'!$E$9+1,1))-AVERAGE(OFFSET($H$3,0,0,'Données projet'!$E$9+1,1))</f>
        <v>443.63756287217456</v>
      </c>
      <c r="T115" s="59">
        <f t="shared" si="88"/>
        <v>384.990641425788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56.468051381951334</v>
      </c>
      <c r="AA115" s="21">
        <f>EXP(-LN(2)/25)*AA114+(1-EXP(-LN(2)/25))/(LN(2)/25)*Calculateur!V115*Calculateur!X115*VLOOKUP('Données projet'!$B$9,Paramètres!$A$1:$I$89,3,0)*0.475*44/12</f>
        <v>6.7350569217140084</v>
      </c>
      <c r="AB115" s="21">
        <f>EXP(-LN(2)/2)*AB114+(1-EXP(-LN(2)/2))/(LN(2)/2)*V115*Y115*VLOOKUP('Données projet'!$B$9,Paramètres!$A$1:$I$89,3,0)*0.475*44/12</f>
        <v>3.5719159268051532E-14</v>
      </c>
      <c r="AC115" s="22">
        <f t="shared" si="57"/>
        <v>63.203108303665381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137.97244371990928</v>
      </c>
      <c r="AO115" s="59">
        <f t="shared" si="90"/>
        <v>340.50331317844757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24.34620998572175</v>
      </c>
      <c r="AV115" s="21">
        <f>EXP(-LN(2)/25)*AV114+(1-EXP(-LN(2)/25))/(LN(2)/25)*Calculateur!AQ115*Calculateur!AS115*VLOOKUP('Données projet'!$B$10,Paramètres!$A$1:$I$89,3,0)*0.475*44/12</f>
        <v>1.4801278796723771</v>
      </c>
      <c r="AW115" s="21">
        <f>EXP(-LN(2)/2)*AW114+(1-EXP(-LN(2)/2))/(LN(2)/2)*AQ115*AT115*VLOOKUP('Données projet'!$B$10,Paramètres!$A$1:$I$89,3,0)*0.475*44/12</f>
        <v>2.0446353120203136E-14</v>
      </c>
      <c r="AX115" s="21">
        <f t="shared" si="60"/>
        <v>25.826337865394148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137.97244371990928</v>
      </c>
      <c r="BJ115" s="59">
        <f t="shared" si="92"/>
        <v>340.50331317844757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24.34620998572175</v>
      </c>
      <c r="BQ115" s="21">
        <f>EXP(-LN(2)/25)*BQ114+(1-EXP(-LN(2)/25))/(LN(2)/25)*Calculateur!BL115*Calculateur!BN115*VLOOKUP('Données projet'!$B$11,Paramètres!$A$1:$I$89,3,0)*0.475*44/12</f>
        <v>1.4801278796723771</v>
      </c>
      <c r="BR115" s="21">
        <f>EXP(-LN(2)/2)*BR114+(1-EXP(-LN(2)/2))/(LN(2)/2)*BL115*BO115*VLOOKUP('Données projet'!$B$11,Paramètres!$A$1:$I$89,3,0)*0.475*44/12</f>
        <v>2.0446353120203136E-14</v>
      </c>
      <c r="BS115" s="22">
        <f t="shared" si="63"/>
        <v>25.826337865394148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3.8</v>
      </c>
      <c r="BY115" s="12">
        <f>IF('Données projet'!$A$114&gt;35,BY114+BX115-CG114,IF(A115&lt;'Données projet'!$A$114,$BV$205^A115,IF(A115='Données projet'!$A$114,'Données projet'!$B$114,BY114+BX115-CG114)))</f>
        <v>273.59999999999997</v>
      </c>
      <c r="BZ115" s="13">
        <f>BY115*VLOOKUP('Données projet'!$B$12,Paramètres!$A$1:$I$89,3,0)*VLOOKUP('Données projet'!$B$12,Paramètres!$A$1:$I$89,5,0)</f>
        <v>247.55327999999994</v>
      </c>
      <c r="CA115" s="13">
        <f t="shared" si="93"/>
        <v>60.061713068870255</v>
      </c>
      <c r="CB115" s="20">
        <f t="shared" si="64"/>
        <v>535.76277959494894</v>
      </c>
      <c r="CC115" s="59">
        <f t="shared" si="65"/>
        <v>829.09611292828231</v>
      </c>
      <c r="CD115" s="59">
        <f ca="1">AVERAGE(OFFSET($CC$3,0,0,'Données projet'!$E$12+1,1))-AVERAGE(OFFSET($H$3,0,0,'Données projet'!$E$12+1,1))</f>
        <v>216.16148211123436</v>
      </c>
      <c r="CE115" s="59">
        <f t="shared" si="94"/>
        <v>132.59131750490178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71.997653965429237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71.997653965429237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102.24239999999985</v>
      </c>
      <c r="D116" s="11">
        <f t="shared" si="86"/>
        <v>27.495526976991435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1001.4857521030905</v>
      </c>
      <c r="H116" s="66">
        <f t="shared" si="56"/>
        <v>519.29355615159307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763.00000000000057</v>
      </c>
      <c r="O116" s="13">
        <f>N116*VLOOKUP('Données projet'!$B$9,Paramètres!$A$1:$I$89,3,0)*VLOOKUP('Données projet'!$B$9,Paramètres!$A$1:$I$89,5,0)</f>
        <v>456.2740000000004</v>
      </c>
      <c r="P116" s="13">
        <f t="shared" si="87"/>
        <v>103.09649786611838</v>
      </c>
      <c r="Q116" s="20">
        <f t="shared" si="107"/>
        <v>974.23695045015677</v>
      </c>
      <c r="R116" s="59">
        <f t="shared" si="55"/>
        <v>1267.5702837834901</v>
      </c>
      <c r="S116" s="59">
        <f ca="1">AVERAGE(OFFSET($R$3,0,0,'Données projet'!$E$9+1,1))-AVERAGE(OFFSET($H$3,0,0,'Données projet'!$E$9+1,1))</f>
        <v>443.63756287217456</v>
      </c>
      <c r="T116" s="59">
        <f t="shared" si="88"/>
        <v>384.990641425788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55.360747336461735</v>
      </c>
      <c r="AA116" s="21">
        <f>EXP(-LN(2)/25)*AA115+(1-EXP(-LN(2)/25))/(LN(2)/25)*Calculateur!V116*Calculateur!X116*VLOOKUP('Données projet'!$B$9,Paramètres!$A$1:$I$89,3,0)*0.475*44/12</f>
        <v>6.5508864360084882</v>
      </c>
      <c r="AB116" s="21">
        <f>EXP(-LN(2)/2)*AB115+(1-EXP(-LN(2)/2))/(LN(2)/2)*V116*Y116*VLOOKUP('Données projet'!$B$9,Paramètres!$A$1:$I$89,3,0)*0.475*44/12</f>
        <v>2.5257259736721556E-14</v>
      </c>
      <c r="AC116" s="22">
        <f t="shared" si="57"/>
        <v>61.911633772470253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137.97244371990928</v>
      </c>
      <c r="AO116" s="59">
        <f t="shared" si="90"/>
        <v>340.50331317844757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23.868795657623551</v>
      </c>
      <c r="AV116" s="21">
        <f>EXP(-LN(2)/25)*AV115+(1-EXP(-LN(2)/25))/(LN(2)/25)*Calculateur!AQ116*Calculateur!AS116*VLOOKUP('Données projet'!$B$10,Paramètres!$A$1:$I$89,3,0)*0.475*44/12</f>
        <v>1.4396537049661937</v>
      </c>
      <c r="AW116" s="21">
        <f>EXP(-LN(2)/2)*AW115+(1-EXP(-LN(2)/2))/(LN(2)/2)*AQ116*AT116*VLOOKUP('Données projet'!$B$10,Paramètres!$A$1:$I$89,3,0)*0.475*44/12</f>
        <v>1.4457754941830362E-14</v>
      </c>
      <c r="AX116" s="21">
        <f t="shared" si="60"/>
        <v>25.308449362589759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137.97244371990928</v>
      </c>
      <c r="BJ116" s="59">
        <f t="shared" si="92"/>
        <v>340.50331317844757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23.868795657623551</v>
      </c>
      <c r="BQ116" s="21">
        <f>EXP(-LN(2)/25)*BQ115+(1-EXP(-LN(2)/25))/(LN(2)/25)*Calculateur!BL116*Calculateur!BN116*VLOOKUP('Données projet'!$B$11,Paramètres!$A$1:$I$89,3,0)*0.475*44/12</f>
        <v>1.4396537049661937</v>
      </c>
      <c r="BR116" s="21">
        <f>EXP(-LN(2)/2)*BR115+(1-EXP(-LN(2)/2))/(LN(2)/2)*BL116*BO116*VLOOKUP('Données projet'!$B$11,Paramètres!$A$1:$I$89,3,0)*0.475*44/12</f>
        <v>1.4457754941830362E-14</v>
      </c>
      <c r="BS116" s="22">
        <f t="shared" si="63"/>
        <v>25.308449362589759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3.8</v>
      </c>
      <c r="BY116" s="12">
        <f>IF('Données projet'!$A$114&gt;35,BY115+BX116-CG115,IF(A116&lt;'Données projet'!$A$114,$BV$205^A116,IF(A116='Données projet'!$A$114,'Données projet'!$B$114,BY115+BX116-CG115)))</f>
        <v>277.39999999999998</v>
      </c>
      <c r="BZ116" s="13">
        <f>BY116*VLOOKUP('Données projet'!$B$12,Paramètres!$A$1:$I$89,3,0)*VLOOKUP('Données projet'!$B$12,Paramètres!$A$1:$I$89,5,0)</f>
        <v>250.99151999999995</v>
      </c>
      <c r="CA116" s="13">
        <f t="shared" si="93"/>
        <v>60.798211000769406</v>
      </c>
      <c r="CB116" s="20">
        <f t="shared" si="64"/>
        <v>543.03378149300659</v>
      </c>
      <c r="CC116" s="59">
        <f t="shared" si="65"/>
        <v>836.36711482633996</v>
      </c>
      <c r="CD116" s="59">
        <f ca="1">AVERAGE(OFFSET($CC$3,0,0,'Données projet'!$E$12+1,1))-AVERAGE(OFFSET($H$3,0,0,'Données projet'!$E$12+1,1))</f>
        <v>216.16148211123436</v>
      </c>
      <c r="CE116" s="59">
        <f t="shared" si="94"/>
        <v>132.59131750490178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70.585823885399918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70.585823885399918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103.14719999999984</v>
      </c>
      <c r="D117" s="11">
        <f t="shared" si="86"/>
        <v>27.710417026801426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1010.1289735402205</v>
      </c>
      <c r="H117" s="66">
        <f t="shared" si="56"/>
        <v>521.24368298834554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763.00000000000057</v>
      </c>
      <c r="O117" s="13">
        <f>N117*VLOOKUP('Données projet'!$B$9,Paramètres!$A$1:$I$89,3,0)*VLOOKUP('Données projet'!$B$9,Paramètres!$A$1:$I$89,5,0)</f>
        <v>456.2740000000004</v>
      </c>
      <c r="P117" s="13">
        <f t="shared" si="87"/>
        <v>103.09649786611838</v>
      </c>
      <c r="Q117" s="20">
        <f t="shared" si="107"/>
        <v>974.23695045015677</v>
      </c>
      <c r="R117" s="59">
        <f t="shared" si="55"/>
        <v>1267.5702837834901</v>
      </c>
      <c r="S117" s="59">
        <f ca="1">AVERAGE(OFFSET($R$3,0,0,'Données projet'!$E$9+1,1))-AVERAGE(OFFSET($H$3,0,0,'Données projet'!$E$9+1,1))</f>
        <v>443.63756287217456</v>
      </c>
      <c r="T117" s="59">
        <f t="shared" si="88"/>
        <v>384.990641425788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54.275156847915412</v>
      </c>
      <c r="AA117" s="21">
        <f>EXP(-LN(2)/25)*AA116+(1-EXP(-LN(2)/25))/(LN(2)/25)*Calculateur!V117*Calculateur!X117*VLOOKUP('Données projet'!$B$9,Paramètres!$A$1:$I$89,3,0)*0.475*44/12</f>
        <v>6.3717521019196903</v>
      </c>
      <c r="AB117" s="21">
        <f>EXP(-LN(2)/2)*AB116+(1-EXP(-LN(2)/2))/(LN(2)/2)*V117*Y117*VLOOKUP('Données projet'!$B$9,Paramètres!$A$1:$I$89,3,0)*0.475*44/12</f>
        <v>1.7859579634025766E-14</v>
      </c>
      <c r="AC117" s="22">
        <f t="shared" si="57"/>
        <v>60.646908949835122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137.97244371990928</v>
      </c>
      <c r="AO117" s="59">
        <f t="shared" si="90"/>
        <v>340.50331317844757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23.400743133305369</v>
      </c>
      <c r="AV117" s="21">
        <f>EXP(-LN(2)/25)*AV116+(1-EXP(-LN(2)/25))/(LN(2)/25)*Calculateur!AQ117*Calculateur!AS117*VLOOKUP('Données projet'!$B$10,Paramètres!$A$1:$I$89,3,0)*0.475*44/12</f>
        <v>1.4002862986957951</v>
      </c>
      <c r="AW117" s="21">
        <f>EXP(-LN(2)/2)*AW116+(1-EXP(-LN(2)/2))/(LN(2)/2)*AQ117*AT117*VLOOKUP('Données projet'!$B$10,Paramètres!$A$1:$I$89,3,0)*0.475*44/12</f>
        <v>1.0223176560101568E-14</v>
      </c>
      <c r="AX117" s="21">
        <f t="shared" si="60"/>
        <v>24.801029432001176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137.97244371990928</v>
      </c>
      <c r="BJ117" s="59">
        <f t="shared" si="92"/>
        <v>340.50331317844757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23.400743133305369</v>
      </c>
      <c r="BQ117" s="21">
        <f>EXP(-LN(2)/25)*BQ116+(1-EXP(-LN(2)/25))/(LN(2)/25)*Calculateur!BL117*Calculateur!BN117*VLOOKUP('Données projet'!$B$11,Paramètres!$A$1:$I$89,3,0)*0.475*44/12</f>
        <v>1.4002862986957951</v>
      </c>
      <c r="BR117" s="21">
        <f>EXP(-LN(2)/2)*BR116+(1-EXP(-LN(2)/2))/(LN(2)/2)*BL117*BO117*VLOOKUP('Données projet'!$B$11,Paramètres!$A$1:$I$89,3,0)*0.475*44/12</f>
        <v>1.0223176560101568E-14</v>
      </c>
      <c r="BS117" s="22">
        <f t="shared" si="63"/>
        <v>24.801029432001176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3.8</v>
      </c>
      <c r="BY117" s="12">
        <f>IF('Données projet'!$A$114&gt;35,BY116+BX117-CG116,IF(A117&lt;'Données projet'!$A$114,$BV$205^A117,IF(A117='Données projet'!$A$114,'Données projet'!$B$114,BY116+BX117-CG116)))</f>
        <v>281.2</v>
      </c>
      <c r="BZ117" s="13">
        <f>BY117*VLOOKUP('Données projet'!$B$12,Paramètres!$A$1:$I$89,3,0)*VLOOKUP('Données projet'!$B$12,Paramètres!$A$1:$I$89,5,0)</f>
        <v>254.42975999999996</v>
      </c>
      <c r="CA117" s="13">
        <f t="shared" si="93"/>
        <v>61.533535468549189</v>
      </c>
      <c r="CB117" s="20">
        <f t="shared" si="64"/>
        <v>550.30273960772308</v>
      </c>
      <c r="CC117" s="59">
        <f t="shared" si="65"/>
        <v>843.63607294105645</v>
      </c>
      <c r="CD117" s="59">
        <f ca="1">AVERAGE(OFFSET($CC$3,0,0,'Données projet'!$E$12+1,1))-AVERAGE(OFFSET($H$3,0,0,'Données projet'!$E$12+1,1))</f>
        <v>216.16148211123436</v>
      </c>
      <c r="CE117" s="59">
        <f t="shared" si="94"/>
        <v>132.59131750490178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69.201678932108649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69.201678932108649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104.05199999999984</v>
      </c>
      <c r="D118" s="11">
        <f t="shared" si="86"/>
        <v>27.925087771564368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1018.7705020962852</v>
      </c>
      <c r="H118" s="66">
        <f t="shared" si="56"/>
        <v>523.1934278688077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763.00000000000057</v>
      </c>
      <c r="O118" s="13">
        <f>N118*VLOOKUP('Données projet'!$B$9,Paramètres!$A$1:$I$89,3,0)*VLOOKUP('Données projet'!$B$9,Paramètres!$A$1:$I$89,5,0)</f>
        <v>456.2740000000004</v>
      </c>
      <c r="P118" s="13">
        <f t="shared" si="87"/>
        <v>103.09649786611838</v>
      </c>
      <c r="Q118" s="20">
        <f t="shared" si="107"/>
        <v>974.23695045015677</v>
      </c>
      <c r="R118" s="59">
        <f t="shared" si="55"/>
        <v>1267.5702837834901</v>
      </c>
      <c r="S118" s="59">
        <f ca="1">AVERAGE(OFFSET($R$3,0,0,'Données projet'!$E$9+1,1))-AVERAGE(OFFSET($H$3,0,0,'Données projet'!$E$9+1,1))</f>
        <v>443.63756287217456</v>
      </c>
      <c r="T118" s="59">
        <f t="shared" si="88"/>
        <v>384.990641425788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53.21085412670466</v>
      </c>
      <c r="AA118" s="21">
        <f>EXP(-LN(2)/25)*AA117+(1-EXP(-LN(2)/25))/(LN(2)/25)*Calculateur!V118*Calculateur!X118*VLOOKUP('Données projet'!$B$9,Paramètres!$A$1:$I$89,3,0)*0.475*44/12</f>
        <v>6.1975162056168163</v>
      </c>
      <c r="AB118" s="21">
        <f>EXP(-LN(2)/2)*AB117+(1-EXP(-LN(2)/2))/(LN(2)/2)*V118*Y118*VLOOKUP('Données projet'!$B$9,Paramètres!$A$1:$I$89,3,0)*0.475*44/12</f>
        <v>1.2628629868360778E-14</v>
      </c>
      <c r="AC118" s="22">
        <f t="shared" si="57"/>
        <v>59.408370332321489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137.97244371990928</v>
      </c>
      <c r="AO118" s="59">
        <f t="shared" si="90"/>
        <v>340.50331317844757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22.941868833505215</v>
      </c>
      <c r="AV118" s="21">
        <f>EXP(-LN(2)/25)*AV117+(1-EXP(-LN(2)/25))/(LN(2)/25)*Calculateur!AQ118*Calculateur!AS118*VLOOKUP('Données projet'!$B$10,Paramètres!$A$1:$I$89,3,0)*0.475*44/12</f>
        <v>1.3619953962201026</v>
      </c>
      <c r="AW118" s="21">
        <f>EXP(-LN(2)/2)*AW117+(1-EXP(-LN(2)/2))/(LN(2)/2)*AQ118*AT118*VLOOKUP('Données projet'!$B$10,Paramètres!$A$1:$I$89,3,0)*0.475*44/12</f>
        <v>7.2288774709151809E-15</v>
      </c>
      <c r="AX118" s="21">
        <f t="shared" si="60"/>
        <v>24.303864229725324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137.97244371990928</v>
      </c>
      <c r="BJ118" s="59">
        <f t="shared" si="92"/>
        <v>340.50331317844757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22.941868833505215</v>
      </c>
      <c r="BQ118" s="21">
        <f>EXP(-LN(2)/25)*BQ117+(1-EXP(-LN(2)/25))/(LN(2)/25)*Calculateur!BL118*Calculateur!BN118*VLOOKUP('Données projet'!$B$11,Paramètres!$A$1:$I$89,3,0)*0.475*44/12</f>
        <v>1.3619953962201026</v>
      </c>
      <c r="BR118" s="21">
        <f>EXP(-LN(2)/2)*BR117+(1-EXP(-LN(2)/2))/(LN(2)/2)*BL118*BO118*VLOOKUP('Données projet'!$B$11,Paramètres!$A$1:$I$89,3,0)*0.475*44/12</f>
        <v>7.2288774709151809E-15</v>
      </c>
      <c r="BS118" s="22">
        <f t="shared" si="63"/>
        <v>24.303864229725324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3.8</v>
      </c>
      <c r="BX118" s="12">
        <f t="array" ref="BX118">INDEX(BW:BW,MIN(IF(ISNUMBER(BW118:BW314),ROW(BW118:BW314),"")))</f>
        <v>3.8</v>
      </c>
      <c r="BY118" s="12">
        <f>IF('Données projet'!$A$114&gt;35,BY117+BX118-CG117,IF(A118&lt;'Données projet'!$A$114,$BV$205^A118,IF(A118='Données projet'!$A$114,'Données projet'!$B$114,BY117+BX118-CG117)))</f>
        <v>285</v>
      </c>
      <c r="BZ118" s="13">
        <f>BY118*VLOOKUP('Données projet'!$B$12,Paramètres!$A$1:$I$89,3,0)*VLOOKUP('Données projet'!$B$12,Paramètres!$A$1:$I$89,5,0)</f>
        <v>257.86799999999999</v>
      </c>
      <c r="CA118" s="13">
        <f t="shared" si="93"/>
        <v>62.267704162827528</v>
      </c>
      <c r="CB118" s="20">
        <f t="shared" si="64"/>
        <v>557.56968475025803</v>
      </c>
      <c r="CC118" s="59">
        <f t="shared" si="65"/>
        <v>850.90301808359141</v>
      </c>
      <c r="CD118" s="59">
        <f ca="1">AVERAGE(OFFSET($CC$3,0,0,'Données projet'!$E$12+1,1))-AVERAGE(OFFSET($H$3,0,0,'Données projet'!$E$12+1,1))</f>
        <v>216.16148211123436</v>
      </c>
      <c r="CE118" s="59">
        <f t="shared" si="94"/>
        <v>132.59131750490178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0.43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75.58645331647331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75.58645331647331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104.95679999999983</v>
      </c>
      <c r="D119" s="11">
        <f t="shared" si="86"/>
        <v>28.139541339232348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1027.4103541975817</v>
      </c>
      <c r="H119" s="66">
        <f t="shared" si="56"/>
        <v>525.14279449916262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763.00000000000057</v>
      </c>
      <c r="O119" s="13">
        <f>N119*VLOOKUP('Données projet'!$B$9,Paramètres!$A$1:$I$89,3,0)*VLOOKUP('Données projet'!$B$9,Paramètres!$A$1:$I$89,5,0)</f>
        <v>456.2740000000004</v>
      </c>
      <c r="P119" s="13">
        <f t="shared" si="87"/>
        <v>103.09649786611838</v>
      </c>
      <c r="Q119" s="20">
        <f t="shared" si="107"/>
        <v>974.23695045015677</v>
      </c>
      <c r="R119" s="59">
        <f t="shared" si="55"/>
        <v>1267.5702837834901</v>
      </c>
      <c r="S119" s="59">
        <f ca="1">AVERAGE(OFFSET($R$3,0,0,'Données projet'!$E$9+1,1))-AVERAGE(OFFSET($H$3,0,0,'Données projet'!$E$9+1,1))</f>
        <v>443.63756287217456</v>
      </c>
      <c r="T119" s="59">
        <f t="shared" si="88"/>
        <v>384.990641425788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52.16742173269629</v>
      </c>
      <c r="AA119" s="21">
        <f>EXP(-LN(2)/25)*AA118+(1-EXP(-LN(2)/25))/(LN(2)/25)*Calculateur!V119*Calculateur!X119*VLOOKUP('Données projet'!$B$9,Paramètres!$A$1:$I$89,3,0)*0.475*44/12</f>
        <v>6.0280447990610115</v>
      </c>
      <c r="AB119" s="21">
        <f>EXP(-LN(2)/2)*AB118+(1-EXP(-LN(2)/2))/(LN(2)/2)*V119*Y119*VLOOKUP('Données projet'!$B$9,Paramètres!$A$1:$I$89,3,0)*0.475*44/12</f>
        <v>8.9297898170128831E-15</v>
      </c>
      <c r="AC119" s="22">
        <f t="shared" si="57"/>
        <v>58.195466531757312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137.97244371990928</v>
      </c>
      <c r="AO119" s="59">
        <f t="shared" si="90"/>
        <v>340.50331317844757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22.491992778838455</v>
      </c>
      <c r="AV119" s="21">
        <f>EXP(-LN(2)/25)*AV118+(1-EXP(-LN(2)/25))/(LN(2)/25)*Calculateur!AQ119*Calculateur!AS119*VLOOKUP('Données projet'!$B$10,Paramètres!$A$1:$I$89,3,0)*0.475*44/12</f>
        <v>1.3247515604862388</v>
      </c>
      <c r="AW119" s="21">
        <f>EXP(-LN(2)/2)*AW118+(1-EXP(-LN(2)/2))/(LN(2)/2)*AQ119*AT119*VLOOKUP('Données projet'!$B$10,Paramètres!$A$1:$I$89,3,0)*0.475*44/12</f>
        <v>5.1115882800507839E-15</v>
      </c>
      <c r="AX119" s="21">
        <f t="shared" si="60"/>
        <v>23.816744339324696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137.97244371990928</v>
      </c>
      <c r="BJ119" s="59">
        <f t="shared" si="92"/>
        <v>340.50331317844757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22.491992778838455</v>
      </c>
      <c r="BQ119" s="21">
        <f>EXP(-LN(2)/25)*BQ118+(1-EXP(-LN(2)/25))/(LN(2)/25)*Calculateur!BL119*Calculateur!BN119*VLOOKUP('Données projet'!$B$11,Paramètres!$A$1:$I$89,3,0)*0.475*44/12</f>
        <v>1.3247515604862388</v>
      </c>
      <c r="BR119" s="21">
        <f>EXP(-LN(2)/2)*BR118+(1-EXP(-LN(2)/2))/(LN(2)/2)*BL119*BO119*VLOOKUP('Données projet'!$B$11,Paramètres!$A$1:$I$89,3,0)*0.475*44/12</f>
        <v>5.1115882800507839E-15</v>
      </c>
      <c r="BS119" s="22">
        <f t="shared" si="63"/>
        <v>23.816744339324696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267</v>
      </c>
      <c r="BZ119" s="13">
        <f>BY119*VLOOKUP('Données projet'!$B$12,Paramètres!$A$1:$I$89,3,0)*VLOOKUP('Données projet'!$B$12,Paramètres!$A$1:$I$89,5,0)</f>
        <v>241.58159999999998</v>
      </c>
      <c r="CA119" s="13">
        <f t="shared" si="93"/>
        <v>58.779689232021951</v>
      </c>
      <c r="CB119" s="20">
        <f t="shared" si="64"/>
        <v>523.12924541243819</v>
      </c>
      <c r="CC119" s="59">
        <f t="shared" si="65"/>
        <v>816.46257874577145</v>
      </c>
      <c r="CD119" s="59">
        <f ca="1">AVERAGE(OFFSET($CC$3,0,0,'Données projet'!$E$12+1,1))-AVERAGE(OFFSET($H$3,0,0,'Données projet'!$E$12+1,1))</f>
        <v>216.16148211123436</v>
      </c>
      <c r="CE119" s="59">
        <f t="shared" si="94"/>
        <v>132.59131750490178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74.104249070121483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74.104249070121483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105.86159999999983</v>
      </c>
      <c r="D120" s="11">
        <f t="shared" si="86"/>
        <v>28.353779818951264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1036.0485459708505</v>
      </c>
      <c r="H120" s="66">
        <f t="shared" si="56"/>
        <v>527.09178651800642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763.00000000000057</v>
      </c>
      <c r="O120" s="13">
        <f>N120*VLOOKUP('Données projet'!$B$9,Paramètres!$A$1:$I$89,3,0)*VLOOKUP('Données projet'!$B$9,Paramètres!$A$1:$I$89,5,0)</f>
        <v>456.2740000000004</v>
      </c>
      <c r="P120" s="13">
        <f t="shared" si="87"/>
        <v>103.09649786611838</v>
      </c>
      <c r="Q120" s="20">
        <f t="shared" si="107"/>
        <v>974.23695045015677</v>
      </c>
      <c r="R120" s="59">
        <f t="shared" si="55"/>
        <v>1267.5702837834901</v>
      </c>
      <c r="S120" s="59">
        <f ca="1">AVERAGE(OFFSET($R$3,0,0,'Données projet'!$E$9+1,1))-AVERAGE(OFFSET($H$3,0,0,'Données projet'!$E$9+1,1))</f>
        <v>443.63756287217456</v>
      </c>
      <c r="T120" s="59">
        <f t="shared" si="88"/>
        <v>384.990641425788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51.144450411503506</v>
      </c>
      <c r="AA120" s="21">
        <f>EXP(-LN(2)/25)*AA119+(1-EXP(-LN(2)/25))/(LN(2)/25)*Calculateur!V120*Calculateur!X120*VLOOKUP('Données projet'!$B$9,Paramètres!$A$1:$I$89,3,0)*0.475*44/12</f>
        <v>5.8632075970295894</v>
      </c>
      <c r="AB120" s="21">
        <f>EXP(-LN(2)/2)*AB119+(1-EXP(-LN(2)/2))/(LN(2)/2)*V120*Y120*VLOOKUP('Données projet'!$B$9,Paramètres!$A$1:$I$89,3,0)*0.475*44/12</f>
        <v>6.314314934180389E-15</v>
      </c>
      <c r="AC120" s="22">
        <f t="shared" si="57"/>
        <v>57.007658008533106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137.97244371990928</v>
      </c>
      <c r="AO120" s="59">
        <f t="shared" si="90"/>
        <v>340.50331317844757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22.050938519206412</v>
      </c>
      <c r="AV120" s="21">
        <f>EXP(-LN(2)/25)*AV119+(1-EXP(-LN(2)/25))/(LN(2)/25)*Calculateur!AQ120*Calculateur!AS120*VLOOKUP('Données projet'!$B$10,Paramètres!$A$1:$I$89,3,0)*0.475*44/12</f>
        <v>1.2885261593990858</v>
      </c>
      <c r="AW120" s="21">
        <f>EXP(-LN(2)/2)*AW119+(1-EXP(-LN(2)/2))/(LN(2)/2)*AQ120*AT120*VLOOKUP('Données projet'!$B$10,Paramètres!$A$1:$I$89,3,0)*0.475*44/12</f>
        <v>3.6144387354575905E-15</v>
      </c>
      <c r="AX120" s="21">
        <f t="shared" si="60"/>
        <v>23.339464678605502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137.97244371990928</v>
      </c>
      <c r="BJ120" s="59">
        <f t="shared" si="92"/>
        <v>340.50331317844757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22.050938519206412</v>
      </c>
      <c r="BQ120" s="21">
        <f>EXP(-LN(2)/25)*BQ119+(1-EXP(-LN(2)/25))/(LN(2)/25)*Calculateur!BL120*Calculateur!BN120*VLOOKUP('Données projet'!$B$11,Paramètres!$A$1:$I$89,3,0)*0.475*44/12</f>
        <v>1.2885261593990858</v>
      </c>
      <c r="BR120" s="21">
        <f>EXP(-LN(2)/2)*BR119+(1-EXP(-LN(2)/2))/(LN(2)/2)*BL120*BO120*VLOOKUP('Données projet'!$B$11,Paramètres!$A$1:$I$89,3,0)*0.475*44/12</f>
        <v>3.6144387354575905E-15</v>
      </c>
      <c r="BS120" s="22">
        <f t="shared" si="63"/>
        <v>23.339464678605502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267</v>
      </c>
      <c r="BZ120" s="13">
        <f>BY120*VLOOKUP('Données projet'!$B$12,Paramètres!$A$1:$I$89,3,0)*VLOOKUP('Données projet'!$B$12,Paramètres!$A$1:$I$89,5,0)</f>
        <v>241.58159999999998</v>
      </c>
      <c r="CA120" s="13">
        <f t="shared" si="93"/>
        <v>58.779689232021951</v>
      </c>
      <c r="CB120" s="20">
        <f t="shared" si="64"/>
        <v>523.12924541243819</v>
      </c>
      <c r="CC120" s="59">
        <f t="shared" si="65"/>
        <v>816.46257874577145</v>
      </c>
      <c r="CD120" s="59">
        <f ca="1">AVERAGE(OFFSET($CC$3,0,0,'Données projet'!$E$12+1,1))-AVERAGE(OFFSET($H$3,0,0,'Données projet'!$E$12+1,1))</f>
        <v>216.16148211123436</v>
      </c>
      <c r="CE120" s="59">
        <f t="shared" si="94"/>
        <v>132.59131750490178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72.651109944985294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72.651109944985294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106.76639999999982</v>
      </c>
      <c r="D121" s="11">
        <f t="shared" si="86"/>
        <v>28.567805262094151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1044.6850932512518</v>
      </c>
      <c r="H121" s="66">
        <f t="shared" si="56"/>
        <v>529.04040749814703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763.00000000000057</v>
      </c>
      <c r="O121" s="13">
        <f>N121*VLOOKUP('Données projet'!$B$9,Paramètres!$A$1:$I$89,3,0)*VLOOKUP('Données projet'!$B$9,Paramètres!$A$1:$I$89,5,0)</f>
        <v>456.2740000000004</v>
      </c>
      <c r="P121" s="13">
        <f t="shared" si="87"/>
        <v>103.09649786611838</v>
      </c>
      <c r="Q121" s="20">
        <f t="shared" si="107"/>
        <v>974.23695045015677</v>
      </c>
      <c r="R121" s="59">
        <f t="shared" si="55"/>
        <v>1267.5702837834901</v>
      </c>
      <c r="S121" s="59">
        <f ca="1">AVERAGE(OFFSET($R$3,0,0,'Données projet'!$E$9+1,1))-AVERAGE(OFFSET($H$3,0,0,'Données projet'!$E$9+1,1))</f>
        <v>443.63756287217456</v>
      </c>
      <c r="T121" s="59">
        <f t="shared" si="88"/>
        <v>384.990641425788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50.14153893396842</v>
      </c>
      <c r="AA121" s="21">
        <f>EXP(-LN(2)/25)*AA120+(1-EXP(-LN(2)/25))/(LN(2)/25)*Calculateur!V121*Calculateur!X121*VLOOKUP('Données projet'!$B$9,Paramètres!$A$1:$I$89,3,0)*0.475*44/12</f>
        <v>5.7028778769561281</v>
      </c>
      <c r="AB121" s="21">
        <f>EXP(-LN(2)/2)*AB120+(1-EXP(-LN(2)/2))/(LN(2)/2)*V121*Y121*VLOOKUP('Données projet'!$B$9,Paramètres!$A$1:$I$89,3,0)*0.475*44/12</f>
        <v>4.4648949085064415E-15</v>
      </c>
      <c r="AC121" s="22">
        <f t="shared" si="57"/>
        <v>55.844416810924557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137.97244371990928</v>
      </c>
      <c r="AO121" s="59">
        <f t="shared" si="90"/>
        <v>340.50331317844757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21.618533064589219</v>
      </c>
      <c r="AV121" s="21">
        <f>EXP(-LN(2)/25)*AV120+(1-EXP(-LN(2)/25))/(LN(2)/25)*Calculateur!AQ121*Calculateur!AS121*VLOOKUP('Données projet'!$B$10,Paramètres!$A$1:$I$89,3,0)*0.475*44/12</f>
        <v>1.253291343809672</v>
      </c>
      <c r="AW121" s="21">
        <f>EXP(-LN(2)/2)*AW120+(1-EXP(-LN(2)/2))/(LN(2)/2)*AQ121*AT121*VLOOKUP('Données projet'!$B$10,Paramètres!$A$1:$I$89,3,0)*0.475*44/12</f>
        <v>2.555794140025392E-15</v>
      </c>
      <c r="AX121" s="21">
        <f t="shared" si="60"/>
        <v>22.871824408398894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137.97244371990928</v>
      </c>
      <c r="BJ121" s="59">
        <f t="shared" si="92"/>
        <v>340.50331317844757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21.618533064589219</v>
      </c>
      <c r="BQ121" s="21">
        <f>EXP(-LN(2)/25)*BQ120+(1-EXP(-LN(2)/25))/(LN(2)/25)*Calculateur!BL121*Calculateur!BN121*VLOOKUP('Données projet'!$B$11,Paramètres!$A$1:$I$89,3,0)*0.475*44/12</f>
        <v>1.253291343809672</v>
      </c>
      <c r="BR121" s="21">
        <f>EXP(-LN(2)/2)*BR120+(1-EXP(-LN(2)/2))/(LN(2)/2)*BL121*BO121*VLOOKUP('Données projet'!$B$11,Paramètres!$A$1:$I$89,3,0)*0.475*44/12</f>
        <v>2.555794140025392E-15</v>
      </c>
      <c r="BS121" s="22">
        <f t="shared" si="63"/>
        <v>22.871824408398894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267</v>
      </c>
      <c r="BZ121" s="13">
        <f>BY121*VLOOKUP('Données projet'!$B$12,Paramètres!$A$1:$I$89,3,0)*VLOOKUP('Données projet'!$B$12,Paramètres!$A$1:$I$89,5,0)</f>
        <v>241.58159999999998</v>
      </c>
      <c r="CA121" s="13">
        <f t="shared" si="93"/>
        <v>58.779689232021951</v>
      </c>
      <c r="CB121" s="20">
        <f t="shared" si="64"/>
        <v>523.12924541243819</v>
      </c>
      <c r="CC121" s="59">
        <f t="shared" si="65"/>
        <v>816.46257874577145</v>
      </c>
      <c r="CD121" s="59">
        <f ca="1">AVERAGE(OFFSET($CC$3,0,0,'Données projet'!$E$12+1,1))-AVERAGE(OFFSET($H$3,0,0,'Données projet'!$E$12+1,1))</f>
        <v>216.16148211123436</v>
      </c>
      <c r="CE121" s="59">
        <f t="shared" si="94"/>
        <v>132.59131750490178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71.226465991765679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71.226465991765679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107.67119999999981</v>
      </c>
      <c r="D122" s="11">
        <f t="shared" si="86"/>
        <v>28.781619683258331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1053.3200115900629</v>
      </c>
      <c r="H122" s="66">
        <f t="shared" si="56"/>
        <v>530.98866094834125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763.00000000000057</v>
      </c>
      <c r="O122" s="13">
        <f>N122*VLOOKUP('Données projet'!$B$9,Paramètres!$A$1:$I$89,3,0)*VLOOKUP('Données projet'!$B$9,Paramètres!$A$1:$I$89,5,0)</f>
        <v>456.2740000000004</v>
      </c>
      <c r="P122" s="13">
        <f t="shared" si="87"/>
        <v>103.09649786611838</v>
      </c>
      <c r="Q122" s="20">
        <f t="shared" si="107"/>
        <v>974.23695045015677</v>
      </c>
      <c r="R122" s="59">
        <f t="shared" si="55"/>
        <v>1267.5702837834901</v>
      </c>
      <c r="S122" s="59">
        <f ca="1">AVERAGE(OFFSET($R$3,0,0,'Données projet'!$E$9+1,1))-AVERAGE(OFFSET($H$3,0,0,'Données projet'!$E$9+1,1))</f>
        <v>443.63756287217456</v>
      </c>
      <c r="T122" s="59">
        <f t="shared" si="88"/>
        <v>384.990641425788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49.158293938792198</v>
      </c>
      <c r="AA122" s="21">
        <f>EXP(-LN(2)/25)*AA121+(1-EXP(-LN(2)/25))/(LN(2)/25)*Calculateur!V122*Calculateur!X122*VLOOKUP('Données projet'!$B$9,Paramètres!$A$1:$I$89,3,0)*0.475*44/12</f>
        <v>5.5469323815094498</v>
      </c>
      <c r="AB122" s="21">
        <f>EXP(-LN(2)/2)*AB121+(1-EXP(-LN(2)/2))/(LN(2)/2)*V122*Y122*VLOOKUP('Données projet'!$B$9,Paramètres!$A$1:$I$89,3,0)*0.475*44/12</f>
        <v>3.1571574670901945E-15</v>
      </c>
      <c r="AC122" s="22">
        <f t="shared" si="57"/>
        <v>54.705226320301648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137.97244371990928</v>
      </c>
      <c r="AO122" s="59">
        <f t="shared" si="90"/>
        <v>340.50331317844757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21.194606817195783</v>
      </c>
      <c r="AV122" s="21">
        <f>EXP(-LN(2)/25)*AV121+(1-EXP(-LN(2)/25))/(LN(2)/25)*Calculateur!AQ122*Calculateur!AS122*VLOOKUP('Données projet'!$B$10,Paramètres!$A$1:$I$89,3,0)*0.475*44/12</f>
        <v>1.2190200261054691</v>
      </c>
      <c r="AW122" s="21">
        <f>EXP(-LN(2)/2)*AW121+(1-EXP(-LN(2)/2))/(LN(2)/2)*AQ122*AT122*VLOOKUP('Données projet'!$B$10,Paramètres!$A$1:$I$89,3,0)*0.475*44/12</f>
        <v>1.8072193677287952E-15</v>
      </c>
      <c r="AX122" s="21">
        <f t="shared" si="60"/>
        <v>22.413626843301255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137.97244371990928</v>
      </c>
      <c r="BJ122" s="59">
        <f t="shared" si="92"/>
        <v>340.50331317844757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21.194606817195783</v>
      </c>
      <c r="BQ122" s="21">
        <f>EXP(-LN(2)/25)*BQ121+(1-EXP(-LN(2)/25))/(LN(2)/25)*Calculateur!BL122*Calculateur!BN122*VLOOKUP('Données projet'!$B$11,Paramètres!$A$1:$I$89,3,0)*0.475*44/12</f>
        <v>1.2190200261054691</v>
      </c>
      <c r="BR122" s="21">
        <f>EXP(-LN(2)/2)*BR121+(1-EXP(-LN(2)/2))/(LN(2)/2)*BL122*BO122*VLOOKUP('Données projet'!$B$11,Paramètres!$A$1:$I$89,3,0)*0.475*44/12</f>
        <v>1.8072193677287952E-15</v>
      </c>
      <c r="BS122" s="22">
        <f t="shared" si="63"/>
        <v>22.413626843301255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267</v>
      </c>
      <c r="BZ122" s="13">
        <f>BY122*VLOOKUP('Données projet'!$B$12,Paramètres!$A$1:$I$89,3,0)*VLOOKUP('Données projet'!$B$12,Paramètres!$A$1:$I$89,5,0)</f>
        <v>241.58159999999998</v>
      </c>
      <c r="CA122" s="13">
        <f t="shared" si="93"/>
        <v>58.779689232021951</v>
      </c>
      <c r="CB122" s="20">
        <f t="shared" si="64"/>
        <v>523.12924541243819</v>
      </c>
      <c r="CC122" s="59">
        <f t="shared" si="65"/>
        <v>816.46257874577145</v>
      </c>
      <c r="CD122" s="59">
        <f ca="1">AVERAGE(OFFSET($CC$3,0,0,'Données projet'!$E$12+1,1))-AVERAGE(OFFSET($H$3,0,0,'Données projet'!$E$12+1,1))</f>
        <v>216.16148211123436</v>
      </c>
      <c r="CE122" s="59">
        <f t="shared" si="94"/>
        <v>132.59131750490178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69.82975843752169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69.82975843752169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108.57599999999981</v>
      </c>
      <c r="D123" s="11">
        <f t="shared" si="86"/>
        <v>28.995225061227977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1061.9533162621092</v>
      </c>
      <c r="H123" s="66">
        <f t="shared" si="56"/>
        <v>532.93655031497167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763.00000000000057</v>
      </c>
      <c r="O123" s="13">
        <f>N123*VLOOKUP('Données projet'!$B$9,Paramètres!$A$1:$I$89,3,0)*VLOOKUP('Données projet'!$B$9,Paramètres!$A$1:$I$89,5,0)</f>
        <v>456.2740000000004</v>
      </c>
      <c r="P123" s="13">
        <f t="shared" si="87"/>
        <v>103.09649786611838</v>
      </c>
      <c r="Q123" s="20">
        <f t="shared" si="107"/>
        <v>974.23695045015677</v>
      </c>
      <c r="R123" s="59">
        <f t="shared" si="55"/>
        <v>1267.5702837834901</v>
      </c>
      <c r="S123" s="59">
        <f ca="1">AVERAGE(OFFSET($R$3,0,0,'Données projet'!$E$9+1,1))-AVERAGE(OFFSET($H$3,0,0,'Données projet'!$E$9+1,1))</f>
        <v>443.63756287217456</v>
      </c>
      <c r="T123" s="59">
        <f t="shared" si="88"/>
        <v>384.990641425788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48.194329778251152</v>
      </c>
      <c r="AA123" s="21">
        <f>EXP(-LN(2)/25)*AA122+(1-EXP(-LN(2)/25))/(LN(2)/25)*Calculateur!V123*Calculateur!X123*VLOOKUP('Données projet'!$B$9,Paramètres!$A$1:$I$89,3,0)*0.475*44/12</f>
        <v>5.3952512238365777</v>
      </c>
      <c r="AB123" s="21">
        <f>EXP(-LN(2)/2)*AB122+(1-EXP(-LN(2)/2))/(LN(2)/2)*V123*Y123*VLOOKUP('Données projet'!$B$9,Paramètres!$A$1:$I$89,3,0)*0.475*44/12</f>
        <v>2.2324474542532208E-15</v>
      </c>
      <c r="AC123" s="22">
        <f t="shared" si="57"/>
        <v>53.589581002087726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137.97244371990928</v>
      </c>
      <c r="AO123" s="59">
        <f t="shared" si="90"/>
        <v>340.50331317844757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20.778993504944253</v>
      </c>
      <c r="AV123" s="21">
        <f>EXP(-LN(2)/25)*AV122+(1-EXP(-LN(2)/25))/(LN(2)/25)*Calculateur!AQ123*Calculateur!AS123*VLOOKUP('Données projet'!$B$10,Paramètres!$A$1:$I$89,3,0)*0.475*44/12</f>
        <v>1.1856858593861379</v>
      </c>
      <c r="AW123" s="21">
        <f>EXP(-LN(2)/2)*AW122+(1-EXP(-LN(2)/2))/(LN(2)/2)*AQ123*AT123*VLOOKUP('Données projet'!$B$10,Paramètres!$A$1:$I$89,3,0)*0.475*44/12</f>
        <v>1.277897070012696E-15</v>
      </c>
      <c r="AX123" s="21">
        <f t="shared" si="60"/>
        <v>21.96467936433039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137.97244371990928</v>
      </c>
      <c r="BJ123" s="59">
        <f t="shared" si="92"/>
        <v>340.50331317844757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20.778993504944253</v>
      </c>
      <c r="BQ123" s="21">
        <f>EXP(-LN(2)/25)*BQ122+(1-EXP(-LN(2)/25))/(LN(2)/25)*Calculateur!BL123*Calculateur!BN123*VLOOKUP('Données projet'!$B$11,Paramètres!$A$1:$I$89,3,0)*0.475*44/12</f>
        <v>1.1856858593861379</v>
      </c>
      <c r="BR123" s="21">
        <f>EXP(-LN(2)/2)*BR122+(1-EXP(-LN(2)/2))/(LN(2)/2)*BL123*BO123*VLOOKUP('Données projet'!$B$11,Paramètres!$A$1:$I$89,3,0)*0.475*44/12</f>
        <v>1.277897070012696E-15</v>
      </c>
      <c r="BS123" s="22">
        <f t="shared" si="63"/>
        <v>21.96467936433039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267</v>
      </c>
      <c r="BZ123" s="13">
        <f>BY123*VLOOKUP('Données projet'!$B$12,Paramètres!$A$1:$I$89,3,0)*VLOOKUP('Données projet'!$B$12,Paramètres!$A$1:$I$89,5,0)</f>
        <v>241.58159999999998</v>
      </c>
      <c r="CA123" s="13">
        <f t="shared" si="93"/>
        <v>58.779689232021951</v>
      </c>
      <c r="CB123" s="20">
        <f t="shared" si="64"/>
        <v>523.12924541243819</v>
      </c>
      <c r="CC123" s="59">
        <f t="shared" si="65"/>
        <v>816.46257874577145</v>
      </c>
      <c r="CD123" s="59">
        <f ca="1">AVERAGE(OFFSET($CC$3,0,0,'Données projet'!$E$12+1,1))-AVERAGE(OFFSET($H$3,0,0,'Données projet'!$E$12+1,1))</f>
        <v>216.16148211123436</v>
      </c>
      <c r="CE123" s="59">
        <f t="shared" si="94"/>
        <v>132.59131750490178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68.46043946650893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68.46043946650893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109.4807999999998</v>
      </c>
      <c r="D124" s="11">
        <f t="shared" si="86"/>
        <v>29.20862333990387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1070.5850222729407</v>
      </c>
      <c r="H124" s="66">
        <f t="shared" si="56"/>
        <v>534.88407898366552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763.00000000000057</v>
      </c>
      <c r="O124" s="13">
        <f>N124*VLOOKUP('Données projet'!$B$9,Paramètres!$A$1:$I$89,3,0)*VLOOKUP('Données projet'!$B$9,Paramètres!$A$1:$I$89,5,0)</f>
        <v>456.2740000000004</v>
      </c>
      <c r="P124" s="13">
        <f t="shared" si="87"/>
        <v>103.09649786611838</v>
      </c>
      <c r="Q124" s="20">
        <f t="shared" si="107"/>
        <v>974.23695045015677</v>
      </c>
      <c r="R124" s="59">
        <f t="shared" si="55"/>
        <v>1267.5702837834901</v>
      </c>
      <c r="S124" s="59">
        <f ca="1">AVERAGE(OFFSET($R$3,0,0,'Données projet'!$E$9+1,1))-AVERAGE(OFFSET($H$3,0,0,'Données projet'!$E$9+1,1))</f>
        <v>443.63756287217456</v>
      </c>
      <c r="T124" s="59">
        <f t="shared" si="88"/>
        <v>384.990641425788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47.249268366938232</v>
      </c>
      <c r="AA124" s="21">
        <f>EXP(-LN(2)/25)*AA123+(1-EXP(-LN(2)/25))/(LN(2)/25)*Calculateur!V124*Calculateur!X124*VLOOKUP('Données projet'!$B$9,Paramètres!$A$1:$I$89,3,0)*0.475*44/12</f>
        <v>5.2477177953968352</v>
      </c>
      <c r="AB124" s="21">
        <f>EXP(-LN(2)/2)*AB123+(1-EXP(-LN(2)/2))/(LN(2)/2)*V124*Y124*VLOOKUP('Données projet'!$B$9,Paramètres!$A$1:$I$89,3,0)*0.475*44/12</f>
        <v>1.5785787335450973E-15</v>
      </c>
      <c r="AC124" s="22">
        <f t="shared" si="57"/>
        <v>52.49698616233507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137.97244371990928</v>
      </c>
      <c r="AO124" s="59">
        <f t="shared" si="90"/>
        <v>340.50331317844757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20.371530116246888</v>
      </c>
      <c r="AV124" s="21">
        <f>EXP(-LN(2)/25)*AV123+(1-EXP(-LN(2)/25))/(LN(2)/25)*Calculateur!AQ124*Calculateur!AS124*VLOOKUP('Données projet'!$B$10,Paramètres!$A$1:$I$89,3,0)*0.475*44/12</f>
        <v>1.1532632172087145</v>
      </c>
      <c r="AW124" s="21">
        <f>EXP(-LN(2)/2)*AW123+(1-EXP(-LN(2)/2))/(LN(2)/2)*AQ124*AT124*VLOOKUP('Données projet'!$B$10,Paramètres!$A$1:$I$89,3,0)*0.475*44/12</f>
        <v>9.0360968386439761E-16</v>
      </c>
      <c r="AX124" s="21">
        <f t="shared" si="60"/>
        <v>21.524793333455602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137.97244371990928</v>
      </c>
      <c r="BJ124" s="59">
        <f t="shared" si="92"/>
        <v>340.50331317844757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20.371530116246888</v>
      </c>
      <c r="BQ124" s="21">
        <f>EXP(-LN(2)/25)*BQ123+(1-EXP(-LN(2)/25))/(LN(2)/25)*Calculateur!BL124*Calculateur!BN124*VLOOKUP('Données projet'!$B$11,Paramètres!$A$1:$I$89,3,0)*0.475*44/12</f>
        <v>1.1532632172087145</v>
      </c>
      <c r="BR124" s="21">
        <f>EXP(-LN(2)/2)*BR123+(1-EXP(-LN(2)/2))/(LN(2)/2)*BL124*BO124*VLOOKUP('Données projet'!$B$11,Paramètres!$A$1:$I$89,3,0)*0.475*44/12</f>
        <v>9.0360968386439761E-16</v>
      </c>
      <c r="BS124" s="22">
        <f t="shared" si="63"/>
        <v>21.524793333455602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267</v>
      </c>
      <c r="BZ124" s="13">
        <f>BY124*VLOOKUP('Données projet'!$B$12,Paramètres!$A$1:$I$89,3,0)*VLOOKUP('Données projet'!$B$12,Paramètres!$A$1:$I$89,5,0)</f>
        <v>241.58159999999998</v>
      </c>
      <c r="CA124" s="13">
        <f t="shared" si="93"/>
        <v>58.779689232021951</v>
      </c>
      <c r="CB124" s="20">
        <f t="shared" si="64"/>
        <v>523.12924541243819</v>
      </c>
      <c r="CC124" s="59">
        <f t="shared" si="65"/>
        <v>816.46257874577145</v>
      </c>
      <c r="CD124" s="59">
        <f ca="1">AVERAGE(OFFSET($CC$3,0,0,'Données projet'!$E$12+1,1))-AVERAGE(OFFSET($H$3,0,0,'Données projet'!$E$12+1,1))</f>
        <v>216.16148211123436</v>
      </c>
      <c r="CE124" s="59">
        <f t="shared" si="94"/>
        <v>132.59131750490178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67.117972005315622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67.117972005315622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110.3855999999998</v>
      </c>
      <c r="D125" s="11">
        <f t="shared" si="86"/>
        <v>29.421816429201353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1079.2151443657633</v>
      </c>
      <c r="H125" s="66">
        <f t="shared" si="56"/>
        <v>536.83125028085863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763.00000000000057</v>
      </c>
      <c r="O125" s="13">
        <f>N125*VLOOKUP('Données projet'!$B$9,Paramètres!$A$1:$I$89,3,0)*VLOOKUP('Données projet'!$B$9,Paramètres!$A$1:$I$89,5,0)</f>
        <v>456.2740000000004</v>
      </c>
      <c r="P125" s="13">
        <f t="shared" si="87"/>
        <v>103.09649786611838</v>
      </c>
      <c r="Q125" s="20">
        <f t="shared" si="107"/>
        <v>974.23695045015677</v>
      </c>
      <c r="R125" s="59">
        <f t="shared" si="55"/>
        <v>1267.5702837834901</v>
      </c>
      <c r="S125" s="59">
        <f ca="1">AVERAGE(OFFSET($R$3,0,0,'Données projet'!$E$9+1,1))-AVERAGE(OFFSET($H$3,0,0,'Données projet'!$E$9+1,1))</f>
        <v>443.63756287217456</v>
      </c>
      <c r="T125" s="59">
        <f t="shared" si="88"/>
        <v>384.990641425788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46.322739033470619</v>
      </c>
      <c r="AA125" s="21">
        <f>EXP(-LN(2)/25)*AA124+(1-EXP(-LN(2)/25))/(LN(2)/25)*Calculateur!V125*Calculateur!X125*VLOOKUP('Données projet'!$B$9,Paramètres!$A$1:$I$89,3,0)*0.475*44/12</f>
        <v>5.1042186763162238</v>
      </c>
      <c r="AB125" s="21">
        <f>EXP(-LN(2)/2)*AB124+(1-EXP(-LN(2)/2))/(LN(2)/2)*V125*Y125*VLOOKUP('Données projet'!$B$9,Paramètres!$A$1:$I$89,3,0)*0.475*44/12</f>
        <v>1.1162237271266104E-15</v>
      </c>
      <c r="AC125" s="22">
        <f t="shared" si="57"/>
        <v>51.426957709786841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137.97244371990928</v>
      </c>
      <c r="AO125" s="59">
        <f t="shared" si="90"/>
        <v>340.50331317844757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19.972056836073751</v>
      </c>
      <c r="AV125" s="21">
        <f>EXP(-LN(2)/25)*AV124+(1-EXP(-LN(2)/25))/(LN(2)/25)*Calculateur!AQ125*Calculateur!AS125*VLOOKUP('Données projet'!$B$10,Paramètres!$A$1:$I$89,3,0)*0.475*44/12</f>
        <v>1.1217271738866654</v>
      </c>
      <c r="AW125" s="21">
        <f>EXP(-LN(2)/2)*AW124+(1-EXP(-LN(2)/2))/(LN(2)/2)*AQ125*AT125*VLOOKUP('Données projet'!$B$10,Paramètres!$A$1:$I$89,3,0)*0.475*44/12</f>
        <v>6.3894853500634799E-16</v>
      </c>
      <c r="AX125" s="21">
        <f t="shared" si="60"/>
        <v>21.093784009960416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137.97244371990928</v>
      </c>
      <c r="BJ125" s="59">
        <f t="shared" si="92"/>
        <v>340.50331317844757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19.972056836073751</v>
      </c>
      <c r="BQ125" s="21">
        <f>EXP(-LN(2)/25)*BQ124+(1-EXP(-LN(2)/25))/(LN(2)/25)*Calculateur!BL125*Calculateur!BN125*VLOOKUP('Données projet'!$B$11,Paramètres!$A$1:$I$89,3,0)*0.475*44/12</f>
        <v>1.1217271738866654</v>
      </c>
      <c r="BR125" s="21">
        <f>EXP(-LN(2)/2)*BR124+(1-EXP(-LN(2)/2))/(LN(2)/2)*BL125*BO125*VLOOKUP('Données projet'!$B$11,Paramètres!$A$1:$I$89,3,0)*0.475*44/12</f>
        <v>6.3894853500634799E-16</v>
      </c>
      <c r="BS125" s="22">
        <f t="shared" si="63"/>
        <v>21.093784009960416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267</v>
      </c>
      <c r="BZ125" s="13">
        <f>BY125*VLOOKUP('Données projet'!$B$12,Paramètres!$A$1:$I$89,3,0)*VLOOKUP('Données projet'!$B$12,Paramètres!$A$1:$I$89,5,0)</f>
        <v>241.58159999999998</v>
      </c>
      <c r="CA125" s="13">
        <f t="shared" si="93"/>
        <v>58.779689232021951</v>
      </c>
      <c r="CB125" s="20">
        <f t="shared" si="64"/>
        <v>523.12924541243819</v>
      </c>
      <c r="CC125" s="59">
        <f t="shared" si="65"/>
        <v>816.46257874577145</v>
      </c>
      <c r="CD125" s="59">
        <f ca="1">AVERAGE(OFFSET($CC$3,0,0,'Données projet'!$E$12+1,1))-AVERAGE(OFFSET($H$3,0,0,'Données projet'!$E$12+1,1))</f>
        <v>216.16148211123436</v>
      </c>
      <c r="CE125" s="59">
        <f t="shared" si="94"/>
        <v>132.59131750490178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65.801829512212024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65.801829512212024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111.29039999999979</v>
      </c>
      <c r="D126" s="11">
        <f t="shared" si="86"/>
        <v>29.634806205918192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1087.8436970281389</v>
      </c>
      <c r="H126" s="66">
        <f t="shared" si="56"/>
        <v>538.77806747530713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763.00000000000057</v>
      </c>
      <c r="O126" s="13">
        <f>N126*VLOOKUP('Données projet'!$B$9,Paramètres!$A$1:$I$89,3,0)*VLOOKUP('Données projet'!$B$9,Paramètres!$A$1:$I$89,5,0)</f>
        <v>456.2740000000004</v>
      </c>
      <c r="P126" s="13">
        <f t="shared" si="87"/>
        <v>103.09649786611838</v>
      </c>
      <c r="Q126" s="20">
        <f t="shared" si="107"/>
        <v>974.23695045015677</v>
      </c>
      <c r="R126" s="59">
        <f t="shared" si="55"/>
        <v>1267.5702837834901</v>
      </c>
      <c r="S126" s="59">
        <f ca="1">AVERAGE(OFFSET($R$3,0,0,'Données projet'!$E$9+1,1))-AVERAGE(OFFSET($H$3,0,0,'Données projet'!$E$9+1,1))</f>
        <v>443.63756287217456</v>
      </c>
      <c r="T126" s="59">
        <f t="shared" si="88"/>
        <v>384.990641425788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45.414378375105208</v>
      </c>
      <c r="AA126" s="21">
        <f>EXP(-LN(2)/25)*AA125+(1-EXP(-LN(2)/25))/(LN(2)/25)*Calculateur!V126*Calculateur!X126*VLOOKUP('Données projet'!$B$9,Paramètres!$A$1:$I$89,3,0)*0.475*44/12</f>
        <v>4.9646435481931626</v>
      </c>
      <c r="AB126" s="21">
        <f>EXP(-LN(2)/2)*AB125+(1-EXP(-LN(2)/2))/(LN(2)/2)*V126*Y126*VLOOKUP('Données projet'!$B$9,Paramètres!$A$1:$I$89,3,0)*0.475*44/12</f>
        <v>7.8928936677254863E-16</v>
      </c>
      <c r="AC126" s="22">
        <f t="shared" si="57"/>
        <v>50.379021923298367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137.97244371990928</v>
      </c>
      <c r="AO126" s="59">
        <f t="shared" si="90"/>
        <v>340.50331317844757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19.580416983270165</v>
      </c>
      <c r="AV126" s="21">
        <f>EXP(-LN(2)/25)*AV125+(1-EXP(-LN(2)/25))/(LN(2)/25)*Calculateur!AQ126*Calculateur!AS126*VLOOKUP('Données projet'!$B$10,Paramètres!$A$1:$I$89,3,0)*0.475*44/12</f>
        <v>1.0910534853276663</v>
      </c>
      <c r="AW126" s="21">
        <f>EXP(-LN(2)/2)*AW125+(1-EXP(-LN(2)/2))/(LN(2)/2)*AQ126*AT126*VLOOKUP('Données projet'!$B$10,Paramètres!$A$1:$I$89,3,0)*0.475*44/12</f>
        <v>4.5180484193219881E-16</v>
      </c>
      <c r="AX126" s="21">
        <f t="shared" si="60"/>
        <v>20.671470468597832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137.97244371990928</v>
      </c>
      <c r="BJ126" s="59">
        <f t="shared" si="92"/>
        <v>340.50331317844757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19.580416983270165</v>
      </c>
      <c r="BQ126" s="21">
        <f>EXP(-LN(2)/25)*BQ125+(1-EXP(-LN(2)/25))/(LN(2)/25)*Calculateur!BL126*Calculateur!BN126*VLOOKUP('Données projet'!$B$11,Paramètres!$A$1:$I$89,3,0)*0.475*44/12</f>
        <v>1.0910534853276663</v>
      </c>
      <c r="BR126" s="21">
        <f>EXP(-LN(2)/2)*BR125+(1-EXP(-LN(2)/2))/(LN(2)/2)*BL126*BO126*VLOOKUP('Données projet'!$B$11,Paramètres!$A$1:$I$89,3,0)*0.475*44/12</f>
        <v>4.5180484193219881E-16</v>
      </c>
      <c r="BS126" s="22">
        <f t="shared" si="63"/>
        <v>20.671470468597832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267</v>
      </c>
      <c r="BZ126" s="13">
        <f>BY126*VLOOKUP('Données projet'!$B$12,Paramètres!$A$1:$I$89,3,0)*VLOOKUP('Données projet'!$B$12,Paramètres!$A$1:$I$89,5,0)</f>
        <v>241.58159999999998</v>
      </c>
      <c r="CA126" s="13">
        <f t="shared" si="93"/>
        <v>58.779689232021951</v>
      </c>
      <c r="CB126" s="20">
        <f t="shared" si="64"/>
        <v>523.12924541243819</v>
      </c>
      <c r="CC126" s="59">
        <f t="shared" si="65"/>
        <v>816.46257874577145</v>
      </c>
      <c r="CD126" s="59">
        <f ca="1">AVERAGE(OFFSET($CC$3,0,0,'Données projet'!$E$12+1,1))-AVERAGE(OFFSET($H$3,0,0,'Données projet'!$E$12+1,1))</f>
        <v>216.16148211123436</v>
      </c>
      <c r="CE126" s="59">
        <f t="shared" si="94"/>
        <v>132.59131750490178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64.511495770630532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64.511495770630532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112.19519999999979</v>
      </c>
      <c r="D127" s="11">
        <f t="shared" si="86"/>
        <v>29.84759451457321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1096.4706944984582</v>
      </c>
      <c r="H127" s="66">
        <f t="shared" si="56"/>
        <v>540.72453377954798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763.00000000000057</v>
      </c>
      <c r="O127" s="13">
        <f>N127*VLOOKUP('Données projet'!$B$9,Paramètres!$A$1:$I$89,3,0)*VLOOKUP('Données projet'!$B$9,Paramètres!$A$1:$I$89,5,0)</f>
        <v>456.2740000000004</v>
      </c>
      <c r="P127" s="13">
        <f t="shared" si="87"/>
        <v>103.09649786611838</v>
      </c>
      <c r="Q127" s="20">
        <f t="shared" si="107"/>
        <v>974.23695045015677</v>
      </c>
      <c r="R127" s="59">
        <f t="shared" si="55"/>
        <v>1267.5702837834901</v>
      </c>
      <c r="S127" s="59">
        <f ca="1">AVERAGE(OFFSET($R$3,0,0,'Données projet'!$E$9+1,1))-AVERAGE(OFFSET($H$3,0,0,'Données projet'!$E$9+1,1))</f>
        <v>443.63756287217456</v>
      </c>
      <c r="T127" s="59">
        <f t="shared" si="88"/>
        <v>384.990641425788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44.523830115205051</v>
      </c>
      <c r="AA127" s="21">
        <f>EXP(-LN(2)/25)*AA126+(1-EXP(-LN(2)/25))/(LN(2)/25)*Calculateur!V127*Calculateur!X127*VLOOKUP('Données projet'!$B$9,Paramètres!$A$1:$I$89,3,0)*0.475*44/12</f>
        <v>4.8288851092885627</v>
      </c>
      <c r="AB127" s="21">
        <f>EXP(-LN(2)/2)*AB126+(1-EXP(-LN(2)/2))/(LN(2)/2)*V127*Y127*VLOOKUP('Données projet'!$B$9,Paramètres!$A$1:$I$89,3,0)*0.475*44/12</f>
        <v>5.5811186356330519E-16</v>
      </c>
      <c r="AC127" s="22">
        <f t="shared" si="57"/>
        <v>49.352715224493615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137.97244371990928</v>
      </c>
      <c r="AO127" s="59">
        <f t="shared" si="90"/>
        <v>340.50331317844757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19.196456949103336</v>
      </c>
      <c r="AV127" s="21">
        <f>EXP(-LN(2)/25)*AV126+(1-EXP(-LN(2)/25))/(LN(2)/25)*Calculateur!AQ127*Calculateur!AS127*VLOOKUP('Données projet'!$B$10,Paramètres!$A$1:$I$89,3,0)*0.475*44/12</f>
        <v>1.061218570395372</v>
      </c>
      <c r="AW127" s="21">
        <f>EXP(-LN(2)/2)*AW126+(1-EXP(-LN(2)/2))/(LN(2)/2)*AQ127*AT127*VLOOKUP('Données projet'!$B$10,Paramètres!$A$1:$I$89,3,0)*0.475*44/12</f>
        <v>3.1947426750317399E-16</v>
      </c>
      <c r="AX127" s="21">
        <f t="shared" si="60"/>
        <v>20.257675519498708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137.97244371990928</v>
      </c>
      <c r="BJ127" s="59">
        <f t="shared" si="92"/>
        <v>340.50331317844757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19.196456949103336</v>
      </c>
      <c r="BQ127" s="21">
        <f>EXP(-LN(2)/25)*BQ126+(1-EXP(-LN(2)/25))/(LN(2)/25)*Calculateur!BL127*Calculateur!BN127*VLOOKUP('Données projet'!$B$11,Paramètres!$A$1:$I$89,3,0)*0.475*44/12</f>
        <v>1.061218570395372</v>
      </c>
      <c r="BR127" s="21">
        <f>EXP(-LN(2)/2)*BR126+(1-EXP(-LN(2)/2))/(LN(2)/2)*BL127*BO127*VLOOKUP('Données projet'!$B$11,Paramètres!$A$1:$I$89,3,0)*0.475*44/12</f>
        <v>3.1947426750317399E-16</v>
      </c>
      <c r="BS127" s="22">
        <f t="shared" si="63"/>
        <v>20.257675519498708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267</v>
      </c>
      <c r="BZ127" s="13">
        <f>BY127*VLOOKUP('Données projet'!$B$12,Paramètres!$A$1:$I$89,3,0)*VLOOKUP('Données projet'!$B$12,Paramètres!$A$1:$I$89,5,0)</f>
        <v>241.58159999999998</v>
      </c>
      <c r="CA127" s="13">
        <f t="shared" si="93"/>
        <v>58.779689232021951</v>
      </c>
      <c r="CB127" s="20">
        <f t="shared" si="64"/>
        <v>523.12924541243819</v>
      </c>
      <c r="CC127" s="59">
        <f t="shared" si="65"/>
        <v>816.46257874577145</v>
      </c>
      <c r="CD127" s="59">
        <f ca="1">AVERAGE(OFFSET($CC$3,0,0,'Données projet'!$E$12+1,1))-AVERAGE(OFFSET($H$3,0,0,'Données projet'!$E$12+1,1))</f>
        <v>216.16148211123436</v>
      </c>
      <c r="CE127" s="59">
        <f t="shared" si="94"/>
        <v>132.59131750490178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63.246464686695582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63.246464686695582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113.09999999999978</v>
      </c>
      <c r="D128" s="11">
        <f t="shared" si="86"/>
        <v>30.060183168217225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1105.0961507722016</v>
      </c>
      <c r="H128" s="66">
        <f t="shared" si="56"/>
        <v>542.67065235131122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763.00000000000057</v>
      </c>
      <c r="O128" s="13">
        <f>N128*VLOOKUP('Données projet'!$B$9,Paramètres!$A$1:$I$89,3,0)*VLOOKUP('Données projet'!$B$9,Paramètres!$A$1:$I$89,5,0)</f>
        <v>456.2740000000004</v>
      </c>
      <c r="P128" s="13">
        <f t="shared" si="87"/>
        <v>103.09649786611838</v>
      </c>
      <c r="Q128" s="20">
        <f t="shared" si="107"/>
        <v>974.23695045015677</v>
      </c>
      <c r="R128" s="59">
        <f t="shared" si="55"/>
        <v>1267.5702837834901</v>
      </c>
      <c r="S128" s="59">
        <f ca="1">AVERAGE(OFFSET($R$3,0,0,'Données projet'!$E$9+1,1))-AVERAGE(OFFSET($H$3,0,0,'Données projet'!$E$9+1,1))</f>
        <v>443.63756287217456</v>
      </c>
      <c r="T128" s="59">
        <f t="shared" si="88"/>
        <v>384.990641425788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43.650744963500735</v>
      </c>
      <c r="AA128" s="21">
        <f>EXP(-LN(2)/25)*AA127+(1-EXP(-LN(2)/25))/(LN(2)/25)*Calculateur!V128*Calculateur!X128*VLOOKUP('Données projet'!$B$9,Paramètres!$A$1:$I$89,3,0)*0.475*44/12</f>
        <v>4.696838992035036</v>
      </c>
      <c r="AB128" s="21">
        <f>EXP(-LN(2)/2)*AB127+(1-EXP(-LN(2)/2))/(LN(2)/2)*V128*Y128*VLOOKUP('Données projet'!$B$9,Paramètres!$A$1:$I$89,3,0)*0.475*44/12</f>
        <v>3.9464468338627432E-16</v>
      </c>
      <c r="AC128" s="22">
        <f t="shared" si="57"/>
        <v>48.347583955535768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137.97244371990928</v>
      </c>
      <c r="AO128" s="59">
        <f t="shared" si="90"/>
        <v>340.50331317844757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18.820026137014022</v>
      </c>
      <c r="AV128" s="21">
        <f>EXP(-LN(2)/25)*AV127+(1-EXP(-LN(2)/25))/(LN(2)/25)*Calculateur!AQ128*Calculateur!AS128*VLOOKUP('Données projet'!$B$10,Paramètres!$A$1:$I$89,3,0)*0.475*44/12</f>
        <v>1.0321994927808513</v>
      </c>
      <c r="AW128" s="21">
        <f>EXP(-LN(2)/2)*AW127+(1-EXP(-LN(2)/2))/(LN(2)/2)*AQ128*AT128*VLOOKUP('Données projet'!$B$10,Paramètres!$A$1:$I$89,3,0)*0.475*44/12</f>
        <v>2.259024209660994E-16</v>
      </c>
      <c r="AX128" s="21">
        <f t="shared" si="60"/>
        <v>19.852225629794873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137.97244371990928</v>
      </c>
      <c r="BJ128" s="59">
        <f t="shared" si="92"/>
        <v>340.50331317844757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18.820026137014022</v>
      </c>
      <c r="BQ128" s="21">
        <f>EXP(-LN(2)/25)*BQ127+(1-EXP(-LN(2)/25))/(LN(2)/25)*Calculateur!BL128*Calculateur!BN128*VLOOKUP('Données projet'!$B$11,Paramètres!$A$1:$I$89,3,0)*0.475*44/12</f>
        <v>1.0321994927808513</v>
      </c>
      <c r="BR128" s="21">
        <f>EXP(-LN(2)/2)*BR127+(1-EXP(-LN(2)/2))/(LN(2)/2)*BL128*BO128*VLOOKUP('Données projet'!$B$11,Paramètres!$A$1:$I$89,3,0)*0.475*44/12</f>
        <v>2.259024209660994E-16</v>
      </c>
      <c r="BS128" s="22">
        <f t="shared" si="63"/>
        <v>19.852225629794873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267</v>
      </c>
      <c r="BZ128" s="13">
        <f>BY128*VLOOKUP('Données projet'!$B$12,Paramètres!$A$1:$I$89,3,0)*VLOOKUP('Données projet'!$B$12,Paramètres!$A$1:$I$89,5,0)</f>
        <v>241.58159999999998</v>
      </c>
      <c r="CA128" s="13">
        <f t="shared" si="93"/>
        <v>58.779689232021951</v>
      </c>
      <c r="CB128" s="20">
        <f t="shared" si="64"/>
        <v>523.12924541243819</v>
      </c>
      <c r="CC128" s="59">
        <f t="shared" si="65"/>
        <v>816.46257874577145</v>
      </c>
      <c r="CD128" s="59">
        <f ca="1">AVERAGE(OFFSET($CC$3,0,0,'Données projet'!$E$12+1,1))-AVERAGE(OFFSET($H$3,0,0,'Données projet'!$E$12+1,1))</f>
        <v>216.16148211123436</v>
      </c>
      <c r="CE128" s="59">
        <f t="shared" si="94"/>
        <v>132.59131750490178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62.006240090723821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62.006240090723821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114.00479999999978</v>
      </c>
      <c r="D129" s="11">
        <f t="shared" si="86"/>
        <v>30.27257394921725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1113.7200796079912</v>
      </c>
      <c r="H129" s="66">
        <f t="shared" si="56"/>
        <v>544.61642629488631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763.00000000000057</v>
      </c>
      <c r="O129" s="13">
        <f>N129*VLOOKUP('Données projet'!$B$9,Paramètres!$A$1:$I$89,3,0)*VLOOKUP('Données projet'!$B$9,Paramètres!$A$1:$I$89,5,0)</f>
        <v>456.2740000000004</v>
      </c>
      <c r="P129" s="13">
        <f t="shared" si="87"/>
        <v>103.09649786611838</v>
      </c>
      <c r="Q129" s="20">
        <f t="shared" si="107"/>
        <v>974.23695045015677</v>
      </c>
      <c r="R129" s="59">
        <f t="shared" si="55"/>
        <v>1267.5702837834901</v>
      </c>
      <c r="S129" s="59">
        <f ca="1">AVERAGE(OFFSET($R$3,0,0,'Données projet'!$E$9+1,1))-AVERAGE(OFFSET($H$3,0,0,'Données projet'!$E$9+1,1))</f>
        <v>443.63756287217456</v>
      </c>
      <c r="T129" s="59">
        <f t="shared" si="88"/>
        <v>384.990641425788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42.794780479091976</v>
      </c>
      <c r="AA129" s="21">
        <f>EXP(-LN(2)/25)*AA128+(1-EXP(-LN(2)/25))/(LN(2)/25)*Calculateur!V129*Calculateur!X129*VLOOKUP('Données projet'!$B$9,Paramètres!$A$1:$I$89,3,0)*0.475*44/12</f>
        <v>4.5684036828018098</v>
      </c>
      <c r="AB129" s="21">
        <f>EXP(-LN(2)/2)*AB128+(1-EXP(-LN(2)/2))/(LN(2)/2)*V129*Y129*VLOOKUP('Données projet'!$B$9,Paramètres!$A$1:$I$89,3,0)*0.475*44/12</f>
        <v>2.790559317816526E-16</v>
      </c>
      <c r="AC129" s="22">
        <f t="shared" si="57"/>
        <v>47.363184161893784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137.97244371990928</v>
      </c>
      <c r="AO129" s="59">
        <f t="shared" si="90"/>
        <v>340.50331317844757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18.450976903549655</v>
      </c>
      <c r="AV129" s="21">
        <f>EXP(-LN(2)/25)*AV128+(1-EXP(-LN(2)/25))/(LN(2)/25)*Calculateur!AQ129*Calculateur!AS129*VLOOKUP('Données projet'!$B$10,Paramètres!$A$1:$I$89,3,0)*0.475*44/12</f>
        <v>1.0039739433697468</v>
      </c>
      <c r="AW129" s="21">
        <f>EXP(-LN(2)/2)*AW128+(1-EXP(-LN(2)/2))/(LN(2)/2)*AQ129*AT129*VLOOKUP('Données projet'!$B$10,Paramètres!$A$1:$I$89,3,0)*0.475*44/12</f>
        <v>1.59737133751587E-16</v>
      </c>
      <c r="AX129" s="21">
        <f t="shared" si="60"/>
        <v>19.454950846919402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137.97244371990928</v>
      </c>
      <c r="BJ129" s="59">
        <f t="shared" si="92"/>
        <v>340.50331317844757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18.450976903549655</v>
      </c>
      <c r="BQ129" s="21">
        <f>EXP(-LN(2)/25)*BQ128+(1-EXP(-LN(2)/25))/(LN(2)/25)*Calculateur!BL129*Calculateur!BN129*VLOOKUP('Données projet'!$B$11,Paramètres!$A$1:$I$89,3,0)*0.475*44/12</f>
        <v>1.0039739433697468</v>
      </c>
      <c r="BR129" s="21">
        <f>EXP(-LN(2)/2)*BR128+(1-EXP(-LN(2)/2))/(LN(2)/2)*BL129*BO129*VLOOKUP('Données projet'!$B$11,Paramètres!$A$1:$I$89,3,0)*0.475*44/12</f>
        <v>1.59737133751587E-16</v>
      </c>
      <c r="BS129" s="22">
        <f t="shared" si="63"/>
        <v>19.454950846919402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267</v>
      </c>
      <c r="BZ129" s="13">
        <f>BY129*VLOOKUP('Données projet'!$B$12,Paramètres!$A$1:$I$89,3,0)*VLOOKUP('Données projet'!$B$12,Paramètres!$A$1:$I$89,5,0)</f>
        <v>241.58159999999998</v>
      </c>
      <c r="CA129" s="13">
        <f t="shared" si="93"/>
        <v>58.779689232021951</v>
      </c>
      <c r="CB129" s="20">
        <f t="shared" si="64"/>
        <v>523.12924541243819</v>
      </c>
      <c r="CC129" s="59">
        <f t="shared" si="65"/>
        <v>816.46257874577145</v>
      </c>
      <c r="CD129" s="59">
        <f ca="1">AVERAGE(OFFSET($CC$3,0,0,'Données projet'!$E$12+1,1))-AVERAGE(OFFSET($H$3,0,0,'Données projet'!$E$12+1,1))</f>
        <v>216.16148211123436</v>
      </c>
      <c r="CE129" s="59">
        <f t="shared" si="94"/>
        <v>132.59131750490178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60.790335542616759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60.790335542616759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114.90959999999977</v>
      </c>
      <c r="D130" s="11">
        <f t="shared" si="86"/>
        <v>30.484768610015109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1122.3424945334484</v>
      </c>
      <c r="H130" s="66">
        <f t="shared" si="56"/>
        <v>546.56185866244255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763.00000000000057</v>
      </c>
      <c r="O130" s="13">
        <f>N130*VLOOKUP('Données projet'!$B$9,Paramètres!$A$1:$I$89,3,0)*VLOOKUP('Données projet'!$B$9,Paramètres!$A$1:$I$89,5,0)</f>
        <v>456.2740000000004</v>
      </c>
      <c r="P130" s="13">
        <f t="shared" si="87"/>
        <v>103.09649786611838</v>
      </c>
      <c r="Q130" s="20">
        <f t="shared" si="107"/>
        <v>974.23695045015677</v>
      </c>
      <c r="R130" s="59">
        <f t="shared" si="55"/>
        <v>1267.5702837834901</v>
      </c>
      <c r="S130" s="59">
        <f ca="1">AVERAGE(OFFSET($R$3,0,0,'Données projet'!$E$9+1,1))-AVERAGE(OFFSET($H$3,0,0,'Données projet'!$E$9+1,1))</f>
        <v>443.63756287217456</v>
      </c>
      <c r="T130" s="59">
        <f t="shared" si="88"/>
        <v>384.990641425788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41.955600936135696</v>
      </c>
      <c r="AA130" s="21">
        <f>EXP(-LN(2)/25)*AA129+(1-EXP(-LN(2)/25))/(LN(2)/25)*Calculateur!V130*Calculateur!X130*VLOOKUP('Données projet'!$B$9,Paramètres!$A$1:$I$89,3,0)*0.475*44/12</f>
        <v>4.4434804438536855</v>
      </c>
      <c r="AB130" s="21">
        <f>EXP(-LN(2)/2)*AB129+(1-EXP(-LN(2)/2))/(LN(2)/2)*V130*Y130*VLOOKUP('Données projet'!$B$9,Paramètres!$A$1:$I$89,3,0)*0.475*44/12</f>
        <v>1.9732234169313716E-16</v>
      </c>
      <c r="AC130" s="22">
        <f t="shared" si="57"/>
        <v>46.399081379989383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137.97244371990928</v>
      </c>
      <c r="AO130" s="59">
        <f t="shared" si="90"/>
        <v>340.50331317844757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18.08916450045572</v>
      </c>
      <c r="AV130" s="21">
        <f>EXP(-LN(2)/25)*AV129+(1-EXP(-LN(2)/25))/(LN(2)/25)*Calculateur!AQ130*Calculateur!AS130*VLOOKUP('Données projet'!$B$10,Paramètres!$A$1:$I$89,3,0)*0.475*44/12</f>
        <v>0.97652022309160602</v>
      </c>
      <c r="AW130" s="21">
        <f>EXP(-LN(2)/2)*AW129+(1-EXP(-LN(2)/2))/(LN(2)/2)*AQ130*AT130*VLOOKUP('Données projet'!$B$10,Paramètres!$A$1:$I$89,3,0)*0.475*44/12</f>
        <v>1.129512104830497E-16</v>
      </c>
      <c r="AX130" s="21">
        <f t="shared" si="60"/>
        <v>19.065684723547324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137.97244371990928</v>
      </c>
      <c r="BJ130" s="59">
        <f t="shared" si="92"/>
        <v>340.50331317844757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18.08916450045572</v>
      </c>
      <c r="BQ130" s="21">
        <f>EXP(-LN(2)/25)*BQ129+(1-EXP(-LN(2)/25))/(LN(2)/25)*Calculateur!BL130*Calculateur!BN130*VLOOKUP('Données projet'!$B$11,Paramètres!$A$1:$I$89,3,0)*0.475*44/12</f>
        <v>0.97652022309160602</v>
      </c>
      <c r="BR130" s="21">
        <f>EXP(-LN(2)/2)*BR129+(1-EXP(-LN(2)/2))/(LN(2)/2)*BL130*BO130*VLOOKUP('Données projet'!$B$11,Paramètres!$A$1:$I$89,3,0)*0.475*44/12</f>
        <v>1.129512104830497E-16</v>
      </c>
      <c r="BS130" s="22">
        <f t="shared" si="63"/>
        <v>19.065684723547324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267</v>
      </c>
      <c r="BZ130" s="13">
        <f>BY130*VLOOKUP('Données projet'!$B$12,Paramètres!$A$1:$I$89,3,0)*VLOOKUP('Données projet'!$B$12,Paramètres!$A$1:$I$89,5,0)</f>
        <v>241.58159999999998</v>
      </c>
      <c r="CA130" s="13">
        <f t="shared" si="93"/>
        <v>58.779689232021951</v>
      </c>
      <c r="CB130" s="20">
        <f t="shared" si="64"/>
        <v>523.12924541243819</v>
      </c>
      <c r="CC130" s="59">
        <f t="shared" si="65"/>
        <v>816.46257874577145</v>
      </c>
      <c r="CD130" s="59">
        <f ca="1">AVERAGE(OFFSET($CC$3,0,0,'Données projet'!$E$12+1,1))-AVERAGE(OFFSET($H$3,0,0,'Données projet'!$E$12+1,1))</f>
        <v>216.16148211123436</v>
      </c>
      <c r="CE130" s="59">
        <f t="shared" si="94"/>
        <v>132.59131750490178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59.598274141069531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59.598274141069531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115.81439999999976</v>
      </c>
      <c r="D131" s="11">
        <f t="shared" si="86"/>
        <v>30.696768873861345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1130.9634088508576</v>
      </c>
      <c r="H131" s="66">
        <f t="shared" si="56"/>
        <v>548.50695245530801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763.00000000000057</v>
      </c>
      <c r="O131" s="13">
        <f>N131*VLOOKUP('Données projet'!$B$9,Paramètres!$A$1:$I$89,3,0)*VLOOKUP('Données projet'!$B$9,Paramètres!$A$1:$I$89,5,0)</f>
        <v>456.2740000000004</v>
      </c>
      <c r="P131" s="13">
        <f t="shared" si="87"/>
        <v>103.09649786611838</v>
      </c>
      <c r="Q131" s="20">
        <f t="shared" ref="Q131:Q153" si="108">(O131+P131)*0.475*44/12</f>
        <v>974.23695045015677</v>
      </c>
      <c r="R131" s="59">
        <f t="shared" ref="R131:R194" si="109">Q131+(I131+J131)*44/12</f>
        <v>1267.5702837834901</v>
      </c>
      <c r="S131" s="59">
        <f ca="1">AVERAGE(OFFSET($R$3,0,0,'Données projet'!$E$9+1,1))-AVERAGE(OFFSET($H$3,0,0,'Données projet'!$E$9+1,1))</f>
        <v>443.63756287217456</v>
      </c>
      <c r="T131" s="59">
        <f t="shared" si="88"/>
        <v>384.990641425788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41.132877192167804</v>
      </c>
      <c r="AA131" s="21">
        <f>EXP(-LN(2)/25)*AA130+(1-EXP(-LN(2)/25))/(LN(2)/25)*Calculateur!V131*Calculateur!X131*VLOOKUP('Données projet'!$B$9,Paramètres!$A$1:$I$89,3,0)*0.475*44/12</f>
        <v>4.3219732374440252</v>
      </c>
      <c r="AB131" s="21">
        <f>EXP(-LN(2)/2)*AB130+(1-EXP(-LN(2)/2))/(LN(2)/2)*V131*Y131*VLOOKUP('Données projet'!$B$9,Paramètres!$A$1:$I$89,3,0)*0.475*44/12</f>
        <v>1.395279658908263E-16</v>
      </c>
      <c r="AC131" s="22">
        <f t="shared" si="57"/>
        <v>45.454850429611831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137.97244371990928</v>
      </c>
      <c r="AO131" s="59">
        <f t="shared" si="90"/>
        <v>340.50331317844757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17.734447017902681</v>
      </c>
      <c r="AV131" s="21">
        <f>EXP(-LN(2)/25)*AV130+(1-EXP(-LN(2)/25))/(LN(2)/25)*Calculateur!AQ131*Calculateur!AS131*VLOOKUP('Données projet'!$B$10,Paramètres!$A$1:$I$89,3,0)*0.475*44/12</f>
        <v>0.94981722623819942</v>
      </c>
      <c r="AW131" s="21">
        <f>EXP(-LN(2)/2)*AW130+(1-EXP(-LN(2)/2))/(LN(2)/2)*AQ131*AT131*VLOOKUP('Données projet'!$B$10,Paramètres!$A$1:$I$89,3,0)*0.475*44/12</f>
        <v>7.9868566875793499E-17</v>
      </c>
      <c r="AX131" s="21">
        <f t="shared" si="60"/>
        <v>18.684264244140881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137.97244371990928</v>
      </c>
      <c r="BJ131" s="59">
        <f t="shared" si="92"/>
        <v>340.50331317844757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17.734447017902681</v>
      </c>
      <c r="BQ131" s="21">
        <f>EXP(-LN(2)/25)*BQ130+(1-EXP(-LN(2)/25))/(LN(2)/25)*Calculateur!BL131*Calculateur!BN131*VLOOKUP('Données projet'!$B$11,Paramètres!$A$1:$I$89,3,0)*0.475*44/12</f>
        <v>0.94981722623819942</v>
      </c>
      <c r="BR131" s="21">
        <f>EXP(-LN(2)/2)*BR130+(1-EXP(-LN(2)/2))/(LN(2)/2)*BL131*BO131*VLOOKUP('Données projet'!$B$11,Paramètres!$A$1:$I$89,3,0)*0.475*44/12</f>
        <v>7.9868566875793499E-17</v>
      </c>
      <c r="BS131" s="22">
        <f t="shared" si="63"/>
        <v>18.684264244140881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267</v>
      </c>
      <c r="BZ131" s="13">
        <f>BY131*VLOOKUP('Données projet'!$B$12,Paramètres!$A$1:$I$89,3,0)*VLOOKUP('Données projet'!$B$12,Paramètres!$A$1:$I$89,5,0)</f>
        <v>241.58159999999998</v>
      </c>
      <c r="CA131" s="13">
        <f t="shared" si="93"/>
        <v>58.779689232021951</v>
      </c>
      <c r="CB131" s="20">
        <f t="shared" si="64"/>
        <v>523.12924541243819</v>
      </c>
      <c r="CC131" s="59">
        <f t="shared" si="65"/>
        <v>816.46257874577145</v>
      </c>
      <c r="CD131" s="59">
        <f ca="1">AVERAGE(OFFSET($CC$3,0,0,'Données projet'!$E$12+1,1))-AVERAGE(OFFSET($H$3,0,0,'Données projet'!$E$12+1,1))</f>
        <v>216.16148211123436</v>
      </c>
      <c r="CE131" s="59">
        <f t="shared" si="94"/>
        <v>132.59131750490178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58.429588336520986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58.429588336520986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116.71919999999976</v>
      </c>
      <c r="D132" s="11">
        <f t="shared" si="86"/>
        <v>30.908576435525834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1139.5828356426539</v>
      </c>
      <c r="H132" s="66">
        <f t="shared" ref="H132:H195" si="110">(B132+E132+F132)*44/12+(C132+D132)*0.475*44/12</f>
        <v>550.45171062520706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763.00000000000057</v>
      </c>
      <c r="O132" s="13">
        <f>N132*VLOOKUP('Données projet'!$B$9,Paramètres!$A$1:$I$89,3,0)*VLOOKUP('Données projet'!$B$9,Paramètres!$A$1:$I$89,5,0)</f>
        <v>456.2740000000004</v>
      </c>
      <c r="P132" s="13">
        <f t="shared" si="87"/>
        <v>103.09649786611838</v>
      </c>
      <c r="Q132" s="20">
        <f t="shared" si="108"/>
        <v>974.23695045015677</v>
      </c>
      <c r="R132" s="59">
        <f t="shared" si="109"/>
        <v>1267.5702837834901</v>
      </c>
      <c r="S132" s="59">
        <f ca="1">AVERAGE(OFFSET($R$3,0,0,'Données projet'!$E$9+1,1))-AVERAGE(OFFSET($H$3,0,0,'Données projet'!$E$9+1,1))</f>
        <v>443.63756287217456</v>
      </c>
      <c r="T132" s="59">
        <f t="shared" si="88"/>
        <v>384.990641425788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40.326286559007187</v>
      </c>
      <c r="AA132" s="21">
        <f>EXP(-LN(2)/25)*AA131+(1-EXP(-LN(2)/25))/(LN(2)/25)*Calculateur!V132*Calculateur!X132*VLOOKUP('Données projet'!$B$9,Paramètres!$A$1:$I$89,3,0)*0.475*44/12</f>
        <v>4.203788651983424</v>
      </c>
      <c r="AB132" s="21">
        <f>EXP(-LN(2)/2)*AB131+(1-EXP(-LN(2)/2))/(LN(2)/2)*V132*Y132*VLOOKUP('Données projet'!$B$9,Paramètres!$A$1:$I$89,3,0)*0.475*44/12</f>
        <v>9.8661170846568579E-17</v>
      </c>
      <c r="AC132" s="22">
        <f t="shared" ref="AC132:AC153" si="111">SUM(Z132:AB132)</f>
        <v>44.53007521099061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137.97244371990928</v>
      </c>
      <c r="AO132" s="59">
        <f t="shared" si="90"/>
        <v>340.50331317844757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17.386685328826207</v>
      </c>
      <c r="AV132" s="21">
        <f>EXP(-LN(2)/25)*AV131+(1-EXP(-LN(2)/25))/(LN(2)/25)*Calculateur!AQ132*Calculateur!AS132*VLOOKUP('Données projet'!$B$10,Paramètres!$A$1:$I$89,3,0)*0.475*44/12</f>
        <v>0.92384442423799873</v>
      </c>
      <c r="AW132" s="21">
        <f>EXP(-LN(2)/2)*AW131+(1-EXP(-LN(2)/2))/(LN(2)/2)*AQ132*AT132*VLOOKUP('Données projet'!$B$10,Paramètres!$A$1:$I$89,3,0)*0.475*44/12</f>
        <v>5.6475605241524851E-17</v>
      </c>
      <c r="AX132" s="21">
        <f t="shared" ref="AX132:AX153" si="114">SUM(AU132:AW132)</f>
        <v>18.310529753064205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137.97244371990928</v>
      </c>
      <c r="BJ132" s="59">
        <f t="shared" si="92"/>
        <v>340.50331317844757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17.386685328826207</v>
      </c>
      <c r="BQ132" s="21">
        <f>EXP(-LN(2)/25)*BQ131+(1-EXP(-LN(2)/25))/(LN(2)/25)*Calculateur!BL132*Calculateur!BN132*VLOOKUP('Données projet'!$B$11,Paramètres!$A$1:$I$89,3,0)*0.475*44/12</f>
        <v>0.92384442423799873</v>
      </c>
      <c r="BR132" s="21">
        <f>EXP(-LN(2)/2)*BR131+(1-EXP(-LN(2)/2))/(LN(2)/2)*BL132*BO132*VLOOKUP('Données projet'!$B$11,Paramètres!$A$1:$I$89,3,0)*0.475*44/12</f>
        <v>5.6475605241524851E-17</v>
      </c>
      <c r="BS132" s="22">
        <f t="shared" ref="BS132:BS153" si="117">SUM(BP132:BR132)</f>
        <v>18.310529753064205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267</v>
      </c>
      <c r="BZ132" s="13">
        <f>BY132*VLOOKUP('Données projet'!$B$12,Paramètres!$A$1:$I$89,3,0)*VLOOKUP('Données projet'!$B$12,Paramètres!$A$1:$I$89,5,0)</f>
        <v>241.58159999999998</v>
      </c>
      <c r="CA132" s="13">
        <f t="shared" si="93"/>
        <v>58.779689232021951</v>
      </c>
      <c r="CB132" s="20">
        <f t="shared" ref="CB132:CB153" si="118">(BZ132+CA132)*0.475*44/12</f>
        <v>523.12924541243819</v>
      </c>
      <c r="CC132" s="59">
        <f t="shared" ref="CC132:CC195" si="119">CB132+(BT132+BU132)*44/12</f>
        <v>816.46257874577145</v>
      </c>
      <c r="CD132" s="59">
        <f ca="1">AVERAGE(OFFSET($CC$3,0,0,'Données projet'!$E$12+1,1))-AVERAGE(OFFSET($H$3,0,0,'Données projet'!$E$12+1,1))</f>
        <v>216.16148211123436</v>
      </c>
      <c r="CE132" s="59">
        <f t="shared" si="94"/>
        <v>132.59131750490178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57.28381974777168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57.28381974777168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117.62399999999975</v>
      </c>
      <c r="D133" s="11">
        <f t="shared" ref="D133:D196" si="140">IFERROR(EXP(-1.0587+0.8836*LN(C133)+0.284),0)</f>
        <v>31.120192961985357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1148.2007877767273</v>
      </c>
      <c r="H133" s="66">
        <f t="shared" si="110"/>
        <v>552.39613607545732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763.00000000000057</v>
      </c>
      <c r="O133" s="13">
        <f>N133*VLOOKUP('Données projet'!$B$9,Paramètres!$A$1:$I$89,3,0)*VLOOKUP('Données projet'!$B$9,Paramètres!$A$1:$I$89,5,0)</f>
        <v>456.2740000000004</v>
      </c>
      <c r="P133" s="13">
        <f t="shared" ref="P133:P196" si="141">EXP(-1.0587+0.8836*LN(O133)+0.284)</f>
        <v>103.09649786611838</v>
      </c>
      <c r="Q133" s="20">
        <f t="shared" si="108"/>
        <v>974.23695045015677</v>
      </c>
      <c r="R133" s="59">
        <f t="shared" si="109"/>
        <v>1267.5702837834901</v>
      </c>
      <c r="S133" s="59">
        <f ca="1">AVERAGE(OFFSET($R$3,0,0,'Données projet'!$E$9+1,1))-AVERAGE(OFFSET($H$3,0,0,'Données projet'!$E$9+1,1))</f>
        <v>443.63756287217456</v>
      </c>
      <c r="T133" s="59">
        <f t="shared" ref="T133:T196" si="142">$T$3</f>
        <v>384.990641425788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39.535512676191146</v>
      </c>
      <c r="AA133" s="21">
        <f>EXP(-LN(2)/25)*AA132+(1-EXP(-LN(2)/25))/(LN(2)/25)*Calculateur!V133*Calculateur!X133*VLOOKUP('Données projet'!$B$9,Paramètres!$A$1:$I$89,3,0)*0.475*44/12</f>
        <v>4.0888358302272998</v>
      </c>
      <c r="AB133" s="21">
        <f>EXP(-LN(2)/2)*AB132+(1-EXP(-LN(2)/2))/(LN(2)/2)*V133*Y133*VLOOKUP('Données projet'!$B$9,Paramètres!$A$1:$I$89,3,0)*0.475*44/12</f>
        <v>6.9763982945413149E-17</v>
      </c>
      <c r="AC133" s="22">
        <f t="shared" si="111"/>
        <v>43.624348506418443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137.97244371990928</v>
      </c>
      <c r="AO133" s="59">
        <f t="shared" ref="AO133:AO196" si="144">$AO$3</f>
        <v>340.50331317844757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17.045743034358836</v>
      </c>
      <c r="AV133" s="21">
        <f>EXP(-LN(2)/25)*AV132+(1-EXP(-LN(2)/25))/(LN(2)/25)*Calculateur!AQ133*Calculateur!AS133*VLOOKUP('Données projet'!$B$10,Paramètres!$A$1:$I$89,3,0)*0.475*44/12</f>
        <v>0.89858184987434386</v>
      </c>
      <c r="AW133" s="21">
        <f>EXP(-LN(2)/2)*AW132+(1-EXP(-LN(2)/2))/(LN(2)/2)*AQ133*AT133*VLOOKUP('Données projet'!$B$10,Paramètres!$A$1:$I$89,3,0)*0.475*44/12</f>
        <v>3.9934283437896749E-17</v>
      </c>
      <c r="AX133" s="21">
        <f t="shared" si="114"/>
        <v>17.944324884233179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137.97244371990928</v>
      </c>
      <c r="BJ133" s="59">
        <f t="shared" ref="BJ133:BJ196" si="146">$BJ$3</f>
        <v>340.50331317844757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17.045743034358836</v>
      </c>
      <c r="BQ133" s="21">
        <f>EXP(-LN(2)/25)*BQ132+(1-EXP(-LN(2)/25))/(LN(2)/25)*Calculateur!BL133*Calculateur!BN133*VLOOKUP('Données projet'!$B$11,Paramètres!$A$1:$I$89,3,0)*0.475*44/12</f>
        <v>0.89858184987434386</v>
      </c>
      <c r="BR133" s="21">
        <f>EXP(-LN(2)/2)*BR132+(1-EXP(-LN(2)/2))/(LN(2)/2)*BL133*BO133*VLOOKUP('Données projet'!$B$11,Paramètres!$A$1:$I$89,3,0)*0.475*44/12</f>
        <v>3.9934283437896749E-17</v>
      </c>
      <c r="BS133" s="22">
        <f t="shared" si="117"/>
        <v>17.944324884233179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267</v>
      </c>
      <c r="BZ133" s="13">
        <f>BY133*VLOOKUP('Données projet'!$B$12,Paramètres!$A$1:$I$89,3,0)*VLOOKUP('Données projet'!$B$12,Paramètres!$A$1:$I$89,5,0)</f>
        <v>241.58159999999998</v>
      </c>
      <c r="CA133" s="13">
        <f t="shared" ref="CA133:CA153" si="147">EXP(-1.0587+0.8836*LN(BZ133)+0.284)</f>
        <v>58.779689232021951</v>
      </c>
      <c r="CB133" s="20">
        <f t="shared" si="118"/>
        <v>523.12924541243819</v>
      </c>
      <c r="CC133" s="59">
        <f t="shared" si="119"/>
        <v>816.46257874577145</v>
      </c>
      <c r="CD133" s="59">
        <f ca="1">AVERAGE(OFFSET($CC$3,0,0,'Données projet'!$E$12+1,1))-AVERAGE(OFFSET($H$3,0,0,'Données projet'!$E$12+1,1))</f>
        <v>216.16148211123436</v>
      </c>
      <c r="CE133" s="59">
        <f t="shared" ref="CE133:CE196" si="148">$CE$3</f>
        <v>132.59131750490178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56.160518982197914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56.160518982197914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118.52879999999975</v>
      </c>
      <c r="D134" s="11">
        <f t="shared" si="140"/>
        <v>31.331620093089665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1156.8172779115673</v>
      </c>
      <c r="H134" s="66">
        <f t="shared" si="110"/>
        <v>554.34023166213069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763.00000000000057</v>
      </c>
      <c r="O134" s="13">
        <f>N134*VLOOKUP('Données projet'!$B$9,Paramètres!$A$1:$I$89,3,0)*VLOOKUP('Données projet'!$B$9,Paramètres!$A$1:$I$89,5,0)</f>
        <v>456.2740000000004</v>
      </c>
      <c r="P134" s="13">
        <f t="shared" si="141"/>
        <v>103.09649786611838</v>
      </c>
      <c r="Q134" s="20">
        <f t="shared" si="108"/>
        <v>974.23695045015677</v>
      </c>
      <c r="R134" s="59">
        <f t="shared" si="109"/>
        <v>1267.5702837834901</v>
      </c>
      <c r="S134" s="59">
        <f ca="1">AVERAGE(OFFSET($R$3,0,0,'Données projet'!$E$9+1,1))-AVERAGE(OFFSET($H$3,0,0,'Données projet'!$E$9+1,1))</f>
        <v>443.63756287217456</v>
      </c>
      <c r="T134" s="59">
        <f t="shared" si="142"/>
        <v>384.990641425788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38.760245386892684</v>
      </c>
      <c r="AA134" s="21">
        <f>EXP(-LN(2)/25)*AA133+(1-EXP(-LN(2)/25))/(LN(2)/25)*Calculateur!V134*Calculateur!X134*VLOOKUP('Données projet'!$B$9,Paramètres!$A$1:$I$89,3,0)*0.475*44/12</f>
        <v>3.9770263994272033</v>
      </c>
      <c r="AB134" s="21">
        <f>EXP(-LN(2)/2)*AB133+(1-EXP(-LN(2)/2))/(LN(2)/2)*V134*Y134*VLOOKUP('Données projet'!$B$9,Paramètres!$A$1:$I$89,3,0)*0.475*44/12</f>
        <v>4.9330585423284289E-17</v>
      </c>
      <c r="AC134" s="22">
        <f t="shared" si="111"/>
        <v>42.737271786319887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137.97244371990928</v>
      </c>
      <c r="AO134" s="59">
        <f t="shared" si="144"/>
        <v>340.50331317844757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16.711486410331702</v>
      </c>
      <c r="AV134" s="21">
        <f>EXP(-LN(2)/25)*AV133+(1-EXP(-LN(2)/25))/(LN(2)/25)*Calculateur!AQ134*Calculateur!AS134*VLOOKUP('Données projet'!$B$10,Paramètres!$A$1:$I$89,3,0)*0.475*44/12</f>
        <v>0.87401008193516416</v>
      </c>
      <c r="AW134" s="21">
        <f>EXP(-LN(2)/2)*AW133+(1-EXP(-LN(2)/2))/(LN(2)/2)*AQ134*AT134*VLOOKUP('Données projet'!$B$10,Paramètres!$A$1:$I$89,3,0)*0.475*44/12</f>
        <v>2.8237802620762425E-17</v>
      </c>
      <c r="AX134" s="21">
        <f t="shared" si="114"/>
        <v>17.585496492266866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137.97244371990928</v>
      </c>
      <c r="BJ134" s="59">
        <f t="shared" si="146"/>
        <v>340.50331317844757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16.711486410331702</v>
      </c>
      <c r="BQ134" s="21">
        <f>EXP(-LN(2)/25)*BQ133+(1-EXP(-LN(2)/25))/(LN(2)/25)*Calculateur!BL134*Calculateur!BN134*VLOOKUP('Données projet'!$B$11,Paramètres!$A$1:$I$89,3,0)*0.475*44/12</f>
        <v>0.87401008193516416</v>
      </c>
      <c r="BR134" s="21">
        <f>EXP(-LN(2)/2)*BR133+(1-EXP(-LN(2)/2))/(LN(2)/2)*BL134*BO134*VLOOKUP('Données projet'!$B$11,Paramètres!$A$1:$I$89,3,0)*0.475*44/12</f>
        <v>2.8237802620762425E-17</v>
      </c>
      <c r="BS134" s="22">
        <f t="shared" si="117"/>
        <v>17.585496492266866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267</v>
      </c>
      <c r="BZ134" s="13">
        <f>BY134*VLOOKUP('Données projet'!$B$12,Paramètres!$A$1:$I$89,3,0)*VLOOKUP('Données projet'!$B$12,Paramètres!$A$1:$I$89,5,0)</f>
        <v>241.58159999999998</v>
      </c>
      <c r="CA134" s="13">
        <f t="shared" si="147"/>
        <v>58.779689232021951</v>
      </c>
      <c r="CB134" s="20">
        <f t="shared" si="118"/>
        <v>523.12924541243819</v>
      </c>
      <c r="CC134" s="59">
        <f t="shared" si="119"/>
        <v>816.46257874577145</v>
      </c>
      <c r="CD134" s="59">
        <f ca="1">AVERAGE(OFFSET($CC$3,0,0,'Données projet'!$E$12+1,1))-AVERAGE(OFFSET($H$3,0,0,'Données projet'!$E$12+1,1))</f>
        <v>216.16148211123436</v>
      </c>
      <c r="CE134" s="59">
        <f t="shared" si="148"/>
        <v>132.59131750490178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55.059245459491237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55.059245459491237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119.43359999999974</v>
      </c>
      <c r="D135" s="11">
        <f t="shared" si="140"/>
        <v>31.542859442206623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1165.4323185012422</v>
      </c>
      <c r="H135" s="66">
        <f t="shared" si="110"/>
        <v>556.28400019517608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763.00000000000057</v>
      </c>
      <c r="O135" s="13">
        <f>N135*VLOOKUP('Données projet'!$B$9,Paramètres!$A$1:$I$89,3,0)*VLOOKUP('Données projet'!$B$9,Paramètres!$A$1:$I$89,5,0)</f>
        <v>456.2740000000004</v>
      </c>
      <c r="P135" s="13">
        <f t="shared" si="141"/>
        <v>103.09649786611838</v>
      </c>
      <c r="Q135" s="20">
        <f t="shared" si="108"/>
        <v>974.23695045015677</v>
      </c>
      <c r="R135" s="59">
        <f t="shared" si="109"/>
        <v>1267.5702837834901</v>
      </c>
      <c r="S135" s="59">
        <f ca="1">AVERAGE(OFFSET($R$3,0,0,'Données projet'!$E$9+1,1))-AVERAGE(OFFSET($H$3,0,0,'Données projet'!$E$9+1,1))</f>
        <v>443.63756287217456</v>
      </c>
      <c r="T135" s="59">
        <f t="shared" si="142"/>
        <v>384.990641425788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38.00018061627101</v>
      </c>
      <c r="AA135" s="21">
        <f>EXP(-LN(2)/25)*AA134+(1-EXP(-LN(2)/25))/(LN(2)/25)*Calculateur!V135*Calculateur!X135*VLOOKUP('Données projet'!$B$9,Paramètres!$A$1:$I$89,3,0)*0.475*44/12</f>
        <v>3.8682744033921375</v>
      </c>
      <c r="AB135" s="21">
        <f>EXP(-LN(2)/2)*AB134+(1-EXP(-LN(2)/2))/(LN(2)/2)*V135*Y135*VLOOKUP('Données projet'!$B$9,Paramètres!$A$1:$I$89,3,0)*0.475*44/12</f>
        <v>3.4881991472706574E-17</v>
      </c>
      <c r="AC135" s="22">
        <f t="shared" si="111"/>
        <v>41.868455019663145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137.97244371990928</v>
      </c>
      <c r="AO135" s="59">
        <f t="shared" si="144"/>
        <v>340.50331317844757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16.383784354825334</v>
      </c>
      <c r="AV135" s="21">
        <f>EXP(-LN(2)/25)*AV134+(1-EXP(-LN(2)/25))/(LN(2)/25)*Calculateur!AQ135*Calculateur!AS135*VLOOKUP('Données projet'!$B$10,Paramètres!$A$1:$I$89,3,0)*0.475*44/12</f>
        <v>0.85011023028245447</v>
      </c>
      <c r="AW135" s="21">
        <f>EXP(-LN(2)/2)*AW134+(1-EXP(-LN(2)/2))/(LN(2)/2)*AQ135*AT135*VLOOKUP('Données projet'!$B$10,Paramètres!$A$1:$I$89,3,0)*0.475*44/12</f>
        <v>1.9967141718948375E-17</v>
      </c>
      <c r="AX135" s="21">
        <f t="shared" si="114"/>
        <v>17.233894585107787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137.97244371990928</v>
      </c>
      <c r="BJ135" s="59">
        <f t="shared" si="146"/>
        <v>340.50331317844757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16.383784354825334</v>
      </c>
      <c r="BQ135" s="21">
        <f>EXP(-LN(2)/25)*BQ134+(1-EXP(-LN(2)/25))/(LN(2)/25)*Calculateur!BL135*Calculateur!BN135*VLOOKUP('Données projet'!$B$11,Paramètres!$A$1:$I$89,3,0)*0.475*44/12</f>
        <v>0.85011023028245447</v>
      </c>
      <c r="BR135" s="21">
        <f>EXP(-LN(2)/2)*BR134+(1-EXP(-LN(2)/2))/(LN(2)/2)*BL135*BO135*VLOOKUP('Données projet'!$B$11,Paramètres!$A$1:$I$89,3,0)*0.475*44/12</f>
        <v>1.9967141718948375E-17</v>
      </c>
      <c r="BS135" s="22">
        <f t="shared" si="117"/>
        <v>17.233894585107787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267</v>
      </c>
      <c r="BZ135" s="13">
        <f>BY135*VLOOKUP('Données projet'!$B$12,Paramètres!$A$1:$I$89,3,0)*VLOOKUP('Données projet'!$B$12,Paramètres!$A$1:$I$89,5,0)</f>
        <v>241.58159999999998</v>
      </c>
      <c r="CA135" s="13">
        <f t="shared" si="147"/>
        <v>58.779689232021951</v>
      </c>
      <c r="CB135" s="20">
        <f t="shared" si="118"/>
        <v>523.12924541243819</v>
      </c>
      <c r="CC135" s="59">
        <f t="shared" si="119"/>
        <v>816.46257874577145</v>
      </c>
      <c r="CD135" s="59">
        <f ca="1">AVERAGE(OFFSET($CC$3,0,0,'Données projet'!$E$12+1,1))-AVERAGE(OFFSET($H$3,0,0,'Données projet'!$E$12+1,1))</f>
        <v>216.16148211123436</v>
      </c>
      <c r="CE135" s="59">
        <f t="shared" si="148"/>
        <v>132.59131750490178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53.979567238854315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53.979567238854315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120.33839999999974</v>
      </c>
      <c r="D136" s="11">
        <f t="shared" si="140"/>
        <v>31.753912596847002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1174.0459218002206</v>
      </c>
      <c r="H136" s="66">
        <f t="shared" si="110"/>
        <v>558.22744443950796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763.00000000000057</v>
      </c>
      <c r="O136" s="13">
        <f>N136*VLOOKUP('Données projet'!$B$9,Paramètres!$A$1:$I$89,3,0)*VLOOKUP('Données projet'!$B$9,Paramètres!$A$1:$I$89,5,0)</f>
        <v>456.2740000000004</v>
      </c>
      <c r="P136" s="13">
        <f t="shared" si="141"/>
        <v>103.09649786611838</v>
      </c>
      <c r="Q136" s="20">
        <f t="shared" si="108"/>
        <v>974.23695045015677</v>
      </c>
      <c r="R136" s="59">
        <f t="shared" si="109"/>
        <v>1267.5702837834901</v>
      </c>
      <c r="S136" s="59">
        <f ca="1">AVERAGE(OFFSET($R$3,0,0,'Données projet'!$E$9+1,1))-AVERAGE(OFFSET($H$3,0,0,'Données projet'!$E$9+1,1))</f>
        <v>443.63756287217456</v>
      </c>
      <c r="T136" s="59">
        <f t="shared" si="142"/>
        <v>384.990641425788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37.255020252207494</v>
      </c>
      <c r="AA136" s="21">
        <f>EXP(-LN(2)/25)*AA135+(1-EXP(-LN(2)/25))/(LN(2)/25)*Calculateur!V136*Calculateur!X136*VLOOKUP('Données projet'!$B$9,Paramètres!$A$1:$I$89,3,0)*0.475*44/12</f>
        <v>3.7624962364076695</v>
      </c>
      <c r="AB136" s="21">
        <f>EXP(-LN(2)/2)*AB135+(1-EXP(-LN(2)/2))/(LN(2)/2)*V136*Y136*VLOOKUP('Données projet'!$B$9,Paramètres!$A$1:$I$89,3,0)*0.475*44/12</f>
        <v>2.4665292711642145E-17</v>
      </c>
      <c r="AC136" s="22">
        <f t="shared" si="111"/>
        <v>41.017516488615165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137.97244371990928</v>
      </c>
      <c r="AO136" s="59">
        <f t="shared" si="144"/>
        <v>340.50331317844757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16.062508336748927</v>
      </c>
      <c r="AV136" s="21">
        <f>EXP(-LN(2)/25)*AV135+(1-EXP(-LN(2)/25))/(LN(2)/25)*Calculateur!AQ136*Calculateur!AS136*VLOOKUP('Données projet'!$B$10,Paramètres!$A$1:$I$89,3,0)*0.475*44/12</f>
        <v>0.82686392133002673</v>
      </c>
      <c r="AW136" s="21">
        <f>EXP(-LN(2)/2)*AW135+(1-EXP(-LN(2)/2))/(LN(2)/2)*AQ136*AT136*VLOOKUP('Données projet'!$B$10,Paramètres!$A$1:$I$89,3,0)*0.475*44/12</f>
        <v>1.4118901310381213E-17</v>
      </c>
      <c r="AX136" s="21">
        <f t="shared" si="114"/>
        <v>16.889372258078954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137.97244371990928</v>
      </c>
      <c r="BJ136" s="59">
        <f t="shared" si="146"/>
        <v>340.50331317844757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16.062508336748927</v>
      </c>
      <c r="BQ136" s="21">
        <f>EXP(-LN(2)/25)*BQ135+(1-EXP(-LN(2)/25))/(LN(2)/25)*Calculateur!BL136*Calculateur!BN136*VLOOKUP('Données projet'!$B$11,Paramètres!$A$1:$I$89,3,0)*0.475*44/12</f>
        <v>0.82686392133002673</v>
      </c>
      <c r="BR136" s="21">
        <f>EXP(-LN(2)/2)*BR135+(1-EXP(-LN(2)/2))/(LN(2)/2)*BL136*BO136*VLOOKUP('Données projet'!$B$11,Paramètres!$A$1:$I$89,3,0)*0.475*44/12</f>
        <v>1.4118901310381213E-17</v>
      </c>
      <c r="BS136" s="22">
        <f t="shared" si="117"/>
        <v>16.889372258078954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267</v>
      </c>
      <c r="BZ136" s="13">
        <f>BY136*VLOOKUP('Données projet'!$B$12,Paramètres!$A$1:$I$89,3,0)*VLOOKUP('Données projet'!$B$12,Paramètres!$A$1:$I$89,5,0)</f>
        <v>241.58159999999998</v>
      </c>
      <c r="CA136" s="13">
        <f t="shared" si="147"/>
        <v>58.779689232021951</v>
      </c>
      <c r="CB136" s="20">
        <f t="shared" si="118"/>
        <v>523.12924541243819</v>
      </c>
      <c r="CC136" s="59">
        <f t="shared" si="119"/>
        <v>816.46257874577145</v>
      </c>
      <c r="CD136" s="59">
        <f ca="1">AVERAGE(OFFSET($CC$3,0,0,'Données projet'!$E$12+1,1))-AVERAGE(OFFSET($H$3,0,0,'Données projet'!$E$12+1,1))</f>
        <v>216.16148211123436</v>
      </c>
      <c r="CE136" s="59">
        <f t="shared" si="148"/>
        <v>132.59131750490178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52.921060849585395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52.921060849585395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121.24319999999973</v>
      </c>
      <c r="D137" s="11">
        <f t="shared" si="140"/>
        <v>31.964781119270278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1182.6580998680492</v>
      </c>
      <c r="H137" s="66">
        <f t="shared" si="110"/>
        <v>560.17056711606187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763.00000000000057</v>
      </c>
      <c r="O137" s="13">
        <f>N137*VLOOKUP('Données projet'!$B$9,Paramètres!$A$1:$I$89,3,0)*VLOOKUP('Données projet'!$B$9,Paramètres!$A$1:$I$89,5,0)</f>
        <v>456.2740000000004</v>
      </c>
      <c r="P137" s="13">
        <f t="shared" si="141"/>
        <v>103.09649786611838</v>
      </c>
      <c r="Q137" s="20">
        <f t="shared" si="108"/>
        <v>974.23695045015677</v>
      </c>
      <c r="R137" s="59">
        <f t="shared" si="109"/>
        <v>1267.5702837834901</v>
      </c>
      <c r="S137" s="59">
        <f ca="1">AVERAGE(OFFSET($R$3,0,0,'Données projet'!$E$9+1,1))-AVERAGE(OFFSET($H$3,0,0,'Données projet'!$E$9+1,1))</f>
        <v>443.63756287217456</v>
      </c>
      <c r="T137" s="59">
        <f t="shared" si="142"/>
        <v>384.990641425788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36.524472028380316</v>
      </c>
      <c r="AA137" s="21">
        <f>EXP(-LN(2)/25)*AA136+(1-EXP(-LN(2)/25))/(LN(2)/25)*Calculateur!V137*Calculateur!X137*VLOOKUP('Données projet'!$B$9,Paramètres!$A$1:$I$89,3,0)*0.475*44/12</f>
        <v>3.6596105789620239</v>
      </c>
      <c r="AB137" s="21">
        <f>EXP(-LN(2)/2)*AB136+(1-EXP(-LN(2)/2))/(LN(2)/2)*V137*Y137*VLOOKUP('Données projet'!$B$9,Paramètres!$A$1:$I$89,3,0)*0.475*44/12</f>
        <v>1.7440995736353287E-17</v>
      </c>
      <c r="AC137" s="22">
        <f t="shared" si="111"/>
        <v>40.18408260734234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137.97244371990928</v>
      </c>
      <c r="AO137" s="59">
        <f t="shared" si="144"/>
        <v>340.50331317844757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15.747532345427976</v>
      </c>
      <c r="AV137" s="21">
        <f>EXP(-LN(2)/25)*AV136+(1-EXP(-LN(2)/25))/(LN(2)/25)*Calculateur!AQ137*Calculateur!AS137*VLOOKUP('Données projet'!$B$10,Paramètres!$A$1:$I$89,3,0)*0.475*44/12</f>
        <v>0.80425328391837336</v>
      </c>
      <c r="AW137" s="21">
        <f>EXP(-LN(2)/2)*AW136+(1-EXP(-LN(2)/2))/(LN(2)/2)*AQ137*AT137*VLOOKUP('Données projet'!$B$10,Paramètres!$A$1:$I$89,3,0)*0.475*44/12</f>
        <v>9.9835708594741873E-18</v>
      </c>
      <c r="AX137" s="21">
        <f t="shared" si="114"/>
        <v>16.551785629346348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137.97244371990928</v>
      </c>
      <c r="BJ137" s="59">
        <f t="shared" si="146"/>
        <v>340.50331317844757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15.747532345427976</v>
      </c>
      <c r="BQ137" s="21">
        <f>EXP(-LN(2)/25)*BQ136+(1-EXP(-LN(2)/25))/(LN(2)/25)*Calculateur!BL137*Calculateur!BN137*VLOOKUP('Données projet'!$B$11,Paramètres!$A$1:$I$89,3,0)*0.475*44/12</f>
        <v>0.80425328391837336</v>
      </c>
      <c r="BR137" s="21">
        <f>EXP(-LN(2)/2)*BR136+(1-EXP(-LN(2)/2))/(LN(2)/2)*BL137*BO137*VLOOKUP('Données projet'!$B$11,Paramètres!$A$1:$I$89,3,0)*0.475*44/12</f>
        <v>9.9835708594741873E-18</v>
      </c>
      <c r="BS137" s="22">
        <f t="shared" si="117"/>
        <v>16.551785629346348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267</v>
      </c>
      <c r="BZ137" s="13">
        <f>BY137*VLOOKUP('Données projet'!$B$12,Paramètres!$A$1:$I$89,3,0)*VLOOKUP('Données projet'!$B$12,Paramètres!$A$1:$I$89,5,0)</f>
        <v>241.58159999999998</v>
      </c>
      <c r="CA137" s="13">
        <f t="shared" si="147"/>
        <v>58.779689232021951</v>
      </c>
      <c r="CB137" s="20">
        <f t="shared" si="118"/>
        <v>523.12924541243819</v>
      </c>
      <c r="CC137" s="59">
        <f t="shared" si="119"/>
        <v>816.46257874577145</v>
      </c>
      <c r="CD137" s="59">
        <f ca="1">AVERAGE(OFFSET($CC$3,0,0,'Données projet'!$E$12+1,1))-AVERAGE(OFFSET($H$3,0,0,'Données projet'!$E$12+1,1))</f>
        <v>216.16148211123436</v>
      </c>
      <c r="CE137" s="59">
        <f t="shared" si="148"/>
        <v>132.59131750490178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51.883311124984893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51.883311124984893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122.14799999999973</v>
      </c>
      <c r="D138" s="11">
        <f t="shared" si="140"/>
        <v>32.17546654707153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1191.2688645738835</v>
      </c>
      <c r="H138" s="66">
        <f t="shared" si="110"/>
        <v>562.11337090281575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763.00000000000057</v>
      </c>
      <c r="O138" s="13">
        <f>N138*VLOOKUP('Données projet'!$B$9,Paramètres!$A$1:$I$89,3,0)*VLOOKUP('Données projet'!$B$9,Paramètres!$A$1:$I$89,5,0)</f>
        <v>456.2740000000004</v>
      </c>
      <c r="P138" s="13">
        <f t="shared" si="141"/>
        <v>103.09649786611838</v>
      </c>
      <c r="Q138" s="20">
        <f t="shared" si="108"/>
        <v>974.23695045015677</v>
      </c>
      <c r="R138" s="59">
        <f t="shared" si="109"/>
        <v>1267.5702837834901</v>
      </c>
      <c r="S138" s="59">
        <f ca="1">AVERAGE(OFFSET($R$3,0,0,'Données projet'!$E$9+1,1))-AVERAGE(OFFSET($H$3,0,0,'Données projet'!$E$9+1,1))</f>
        <v>443.63756287217456</v>
      </c>
      <c r="T138" s="59">
        <f t="shared" si="142"/>
        <v>384.990641425788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35.808249409631969</v>
      </c>
      <c r="AA138" s="21">
        <f>EXP(-LN(2)/25)*AA137+(1-EXP(-LN(2)/25))/(LN(2)/25)*Calculateur!V138*Calculateur!X138*VLOOKUP('Données projet'!$B$9,Paramètres!$A$1:$I$89,3,0)*0.475*44/12</f>
        <v>3.5595383352297514</v>
      </c>
      <c r="AB138" s="21">
        <f>EXP(-LN(2)/2)*AB137+(1-EXP(-LN(2)/2))/(LN(2)/2)*V138*Y138*VLOOKUP('Données projet'!$B$9,Paramètres!$A$1:$I$89,3,0)*0.475*44/12</f>
        <v>1.2332646355821072E-17</v>
      </c>
      <c r="AC138" s="22">
        <f t="shared" si="111"/>
        <v>39.367787744861722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137.97244371990928</v>
      </c>
      <c r="AO138" s="59">
        <f t="shared" si="144"/>
        <v>340.50331317844757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15.438732841180444</v>
      </c>
      <c r="AV138" s="21">
        <f>EXP(-LN(2)/25)*AV137+(1-EXP(-LN(2)/25))/(LN(2)/25)*Calculateur!AQ138*Calculateur!AS138*VLOOKUP('Données projet'!$B$10,Paramètres!$A$1:$I$89,3,0)*0.475*44/12</f>
        <v>0.78226093557578336</v>
      </c>
      <c r="AW138" s="21">
        <f>EXP(-LN(2)/2)*AW137+(1-EXP(-LN(2)/2))/(LN(2)/2)*AQ138*AT138*VLOOKUP('Données projet'!$B$10,Paramètres!$A$1:$I$89,3,0)*0.475*44/12</f>
        <v>7.0594506551906064E-18</v>
      </c>
      <c r="AX138" s="21">
        <f t="shared" si="114"/>
        <v>16.220993776756227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137.97244371990928</v>
      </c>
      <c r="BJ138" s="59">
        <f t="shared" si="146"/>
        <v>340.50331317844757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15.438732841180444</v>
      </c>
      <c r="BQ138" s="21">
        <f>EXP(-LN(2)/25)*BQ137+(1-EXP(-LN(2)/25))/(LN(2)/25)*Calculateur!BL138*Calculateur!BN138*VLOOKUP('Données projet'!$B$11,Paramètres!$A$1:$I$89,3,0)*0.475*44/12</f>
        <v>0.78226093557578336</v>
      </c>
      <c r="BR138" s="21">
        <f>EXP(-LN(2)/2)*BR137+(1-EXP(-LN(2)/2))/(LN(2)/2)*BL138*BO138*VLOOKUP('Données projet'!$B$11,Paramètres!$A$1:$I$89,3,0)*0.475*44/12</f>
        <v>7.0594506551906064E-18</v>
      </c>
      <c r="BS138" s="22">
        <f t="shared" si="117"/>
        <v>16.220993776756227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267</v>
      </c>
      <c r="BZ138" s="13">
        <f>BY138*VLOOKUP('Données projet'!$B$12,Paramètres!$A$1:$I$89,3,0)*VLOOKUP('Données projet'!$B$12,Paramètres!$A$1:$I$89,5,0)</f>
        <v>241.58159999999998</v>
      </c>
      <c r="CA138" s="13">
        <f t="shared" si="147"/>
        <v>58.779689232021951</v>
      </c>
      <c r="CB138" s="20">
        <f t="shared" si="118"/>
        <v>523.12924541243819</v>
      </c>
      <c r="CC138" s="59">
        <f t="shared" si="119"/>
        <v>816.46257874577145</v>
      </c>
      <c r="CD138" s="59">
        <f ca="1">AVERAGE(OFFSET($CC$3,0,0,'Données projet'!$E$12+1,1))-AVERAGE(OFFSET($H$3,0,0,'Données projet'!$E$12+1,1))</f>
        <v>216.16148211123436</v>
      </c>
      <c r="CE138" s="59">
        <f t="shared" si="148"/>
        <v>132.59131750490178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50.86591103951897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50.86591103951897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123.05279999999972</v>
      </c>
      <c r="D139" s="11">
        <f t="shared" si="140"/>
        <v>32.385970393750767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1199.8782276008808</v>
      </c>
      <c r="H139" s="66">
        <f t="shared" si="110"/>
        <v>564.05585843578206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763.00000000000057</v>
      </c>
      <c r="O139" s="13">
        <f>N139*VLOOKUP('Données projet'!$B$9,Paramètres!$A$1:$I$89,3,0)*VLOOKUP('Données projet'!$B$9,Paramètres!$A$1:$I$89,5,0)</f>
        <v>456.2740000000004</v>
      </c>
      <c r="P139" s="13">
        <f t="shared" si="141"/>
        <v>103.09649786611838</v>
      </c>
      <c r="Q139" s="20">
        <f t="shared" si="108"/>
        <v>974.23695045015677</v>
      </c>
      <c r="R139" s="59">
        <f t="shared" si="109"/>
        <v>1267.5702837834901</v>
      </c>
      <c r="S139" s="59">
        <f ca="1">AVERAGE(OFFSET($R$3,0,0,'Données projet'!$E$9+1,1))-AVERAGE(OFFSET($H$3,0,0,'Données projet'!$E$9+1,1))</f>
        <v>443.63756287217456</v>
      </c>
      <c r="T139" s="59">
        <f t="shared" si="142"/>
        <v>384.990641425788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35.106071479584621</v>
      </c>
      <c r="AA139" s="21">
        <f>EXP(-LN(2)/25)*AA138+(1-EXP(-LN(2)/25))/(LN(2)/25)*Calculateur!V139*Calculateur!X139*VLOOKUP('Données projet'!$B$9,Paramètres!$A$1:$I$89,3,0)*0.475*44/12</f>
        <v>3.4622025722649084</v>
      </c>
      <c r="AB139" s="21">
        <f>EXP(-LN(2)/2)*AB138+(1-EXP(-LN(2)/2))/(LN(2)/2)*V139*Y139*VLOOKUP('Données projet'!$B$9,Paramètres!$A$1:$I$89,3,0)*0.475*44/12</f>
        <v>8.7204978681766436E-18</v>
      </c>
      <c r="AC139" s="22">
        <f t="shared" si="111"/>
        <v>38.568274051849528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137.97244371990928</v>
      </c>
      <c r="AO139" s="59">
        <f t="shared" si="144"/>
        <v>340.50331317844757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15.135988706862108</v>
      </c>
      <c r="AV139" s="21">
        <f>EXP(-LN(2)/25)*AV138+(1-EXP(-LN(2)/25))/(LN(2)/25)*Calculateur!AQ139*Calculateur!AS139*VLOOKUP('Données projet'!$B$10,Paramètres!$A$1:$I$89,3,0)*0.475*44/12</f>
        <v>0.76086996915514882</v>
      </c>
      <c r="AW139" s="21">
        <f>EXP(-LN(2)/2)*AW138+(1-EXP(-LN(2)/2))/(LN(2)/2)*AQ139*AT139*VLOOKUP('Données projet'!$B$10,Paramètres!$A$1:$I$89,3,0)*0.475*44/12</f>
        <v>4.9917854297370937E-18</v>
      </c>
      <c r="AX139" s="21">
        <f t="shared" si="114"/>
        <v>15.896858676017256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137.97244371990928</v>
      </c>
      <c r="BJ139" s="59">
        <f t="shared" si="146"/>
        <v>340.50331317844757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15.135988706862108</v>
      </c>
      <c r="BQ139" s="21">
        <f>EXP(-LN(2)/25)*BQ138+(1-EXP(-LN(2)/25))/(LN(2)/25)*Calculateur!BL139*Calculateur!BN139*VLOOKUP('Données projet'!$B$11,Paramètres!$A$1:$I$89,3,0)*0.475*44/12</f>
        <v>0.76086996915514882</v>
      </c>
      <c r="BR139" s="21">
        <f>EXP(-LN(2)/2)*BR138+(1-EXP(-LN(2)/2))/(LN(2)/2)*BL139*BO139*VLOOKUP('Données projet'!$B$11,Paramètres!$A$1:$I$89,3,0)*0.475*44/12</f>
        <v>4.9917854297370937E-18</v>
      </c>
      <c r="BS139" s="22">
        <f t="shared" si="117"/>
        <v>15.896858676017256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267</v>
      </c>
      <c r="BZ139" s="13">
        <f>BY139*VLOOKUP('Données projet'!$B$12,Paramètres!$A$1:$I$89,3,0)*VLOOKUP('Données projet'!$B$12,Paramètres!$A$1:$I$89,5,0)</f>
        <v>241.58159999999998</v>
      </c>
      <c r="CA139" s="13">
        <f t="shared" si="147"/>
        <v>58.779689232021951</v>
      </c>
      <c r="CB139" s="20">
        <f t="shared" si="118"/>
        <v>523.12924541243819</v>
      </c>
      <c r="CC139" s="59">
        <f t="shared" si="119"/>
        <v>816.46257874577145</v>
      </c>
      <c r="CD139" s="59">
        <f ca="1">AVERAGE(OFFSET($CC$3,0,0,'Données projet'!$E$12+1,1))-AVERAGE(OFFSET($H$3,0,0,'Données projet'!$E$12+1,1))</f>
        <v>216.16148211123436</v>
      </c>
      <c r="CE139" s="59">
        <f t="shared" si="148"/>
        <v>132.59131750490178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49.86846154917626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49.86846154917626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123.95759999999972</v>
      </c>
      <c r="D140" s="11">
        <f t="shared" si="140"/>
        <v>32.596294149264523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1208.486200450461</v>
      </c>
      <c r="H140" s="66">
        <f t="shared" si="110"/>
        <v>565.99803230996849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763.00000000000057</v>
      </c>
      <c r="O140" s="13">
        <f>N140*VLOOKUP('Données projet'!$B$9,Paramètres!$A$1:$I$89,3,0)*VLOOKUP('Données projet'!$B$9,Paramètres!$A$1:$I$89,5,0)</f>
        <v>456.2740000000004</v>
      </c>
      <c r="P140" s="13">
        <f t="shared" si="141"/>
        <v>103.09649786611838</v>
      </c>
      <c r="Q140" s="20">
        <f t="shared" si="108"/>
        <v>974.23695045015677</v>
      </c>
      <c r="R140" s="59">
        <f t="shared" si="109"/>
        <v>1267.5702837834901</v>
      </c>
      <c r="S140" s="59">
        <f ca="1">AVERAGE(OFFSET($R$3,0,0,'Données projet'!$E$9+1,1))-AVERAGE(OFFSET($H$3,0,0,'Données projet'!$E$9+1,1))</f>
        <v>443.63756287217456</v>
      </c>
      <c r="T140" s="59">
        <f t="shared" si="142"/>
        <v>384.990641425788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34.41766283045925</v>
      </c>
      <c r="AA140" s="21">
        <f>EXP(-LN(2)/25)*AA139+(1-EXP(-LN(2)/25))/(LN(2)/25)*Calculateur!V140*Calculateur!X140*VLOOKUP('Données projet'!$B$9,Paramètres!$A$1:$I$89,3,0)*0.475*44/12</f>
        <v>3.3675284608570042</v>
      </c>
      <c r="AB140" s="21">
        <f>EXP(-LN(2)/2)*AB139+(1-EXP(-LN(2)/2))/(LN(2)/2)*V140*Y140*VLOOKUP('Données projet'!$B$9,Paramètres!$A$1:$I$89,3,0)*0.475*44/12</f>
        <v>6.1663231779105362E-18</v>
      </c>
      <c r="AC140" s="22">
        <f t="shared" si="111"/>
        <v>37.785191291316252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137.97244371990928</v>
      </c>
      <c r="AO140" s="59">
        <f t="shared" si="144"/>
        <v>340.50331317844757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14.839181200362065</v>
      </c>
      <c r="AV140" s="21">
        <f>EXP(-LN(2)/25)*AV139+(1-EXP(-LN(2)/25))/(LN(2)/25)*Calculateur!AQ140*Calculateur!AS140*VLOOKUP('Données projet'!$B$10,Paramètres!$A$1:$I$89,3,0)*0.475*44/12</f>
        <v>0.74006393983618857</v>
      </c>
      <c r="AW140" s="21">
        <f>EXP(-LN(2)/2)*AW139+(1-EXP(-LN(2)/2))/(LN(2)/2)*AQ140*AT140*VLOOKUP('Données projet'!$B$10,Paramètres!$A$1:$I$89,3,0)*0.475*44/12</f>
        <v>3.5297253275953032E-18</v>
      </c>
      <c r="AX140" s="21">
        <f t="shared" si="114"/>
        <v>15.579245140198253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137.97244371990928</v>
      </c>
      <c r="BJ140" s="59">
        <f t="shared" si="146"/>
        <v>340.50331317844757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14.839181200362065</v>
      </c>
      <c r="BQ140" s="21">
        <f>EXP(-LN(2)/25)*BQ139+(1-EXP(-LN(2)/25))/(LN(2)/25)*Calculateur!BL140*Calculateur!BN140*VLOOKUP('Données projet'!$B$11,Paramètres!$A$1:$I$89,3,0)*0.475*44/12</f>
        <v>0.74006393983618857</v>
      </c>
      <c r="BR140" s="21">
        <f>EXP(-LN(2)/2)*BR139+(1-EXP(-LN(2)/2))/(LN(2)/2)*BL140*BO140*VLOOKUP('Données projet'!$B$11,Paramètres!$A$1:$I$89,3,0)*0.475*44/12</f>
        <v>3.5297253275953032E-18</v>
      </c>
      <c r="BS140" s="22">
        <f t="shared" si="117"/>
        <v>15.579245140198253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267</v>
      </c>
      <c r="BZ140" s="13">
        <f>BY140*VLOOKUP('Données projet'!$B$12,Paramètres!$A$1:$I$89,3,0)*VLOOKUP('Données projet'!$B$12,Paramètres!$A$1:$I$89,5,0)</f>
        <v>241.58159999999998</v>
      </c>
      <c r="CA140" s="13">
        <f t="shared" si="147"/>
        <v>58.779689232021951</v>
      </c>
      <c r="CB140" s="20">
        <f t="shared" si="118"/>
        <v>523.12924541243819</v>
      </c>
      <c r="CC140" s="59">
        <f t="shared" si="119"/>
        <v>816.46257874577145</v>
      </c>
      <c r="CD140" s="59">
        <f ca="1">AVERAGE(OFFSET($CC$3,0,0,'Données projet'!$E$12+1,1))-AVERAGE(OFFSET($H$3,0,0,'Données projet'!$E$12+1,1))</f>
        <v>216.16148211123436</v>
      </c>
      <c r="CE140" s="59">
        <f t="shared" si="148"/>
        <v>132.59131750490178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48.890571434955056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48.890571434955056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124.86239999999971</v>
      </c>
      <c r="D141" s="11">
        <f t="shared" si="140"/>
        <v>32.806439280561541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1217.0927944464379</v>
      </c>
      <c r="H141" s="66">
        <f t="shared" si="110"/>
        <v>567.93989508031086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763.00000000000057</v>
      </c>
      <c r="O141" s="13">
        <f>N141*VLOOKUP('Données projet'!$B$9,Paramètres!$A$1:$I$89,3,0)*VLOOKUP('Données projet'!$B$9,Paramètres!$A$1:$I$89,5,0)</f>
        <v>456.2740000000004</v>
      </c>
      <c r="P141" s="13">
        <f t="shared" si="141"/>
        <v>103.09649786611838</v>
      </c>
      <c r="Q141" s="20">
        <f t="shared" si="108"/>
        <v>974.23695045015677</v>
      </c>
      <c r="R141" s="59">
        <f t="shared" si="109"/>
        <v>1267.5702837834901</v>
      </c>
      <c r="S141" s="59">
        <f ca="1">AVERAGE(OFFSET($R$3,0,0,'Données projet'!$E$9+1,1))-AVERAGE(OFFSET($H$3,0,0,'Données projet'!$E$9+1,1))</f>
        <v>443.63756287217456</v>
      </c>
      <c r="T141" s="59">
        <f t="shared" si="142"/>
        <v>384.990641425788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33.742753455055414</v>
      </c>
      <c r="AA141" s="21">
        <f>EXP(-LN(2)/25)*AA140+(1-EXP(-LN(2)/25))/(LN(2)/25)*Calculateur!V141*Calculateur!X141*VLOOKUP('Données projet'!$B$9,Paramètres!$A$1:$I$89,3,0)*0.475*44/12</f>
        <v>3.2754432180042441</v>
      </c>
      <c r="AB141" s="21">
        <f>EXP(-LN(2)/2)*AB140+(1-EXP(-LN(2)/2))/(LN(2)/2)*V141*Y141*VLOOKUP('Données projet'!$B$9,Paramètres!$A$1:$I$89,3,0)*0.475*44/12</f>
        <v>4.3602489340883218E-18</v>
      </c>
      <c r="AC141" s="22">
        <f t="shared" si="111"/>
        <v>37.018196673059656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137.97244371990928</v>
      </c>
      <c r="AO141" s="59">
        <f t="shared" si="144"/>
        <v>340.50331317844757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14.548193908029784</v>
      </c>
      <c r="AV141" s="21">
        <f>EXP(-LN(2)/25)*AV140+(1-EXP(-LN(2)/25))/(LN(2)/25)*Calculateur!AQ141*Calculateur!AS141*VLOOKUP('Données projet'!$B$10,Paramètres!$A$1:$I$89,3,0)*0.475*44/12</f>
        <v>0.71982685248309686</v>
      </c>
      <c r="AW141" s="21">
        <f>EXP(-LN(2)/2)*AW140+(1-EXP(-LN(2)/2))/(LN(2)/2)*AQ141*AT141*VLOOKUP('Données projet'!$B$10,Paramètres!$A$1:$I$89,3,0)*0.475*44/12</f>
        <v>2.4958927148685468E-18</v>
      </c>
      <c r="AX141" s="21">
        <f t="shared" si="114"/>
        <v>15.268020760512881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137.97244371990928</v>
      </c>
      <c r="BJ141" s="59">
        <f t="shared" si="146"/>
        <v>340.50331317844757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14.548193908029784</v>
      </c>
      <c r="BQ141" s="21">
        <f>EXP(-LN(2)/25)*BQ140+(1-EXP(-LN(2)/25))/(LN(2)/25)*Calculateur!BL141*Calculateur!BN141*VLOOKUP('Données projet'!$B$11,Paramètres!$A$1:$I$89,3,0)*0.475*44/12</f>
        <v>0.71982685248309686</v>
      </c>
      <c r="BR141" s="21">
        <f>EXP(-LN(2)/2)*BR140+(1-EXP(-LN(2)/2))/(LN(2)/2)*BL141*BO141*VLOOKUP('Données projet'!$B$11,Paramètres!$A$1:$I$89,3,0)*0.475*44/12</f>
        <v>2.4958927148685468E-18</v>
      </c>
      <c r="BS141" s="22">
        <f t="shared" si="117"/>
        <v>15.268020760512881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267</v>
      </c>
      <c r="BZ141" s="13">
        <f>BY141*VLOOKUP('Données projet'!$B$12,Paramètres!$A$1:$I$89,3,0)*VLOOKUP('Données projet'!$B$12,Paramètres!$A$1:$I$89,5,0)</f>
        <v>241.58159999999998</v>
      </c>
      <c r="CA141" s="13">
        <f t="shared" si="147"/>
        <v>58.779689232021951</v>
      </c>
      <c r="CB141" s="20">
        <f t="shared" si="118"/>
        <v>523.12924541243819</v>
      </c>
      <c r="CC141" s="59">
        <f t="shared" si="119"/>
        <v>816.46257874577145</v>
      </c>
      <c r="CD141" s="59">
        <f ca="1">AVERAGE(OFFSET($CC$3,0,0,'Données projet'!$E$12+1,1))-AVERAGE(OFFSET($H$3,0,0,'Données projet'!$E$12+1,1))</f>
        <v>216.16148211123436</v>
      </c>
      <c r="CE141" s="59">
        <f t="shared" si="148"/>
        <v>132.59131750490178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47.931857149419656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47.931857149419656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125.7671999999997</v>
      </c>
      <c r="D142" s="11">
        <f t="shared" si="140"/>
        <v>33.01640723210194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1225.6980207390304</v>
      </c>
      <c r="H142" s="66">
        <f t="shared" si="110"/>
        <v>569.88144926257701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763.00000000000057</v>
      </c>
      <c r="O142" s="13">
        <f>N142*VLOOKUP('Données projet'!$B$9,Paramètres!$A$1:$I$89,3,0)*VLOOKUP('Données projet'!$B$9,Paramètres!$A$1:$I$89,5,0)</f>
        <v>456.2740000000004</v>
      </c>
      <c r="P142" s="13">
        <f t="shared" si="141"/>
        <v>103.09649786611838</v>
      </c>
      <c r="Q142" s="20">
        <f t="shared" si="108"/>
        <v>974.23695045015677</v>
      </c>
      <c r="R142" s="59">
        <f t="shared" si="109"/>
        <v>1267.5702837834901</v>
      </c>
      <c r="S142" s="59">
        <f ca="1">AVERAGE(OFFSET($R$3,0,0,'Données projet'!$E$9+1,1))-AVERAGE(OFFSET($H$3,0,0,'Données projet'!$E$9+1,1))</f>
        <v>443.63756287217456</v>
      </c>
      <c r="T142" s="59">
        <f t="shared" si="142"/>
        <v>384.990641425788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33.081078640849178</v>
      </c>
      <c r="AA142" s="21">
        <f>EXP(-LN(2)/25)*AA141+(1-EXP(-LN(2)/25))/(LN(2)/25)*Calculateur!V142*Calculateur!X142*VLOOKUP('Données projet'!$B$9,Paramètres!$A$1:$I$89,3,0)*0.475*44/12</f>
        <v>3.1858760509598452</v>
      </c>
      <c r="AB142" s="21">
        <f>EXP(-LN(2)/2)*AB141+(1-EXP(-LN(2)/2))/(LN(2)/2)*V142*Y142*VLOOKUP('Données projet'!$B$9,Paramètres!$A$1:$I$89,3,0)*0.475*44/12</f>
        <v>3.0831615889552681E-18</v>
      </c>
      <c r="AC142" s="22">
        <f t="shared" si="111"/>
        <v>36.266954691809026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137.97244371990928</v>
      </c>
      <c r="AO142" s="59">
        <f t="shared" si="144"/>
        <v>340.50331317844757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14.262912699015416</v>
      </c>
      <c r="AV142" s="21">
        <f>EXP(-LN(2)/25)*AV141+(1-EXP(-LN(2)/25))/(LN(2)/25)*Calculateur!AQ142*Calculateur!AS142*VLOOKUP('Données projet'!$B$10,Paramètres!$A$1:$I$89,3,0)*0.475*44/12</f>
        <v>0.70014314934789756</v>
      </c>
      <c r="AW142" s="21">
        <f>EXP(-LN(2)/2)*AW141+(1-EXP(-LN(2)/2))/(LN(2)/2)*AQ142*AT142*VLOOKUP('Données projet'!$B$10,Paramètres!$A$1:$I$89,3,0)*0.475*44/12</f>
        <v>1.7648626637976516E-18</v>
      </c>
      <c r="AX142" s="21">
        <f t="shared" si="114"/>
        <v>14.963055848363314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137.97244371990928</v>
      </c>
      <c r="BJ142" s="59">
        <f t="shared" si="146"/>
        <v>340.50331317844757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14.262912699015416</v>
      </c>
      <c r="BQ142" s="21">
        <f>EXP(-LN(2)/25)*BQ141+(1-EXP(-LN(2)/25))/(LN(2)/25)*Calculateur!BL142*Calculateur!BN142*VLOOKUP('Données projet'!$B$11,Paramètres!$A$1:$I$89,3,0)*0.475*44/12</f>
        <v>0.70014314934789756</v>
      </c>
      <c r="BR142" s="21">
        <f>EXP(-LN(2)/2)*BR141+(1-EXP(-LN(2)/2))/(LN(2)/2)*BL142*BO142*VLOOKUP('Données projet'!$B$11,Paramètres!$A$1:$I$89,3,0)*0.475*44/12</f>
        <v>1.7648626637976516E-18</v>
      </c>
      <c r="BS142" s="22">
        <f t="shared" si="117"/>
        <v>14.963055848363314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267</v>
      </c>
      <c r="BZ142" s="13">
        <f>BY142*VLOOKUP('Données projet'!$B$12,Paramètres!$A$1:$I$89,3,0)*VLOOKUP('Données projet'!$B$12,Paramètres!$A$1:$I$89,5,0)</f>
        <v>241.58159999999998</v>
      </c>
      <c r="CA142" s="13">
        <f t="shared" si="147"/>
        <v>58.779689232021951</v>
      </c>
      <c r="CB142" s="20">
        <f t="shared" si="118"/>
        <v>523.12924541243819</v>
      </c>
      <c r="CC142" s="59">
        <f t="shared" si="119"/>
        <v>816.46257874577145</v>
      </c>
      <c r="CD142" s="59">
        <f ca="1">AVERAGE(OFFSET($CC$3,0,0,'Données projet'!$E$12+1,1))-AVERAGE(OFFSET($H$3,0,0,'Données projet'!$E$12+1,1))</f>
        <v>216.16148211123436</v>
      </c>
      <c r="CE142" s="59">
        <f t="shared" si="148"/>
        <v>132.59131750490178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46.991942666265629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46.991942666265629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126.6719999999997</v>
      </c>
      <c r="D143" s="11">
        <f t="shared" si="140"/>
        <v>33.226199426361262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1234.3018903087514</v>
      </c>
      <c r="H143" s="66">
        <f t="shared" si="110"/>
        <v>571.82269733424528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763.00000000000057</v>
      </c>
      <c r="O143" s="13">
        <f>N143*VLOOKUP('Données projet'!$B$9,Paramètres!$A$1:$I$89,3,0)*VLOOKUP('Données projet'!$B$9,Paramètres!$A$1:$I$89,5,0)</f>
        <v>456.2740000000004</v>
      </c>
      <c r="P143" s="13">
        <f t="shared" si="141"/>
        <v>103.09649786611838</v>
      </c>
      <c r="Q143" s="20">
        <f t="shared" si="108"/>
        <v>974.23695045015677</v>
      </c>
      <c r="R143" s="59">
        <f t="shared" si="109"/>
        <v>1267.5702837834901</v>
      </c>
      <c r="S143" s="59">
        <f ca="1">AVERAGE(OFFSET($R$3,0,0,'Données projet'!$E$9+1,1))-AVERAGE(OFFSET($H$3,0,0,'Données projet'!$E$9+1,1))</f>
        <v>443.63756287217456</v>
      </c>
      <c r="T143" s="59">
        <f t="shared" si="142"/>
        <v>384.990641425788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32.432378866167738</v>
      </c>
      <c r="AA143" s="21">
        <f>EXP(-LN(2)/25)*AA142+(1-EXP(-LN(2)/25))/(LN(2)/25)*Calculateur!V143*Calculateur!X143*VLOOKUP('Données projet'!$B$9,Paramètres!$A$1:$I$89,3,0)*0.475*44/12</f>
        <v>3.0987581028084081</v>
      </c>
      <c r="AB143" s="21">
        <f>EXP(-LN(2)/2)*AB142+(1-EXP(-LN(2)/2))/(LN(2)/2)*V143*Y143*VLOOKUP('Données projet'!$B$9,Paramètres!$A$1:$I$89,3,0)*0.475*44/12</f>
        <v>2.1801244670441609E-18</v>
      </c>
      <c r="AC143" s="22">
        <f t="shared" si="111"/>
        <v>35.531136968976149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137.97244371990928</v>
      </c>
      <c r="AO143" s="59">
        <f t="shared" si="144"/>
        <v>340.50331317844757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13.983225680505464</v>
      </c>
      <c r="AV143" s="21">
        <f>EXP(-LN(2)/25)*AV142+(1-EXP(-LN(2)/25))/(LN(2)/25)*Calculateur!AQ143*Calculateur!AS143*VLOOKUP('Données projet'!$B$10,Paramètres!$A$1:$I$89,3,0)*0.475*44/12</f>
        <v>0.68099769811005129</v>
      </c>
      <c r="AW143" s="21">
        <f>EXP(-LN(2)/2)*AW142+(1-EXP(-LN(2)/2))/(LN(2)/2)*AQ143*AT143*VLOOKUP('Données projet'!$B$10,Paramètres!$A$1:$I$89,3,0)*0.475*44/12</f>
        <v>1.2479463574342734E-18</v>
      </c>
      <c r="AX143" s="21">
        <f t="shared" si="114"/>
        <v>14.664223378615516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137.97244371990928</v>
      </c>
      <c r="BJ143" s="59">
        <f t="shared" si="146"/>
        <v>340.50331317844757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13.983225680505464</v>
      </c>
      <c r="BQ143" s="21">
        <f>EXP(-LN(2)/25)*BQ142+(1-EXP(-LN(2)/25))/(LN(2)/25)*Calculateur!BL143*Calculateur!BN143*VLOOKUP('Données projet'!$B$11,Paramètres!$A$1:$I$89,3,0)*0.475*44/12</f>
        <v>0.68099769811005129</v>
      </c>
      <c r="BR143" s="21">
        <f>EXP(-LN(2)/2)*BR142+(1-EXP(-LN(2)/2))/(LN(2)/2)*BL143*BO143*VLOOKUP('Données projet'!$B$11,Paramètres!$A$1:$I$89,3,0)*0.475*44/12</f>
        <v>1.2479463574342734E-18</v>
      </c>
      <c r="BS143" s="22">
        <f t="shared" si="117"/>
        <v>14.664223378615516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267</v>
      </c>
      <c r="BZ143" s="13">
        <f>BY143*VLOOKUP('Données projet'!$B$12,Paramètres!$A$1:$I$89,3,0)*VLOOKUP('Données projet'!$B$12,Paramètres!$A$1:$I$89,5,0)</f>
        <v>241.58159999999998</v>
      </c>
      <c r="CA143" s="13">
        <f t="shared" si="147"/>
        <v>58.779689232021951</v>
      </c>
      <c r="CB143" s="20">
        <f t="shared" si="118"/>
        <v>523.12924541243819</v>
      </c>
      <c r="CC143" s="59">
        <f t="shared" si="119"/>
        <v>816.46257874577145</v>
      </c>
      <c r="CD143" s="59">
        <f ca="1">AVERAGE(OFFSET($CC$3,0,0,'Données projet'!$E$12+1,1))-AVERAGE(OFFSET($H$3,0,0,'Données projet'!$E$12+1,1))</f>
        <v>216.16148211123436</v>
      </c>
      <c r="CE143" s="59">
        <f t="shared" si="148"/>
        <v>132.59131750490178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46.070459332835021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46.070459332835021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127.57679999999969</v>
      </c>
      <c r="D144" s="11">
        <f t="shared" si="140"/>
        <v>33.435817264319766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1242.9044139701853</v>
      </c>
      <c r="H144" s="66">
        <f t="shared" si="110"/>
        <v>573.76364173535637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763.00000000000057</v>
      </c>
      <c r="O144" s="13">
        <f>N144*VLOOKUP('Données projet'!$B$9,Paramètres!$A$1:$I$89,3,0)*VLOOKUP('Données projet'!$B$9,Paramètres!$A$1:$I$89,5,0)</f>
        <v>456.2740000000004</v>
      </c>
      <c r="P144" s="13">
        <f t="shared" si="141"/>
        <v>103.09649786611838</v>
      </c>
      <c r="Q144" s="20">
        <f t="shared" si="108"/>
        <v>974.23695045015677</v>
      </c>
      <c r="R144" s="59">
        <f t="shared" si="109"/>
        <v>1267.5702837834901</v>
      </c>
      <c r="S144" s="59">
        <f ca="1">AVERAGE(OFFSET($R$3,0,0,'Données projet'!$E$9+1,1))-AVERAGE(OFFSET($H$3,0,0,'Données projet'!$E$9+1,1))</f>
        <v>443.63756287217456</v>
      </c>
      <c r="T144" s="59">
        <f t="shared" si="142"/>
        <v>384.990641425788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31.796399698400005</v>
      </c>
      <c r="AA144" s="21">
        <f>EXP(-LN(2)/25)*AA143+(1-EXP(-LN(2)/25))/(LN(2)/25)*Calculateur!V144*Calculateur!X144*VLOOKUP('Données projet'!$B$9,Paramètres!$A$1:$I$89,3,0)*0.475*44/12</f>
        <v>3.0140223995305058</v>
      </c>
      <c r="AB144" s="21">
        <f>EXP(-LN(2)/2)*AB143+(1-EXP(-LN(2)/2))/(LN(2)/2)*V144*Y144*VLOOKUP('Données projet'!$B$9,Paramètres!$A$1:$I$89,3,0)*0.475*44/12</f>
        <v>1.541580794477634E-18</v>
      </c>
      <c r="AC144" s="22">
        <f t="shared" si="111"/>
        <v>34.810422097930513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137.97244371990928</v>
      </c>
      <c r="AO144" s="59">
        <f t="shared" si="144"/>
        <v>340.50331317844757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13.709023153836256</v>
      </c>
      <c r="AV144" s="21">
        <f>EXP(-LN(2)/25)*AV143+(1-EXP(-LN(2)/25))/(LN(2)/25)*Calculateur!AQ144*Calculateur!AS144*VLOOKUP('Données projet'!$B$10,Paramètres!$A$1:$I$89,3,0)*0.475*44/12</f>
        <v>0.66237578024311938</v>
      </c>
      <c r="AW144" s="21">
        <f>EXP(-LN(2)/2)*AW143+(1-EXP(-LN(2)/2))/(LN(2)/2)*AQ144*AT144*VLOOKUP('Données projet'!$B$10,Paramètres!$A$1:$I$89,3,0)*0.475*44/12</f>
        <v>8.8243133189882579E-19</v>
      </c>
      <c r="AX144" s="21">
        <f t="shared" si="114"/>
        <v>14.371398934079375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137.97244371990928</v>
      </c>
      <c r="BJ144" s="59">
        <f t="shared" si="146"/>
        <v>340.50331317844757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13.709023153836256</v>
      </c>
      <c r="BQ144" s="21">
        <f>EXP(-LN(2)/25)*BQ143+(1-EXP(-LN(2)/25))/(LN(2)/25)*Calculateur!BL144*Calculateur!BN144*VLOOKUP('Données projet'!$B$11,Paramètres!$A$1:$I$89,3,0)*0.475*44/12</f>
        <v>0.66237578024311938</v>
      </c>
      <c r="BR144" s="21">
        <f>EXP(-LN(2)/2)*BR143+(1-EXP(-LN(2)/2))/(LN(2)/2)*BL144*BO144*VLOOKUP('Données projet'!$B$11,Paramètres!$A$1:$I$89,3,0)*0.475*44/12</f>
        <v>8.8243133189882579E-19</v>
      </c>
      <c r="BS144" s="22">
        <f t="shared" si="117"/>
        <v>14.371398934079375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267</v>
      </c>
      <c r="BZ144" s="13">
        <f>BY144*VLOOKUP('Données projet'!$B$12,Paramètres!$A$1:$I$89,3,0)*VLOOKUP('Données projet'!$B$12,Paramètres!$A$1:$I$89,5,0)</f>
        <v>241.58159999999998</v>
      </c>
      <c r="CA144" s="13">
        <f t="shared" si="147"/>
        <v>58.779689232021951</v>
      </c>
      <c r="CB144" s="20">
        <f t="shared" si="118"/>
        <v>523.12924541243819</v>
      </c>
      <c r="CC144" s="59">
        <f t="shared" si="119"/>
        <v>816.46257874577145</v>
      </c>
      <c r="CD144" s="59">
        <f ca="1">AVERAGE(OFFSET($CC$3,0,0,'Données projet'!$E$12+1,1))-AVERAGE(OFFSET($H$3,0,0,'Données projet'!$E$12+1,1))</f>
        <v>216.16148211123436</v>
      </c>
      <c r="CE144" s="59">
        <f t="shared" si="148"/>
        <v>132.59131750490178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45.167045725523657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45.167045725523657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128.4815999999997</v>
      </c>
      <c r="D145" s="11">
        <f t="shared" si="140"/>
        <v>33.64526212593713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1251.5056023756529</v>
      </c>
      <c r="H145" s="66">
        <f t="shared" si="110"/>
        <v>575.70428486933997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763.00000000000057</v>
      </c>
      <c r="O145" s="13">
        <f>N145*VLOOKUP('Données projet'!$B$9,Paramètres!$A$1:$I$89,3,0)*VLOOKUP('Données projet'!$B$9,Paramètres!$A$1:$I$89,5,0)</f>
        <v>456.2740000000004</v>
      </c>
      <c r="P145" s="13">
        <f t="shared" si="141"/>
        <v>103.09649786611838</v>
      </c>
      <c r="Q145" s="20">
        <f t="shared" si="108"/>
        <v>974.23695045015677</v>
      </c>
      <c r="R145" s="59">
        <f t="shared" si="109"/>
        <v>1267.5702837834901</v>
      </c>
      <c r="S145" s="59">
        <f ca="1">AVERAGE(OFFSET($R$3,0,0,'Données projet'!$E$9+1,1))-AVERAGE(OFFSET($H$3,0,0,'Données projet'!$E$9+1,1))</f>
        <v>443.63756287217456</v>
      </c>
      <c r="T145" s="59">
        <f t="shared" si="142"/>
        <v>384.990641425788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31.172891694203209</v>
      </c>
      <c r="AA145" s="21">
        <f>EXP(-LN(2)/25)*AA144+(1-EXP(-LN(2)/25))/(LN(2)/25)*Calculateur!V145*Calculateur!X145*VLOOKUP('Données projet'!$B$9,Paramètres!$A$1:$I$89,3,0)*0.475*44/12</f>
        <v>2.9316037985147947</v>
      </c>
      <c r="AB145" s="21">
        <f>EXP(-LN(2)/2)*AB144+(1-EXP(-LN(2)/2))/(LN(2)/2)*V145*Y145*VLOOKUP('Données projet'!$B$9,Paramètres!$A$1:$I$89,3,0)*0.475*44/12</f>
        <v>1.0900622335220805E-18</v>
      </c>
      <c r="AC145" s="22">
        <f t="shared" si="111"/>
        <v>34.104495492718002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137.97244371990928</v>
      </c>
      <c r="AO145" s="59">
        <f t="shared" si="144"/>
        <v>340.50331317844757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13.440197571468003</v>
      </c>
      <c r="AV145" s="21">
        <f>EXP(-LN(2)/25)*AV144+(1-EXP(-LN(2)/25))/(LN(2)/25)*Calculateur!AQ145*Calculateur!AS145*VLOOKUP('Données projet'!$B$10,Paramètres!$A$1:$I$89,3,0)*0.475*44/12</f>
        <v>0.64426307969954288</v>
      </c>
      <c r="AW145" s="21">
        <f>EXP(-LN(2)/2)*AW144+(1-EXP(-LN(2)/2))/(LN(2)/2)*AQ145*AT145*VLOOKUP('Données projet'!$B$10,Paramètres!$A$1:$I$89,3,0)*0.475*44/12</f>
        <v>6.2397317871713671E-19</v>
      </c>
      <c r="AX145" s="21">
        <f t="shared" si="114"/>
        <v>14.084460651167547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137.97244371990928</v>
      </c>
      <c r="BJ145" s="59">
        <f t="shared" si="146"/>
        <v>340.50331317844757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13.440197571468003</v>
      </c>
      <c r="BQ145" s="21">
        <f>EXP(-LN(2)/25)*BQ144+(1-EXP(-LN(2)/25))/(LN(2)/25)*Calculateur!BL145*Calculateur!BN145*VLOOKUP('Données projet'!$B$11,Paramètres!$A$1:$I$89,3,0)*0.475*44/12</f>
        <v>0.64426307969954288</v>
      </c>
      <c r="BR145" s="21">
        <f>EXP(-LN(2)/2)*BR144+(1-EXP(-LN(2)/2))/(LN(2)/2)*BL145*BO145*VLOOKUP('Données projet'!$B$11,Paramètres!$A$1:$I$89,3,0)*0.475*44/12</f>
        <v>6.2397317871713671E-19</v>
      </c>
      <c r="BS145" s="22">
        <f t="shared" si="117"/>
        <v>14.084460651167547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267</v>
      </c>
      <c r="BZ145" s="13">
        <f>BY145*VLOOKUP('Données projet'!$B$12,Paramètres!$A$1:$I$89,3,0)*VLOOKUP('Données projet'!$B$12,Paramètres!$A$1:$I$89,5,0)</f>
        <v>241.58159999999998</v>
      </c>
      <c r="CA145" s="13">
        <f t="shared" si="147"/>
        <v>58.779689232021951</v>
      </c>
      <c r="CB145" s="20">
        <f t="shared" si="118"/>
        <v>523.12924541243819</v>
      </c>
      <c r="CC145" s="59">
        <f t="shared" si="119"/>
        <v>816.46257874577145</v>
      </c>
      <c r="CD145" s="59">
        <f ca="1">AVERAGE(OFFSET($CC$3,0,0,'Données projet'!$E$12+1,1))-AVERAGE(OFFSET($H$3,0,0,'Données projet'!$E$12+1,1))</f>
        <v>216.16148211123436</v>
      </c>
      <c r="CE145" s="59">
        <f t="shared" si="148"/>
        <v>132.59131750490178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44.281347508023778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44.281347508023778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129.3863999999997</v>
      </c>
      <c r="D146" s="11">
        <f t="shared" si="140"/>
        <v>33.85453537061386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1260.1054660187713</v>
      </c>
      <c r="H146" s="66">
        <f t="shared" si="110"/>
        <v>577.6446291038186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763.00000000000057</v>
      </c>
      <c r="O146" s="13">
        <f>N146*VLOOKUP('Données projet'!$B$9,Paramètres!$A$1:$I$89,3,0)*VLOOKUP('Données projet'!$B$9,Paramètres!$A$1:$I$89,5,0)</f>
        <v>456.2740000000004</v>
      </c>
      <c r="P146" s="13">
        <f t="shared" si="141"/>
        <v>103.09649786611838</v>
      </c>
      <c r="Q146" s="20">
        <f t="shared" si="108"/>
        <v>974.23695045015677</v>
      </c>
      <c r="R146" s="59">
        <f t="shared" si="109"/>
        <v>1267.5702837834901</v>
      </c>
      <c r="S146" s="59">
        <f ca="1">AVERAGE(OFFSET($R$3,0,0,'Données projet'!$E$9+1,1))-AVERAGE(OFFSET($H$3,0,0,'Données projet'!$E$9+1,1))</f>
        <v>443.63756287217456</v>
      </c>
      <c r="T146" s="59">
        <f t="shared" si="142"/>
        <v>384.990641425788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30.561610301666381</v>
      </c>
      <c r="AA146" s="21">
        <f>EXP(-LN(2)/25)*AA145+(1-EXP(-LN(2)/25))/(LN(2)/25)*Calculateur!V146*Calculateur!X146*VLOOKUP('Données projet'!$B$9,Paramètres!$A$1:$I$89,3,0)*0.475*44/12</f>
        <v>2.8514389384780641</v>
      </c>
      <c r="AB146" s="21">
        <f>EXP(-LN(2)/2)*AB145+(1-EXP(-LN(2)/2))/(LN(2)/2)*V146*Y146*VLOOKUP('Données projet'!$B$9,Paramètres!$A$1:$I$89,3,0)*0.475*44/12</f>
        <v>7.7079039723881702E-19</v>
      </c>
      <c r="AC146" s="22">
        <f t="shared" si="111"/>
        <v>33.413049240144446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137.97244371990928</v>
      </c>
      <c r="AO146" s="59">
        <f t="shared" si="144"/>
        <v>340.50331317844757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13.176643494802578</v>
      </c>
      <c r="AV146" s="21">
        <f>EXP(-LN(2)/25)*AV145+(1-EXP(-LN(2)/25))/(LN(2)/25)*Calculateur!AQ146*Calculateur!AS146*VLOOKUP('Données projet'!$B$10,Paramètres!$A$1:$I$89,3,0)*0.475*44/12</f>
        <v>0.626645671904836</v>
      </c>
      <c r="AW146" s="21">
        <f>EXP(-LN(2)/2)*AW145+(1-EXP(-LN(2)/2))/(LN(2)/2)*AQ146*AT146*VLOOKUP('Données projet'!$B$10,Paramètres!$A$1:$I$89,3,0)*0.475*44/12</f>
        <v>4.412156659494129E-19</v>
      </c>
      <c r="AX146" s="21">
        <f t="shared" si="114"/>
        <v>13.803289166707414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137.97244371990928</v>
      </c>
      <c r="BJ146" s="59">
        <f t="shared" si="146"/>
        <v>340.50331317844757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13.176643494802578</v>
      </c>
      <c r="BQ146" s="21">
        <f>EXP(-LN(2)/25)*BQ145+(1-EXP(-LN(2)/25))/(LN(2)/25)*Calculateur!BL146*Calculateur!BN146*VLOOKUP('Données projet'!$B$11,Paramètres!$A$1:$I$89,3,0)*0.475*44/12</f>
        <v>0.626645671904836</v>
      </c>
      <c r="BR146" s="21">
        <f>EXP(-LN(2)/2)*BR145+(1-EXP(-LN(2)/2))/(LN(2)/2)*BL146*BO146*VLOOKUP('Données projet'!$B$11,Paramètres!$A$1:$I$89,3,0)*0.475*44/12</f>
        <v>4.412156659494129E-19</v>
      </c>
      <c r="BS146" s="22">
        <f t="shared" si="117"/>
        <v>13.803289166707414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267</v>
      </c>
      <c r="BZ146" s="13">
        <f>BY146*VLOOKUP('Données projet'!$B$12,Paramètres!$A$1:$I$89,3,0)*VLOOKUP('Données projet'!$B$12,Paramètres!$A$1:$I$89,5,0)</f>
        <v>241.58159999999998</v>
      </c>
      <c r="CA146" s="13">
        <f t="shared" si="147"/>
        <v>58.779689232021951</v>
      </c>
      <c r="CB146" s="20">
        <f t="shared" si="118"/>
        <v>523.12924541243819</v>
      </c>
      <c r="CC146" s="59">
        <f t="shared" si="119"/>
        <v>816.46257874577145</v>
      </c>
      <c r="CD146" s="59">
        <f ca="1">AVERAGE(OFFSET($CC$3,0,0,'Données projet'!$E$12+1,1))-AVERAGE(OFFSET($H$3,0,0,'Données projet'!$E$12+1,1))</f>
        <v>216.16148211123436</v>
      </c>
      <c r="CE146" s="59">
        <f t="shared" si="148"/>
        <v>132.59131750490178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43.413017292346495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43.413017292346495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130.29119999999969</v>
      </c>
      <c r="D147" s="11">
        <f t="shared" si="140"/>
        <v>34.063638337638892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1268.7040152379116</v>
      </c>
      <c r="H147" s="66">
        <f t="shared" si="110"/>
        <v>579.58467677138708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763.00000000000057</v>
      </c>
      <c r="O147" s="13">
        <f>N147*VLOOKUP('Données projet'!$B$9,Paramètres!$A$1:$I$89,3,0)*VLOOKUP('Données projet'!$B$9,Paramètres!$A$1:$I$89,5,0)</f>
        <v>456.2740000000004</v>
      </c>
      <c r="P147" s="13">
        <f t="shared" si="141"/>
        <v>103.09649786611838</v>
      </c>
      <c r="Q147" s="20">
        <f t="shared" si="108"/>
        <v>974.23695045015677</v>
      </c>
      <c r="R147" s="59">
        <f t="shared" si="109"/>
        <v>1267.5702837834901</v>
      </c>
      <c r="S147" s="59">
        <f ca="1">AVERAGE(OFFSET($R$3,0,0,'Données projet'!$E$9+1,1))-AVERAGE(OFFSET($H$3,0,0,'Données projet'!$E$9+1,1))</f>
        <v>443.63756287217456</v>
      </c>
      <c r="T147" s="59">
        <f t="shared" si="142"/>
        <v>384.990641425788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29.962315764392368</v>
      </c>
      <c r="AA147" s="21">
        <f>EXP(-LN(2)/25)*AA146+(1-EXP(-LN(2)/25))/(LN(2)/25)*Calculateur!V147*Calculateur!X147*VLOOKUP('Données projet'!$B$9,Paramètres!$A$1:$I$89,3,0)*0.475*44/12</f>
        <v>2.7734661907547249</v>
      </c>
      <c r="AB147" s="21">
        <f>EXP(-LN(2)/2)*AB146+(1-EXP(-LN(2)/2))/(LN(2)/2)*V147*Y147*VLOOKUP('Données projet'!$B$9,Paramètres!$A$1:$I$89,3,0)*0.475*44/12</f>
        <v>5.4503111676104023E-19</v>
      </c>
      <c r="AC147" s="22">
        <f t="shared" si="111"/>
        <v>32.73578195514709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137.97244371990928</v>
      </c>
      <c r="AO147" s="59">
        <f t="shared" si="144"/>
        <v>340.50331317844757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12.918257552828447</v>
      </c>
      <c r="AV147" s="21">
        <f>EXP(-LN(2)/25)*AV146+(1-EXP(-LN(2)/25))/(LN(2)/25)*Calculateur!AQ147*Calculateur!AS147*VLOOKUP('Données projet'!$B$10,Paramètres!$A$1:$I$89,3,0)*0.475*44/12</f>
        <v>0.60951001305273456</v>
      </c>
      <c r="AW147" s="21">
        <f>EXP(-LN(2)/2)*AW146+(1-EXP(-LN(2)/2))/(LN(2)/2)*AQ147*AT147*VLOOKUP('Données projet'!$B$10,Paramètres!$A$1:$I$89,3,0)*0.475*44/12</f>
        <v>3.1198658935856835E-19</v>
      </c>
      <c r="AX147" s="21">
        <f t="shared" si="114"/>
        <v>13.527767565881181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137.97244371990928</v>
      </c>
      <c r="BJ147" s="59">
        <f t="shared" si="146"/>
        <v>340.50331317844757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12.918257552828447</v>
      </c>
      <c r="BQ147" s="21">
        <f>EXP(-LN(2)/25)*BQ146+(1-EXP(-LN(2)/25))/(LN(2)/25)*Calculateur!BL147*Calculateur!BN147*VLOOKUP('Données projet'!$B$11,Paramètres!$A$1:$I$89,3,0)*0.475*44/12</f>
        <v>0.60951001305273456</v>
      </c>
      <c r="BR147" s="21">
        <f>EXP(-LN(2)/2)*BR146+(1-EXP(-LN(2)/2))/(LN(2)/2)*BL147*BO147*VLOOKUP('Données projet'!$B$11,Paramètres!$A$1:$I$89,3,0)*0.475*44/12</f>
        <v>3.1198658935856835E-19</v>
      </c>
      <c r="BS147" s="22">
        <f t="shared" si="117"/>
        <v>13.527767565881181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267</v>
      </c>
      <c r="BZ147" s="13">
        <f>BY147*VLOOKUP('Données projet'!$B$12,Paramètres!$A$1:$I$89,3,0)*VLOOKUP('Données projet'!$B$12,Paramètres!$A$1:$I$89,5,0)</f>
        <v>241.58159999999998</v>
      </c>
      <c r="CA147" s="13">
        <f t="shared" si="147"/>
        <v>58.779689232021951</v>
      </c>
      <c r="CB147" s="20">
        <f t="shared" si="118"/>
        <v>523.12924541243819</v>
      </c>
      <c r="CC147" s="59">
        <f t="shared" si="119"/>
        <v>816.46257874577145</v>
      </c>
      <c r="CD147" s="59">
        <f ca="1">AVERAGE(OFFSET($CC$3,0,0,'Données projet'!$E$12+1,1))-AVERAGE(OFFSET($H$3,0,0,'Données projet'!$E$12+1,1))</f>
        <v>216.16148211123436</v>
      </c>
      <c r="CE147" s="59">
        <f t="shared" si="148"/>
        <v>132.59131750490178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42.561714502569515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42.561714502569515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131.19599999999969</v>
      </c>
      <c r="D148" s="11">
        <f t="shared" si="140"/>
        <v>34.272572346624933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1277.3012602195586</v>
      </c>
      <c r="H148" s="66">
        <f t="shared" si="110"/>
        <v>581.52443017037126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763.00000000000057</v>
      </c>
      <c r="O148" s="13">
        <f>N148*VLOOKUP('Données projet'!$B$9,Paramètres!$A$1:$I$89,3,0)*VLOOKUP('Données projet'!$B$9,Paramètres!$A$1:$I$89,5,0)</f>
        <v>456.2740000000004</v>
      </c>
      <c r="P148" s="13">
        <f t="shared" si="141"/>
        <v>103.09649786611838</v>
      </c>
      <c r="Q148" s="20">
        <f t="shared" si="108"/>
        <v>974.23695045015677</v>
      </c>
      <c r="R148" s="59">
        <f t="shared" si="109"/>
        <v>1267.5702837834901</v>
      </c>
      <c r="S148" s="59">
        <f ca="1">AVERAGE(OFFSET($R$3,0,0,'Données projet'!$E$9+1,1))-AVERAGE(OFFSET($H$3,0,0,'Données projet'!$E$9+1,1))</f>
        <v>443.63756287217456</v>
      </c>
      <c r="T148" s="59">
        <f t="shared" si="142"/>
        <v>384.990641425788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29.374773027460723</v>
      </c>
      <c r="AA148" s="21">
        <f>EXP(-LN(2)/25)*AA147+(1-EXP(-LN(2)/25))/(LN(2)/25)*Calculateur!V148*Calculateur!X148*VLOOKUP('Données projet'!$B$9,Paramètres!$A$1:$I$89,3,0)*0.475*44/12</f>
        <v>2.6976256119182889</v>
      </c>
      <c r="AB148" s="21">
        <f>EXP(-LN(2)/2)*AB147+(1-EXP(-LN(2)/2))/(LN(2)/2)*V148*Y148*VLOOKUP('Données projet'!$B$9,Paramètres!$A$1:$I$89,3,0)*0.475*44/12</f>
        <v>3.8539519861940851E-19</v>
      </c>
      <c r="AC148" s="22">
        <f t="shared" si="111"/>
        <v>32.07239863937901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137.97244371990928</v>
      </c>
      <c r="AO148" s="59">
        <f t="shared" si="144"/>
        <v>340.50331317844757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12.664938401576565</v>
      </c>
      <c r="AV148" s="21">
        <f>EXP(-LN(2)/25)*AV147+(1-EXP(-LN(2)/25))/(LN(2)/25)*Calculateur!AQ148*Calculateur!AS148*VLOOKUP('Données projet'!$B$10,Paramètres!$A$1:$I$89,3,0)*0.475*44/12</f>
        <v>0.59284292969306895</v>
      </c>
      <c r="AW148" s="21">
        <f>EXP(-LN(2)/2)*AW147+(1-EXP(-LN(2)/2))/(LN(2)/2)*AQ148*AT148*VLOOKUP('Données projet'!$B$10,Paramètres!$A$1:$I$89,3,0)*0.475*44/12</f>
        <v>2.2060783297470645E-19</v>
      </c>
      <c r="AX148" s="21">
        <f t="shared" si="114"/>
        <v>13.257781331269634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137.97244371990928</v>
      </c>
      <c r="BJ148" s="59">
        <f t="shared" si="146"/>
        <v>340.50331317844757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12.664938401576565</v>
      </c>
      <c r="BQ148" s="21">
        <f>EXP(-LN(2)/25)*BQ147+(1-EXP(-LN(2)/25))/(LN(2)/25)*Calculateur!BL148*Calculateur!BN148*VLOOKUP('Données projet'!$B$11,Paramètres!$A$1:$I$89,3,0)*0.475*44/12</f>
        <v>0.59284292969306895</v>
      </c>
      <c r="BR148" s="21">
        <f>EXP(-LN(2)/2)*BR147+(1-EXP(-LN(2)/2))/(LN(2)/2)*BL148*BO148*VLOOKUP('Données projet'!$B$11,Paramètres!$A$1:$I$89,3,0)*0.475*44/12</f>
        <v>2.2060783297470645E-19</v>
      </c>
      <c r="BS148" s="22">
        <f t="shared" si="117"/>
        <v>13.257781331269634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267</v>
      </c>
      <c r="BZ148" s="13">
        <f>BY148*VLOOKUP('Données projet'!$B$12,Paramètres!$A$1:$I$89,3,0)*VLOOKUP('Données projet'!$B$12,Paramètres!$A$1:$I$89,5,0)</f>
        <v>241.58159999999998</v>
      </c>
      <c r="CA148" s="13">
        <f t="shared" si="147"/>
        <v>58.779689232021951</v>
      </c>
      <c r="CB148" s="20">
        <f t="shared" si="118"/>
        <v>523.12924541243819</v>
      </c>
      <c r="CC148" s="59">
        <f t="shared" si="119"/>
        <v>816.46257874577145</v>
      </c>
      <c r="CD148" s="59">
        <f ca="1">AVERAGE(OFFSET($CC$3,0,0,'Données projet'!$E$12+1,1))-AVERAGE(OFFSET($H$3,0,0,'Données projet'!$E$12+1,1))</f>
        <v>216.16148211123436</v>
      </c>
      <c r="CE148" s="59">
        <f t="shared" si="148"/>
        <v>132.59131750490178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41.727105241256631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41.727105241256631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132.10079999999968</v>
      </c>
      <c r="D149" s="11">
        <f t="shared" si="140"/>
        <v>34.481338697931058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1285.8972110015707</v>
      </c>
      <c r="H149" s="66">
        <f t="shared" si="110"/>
        <v>583.46389156556268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763.00000000000057</v>
      </c>
      <c r="O149" s="13">
        <f>N149*VLOOKUP('Données projet'!$B$9,Paramètres!$A$1:$I$89,3,0)*VLOOKUP('Données projet'!$B$9,Paramètres!$A$1:$I$89,5,0)</f>
        <v>456.2740000000004</v>
      </c>
      <c r="P149" s="13">
        <f t="shared" si="141"/>
        <v>103.09649786611838</v>
      </c>
      <c r="Q149" s="20">
        <f t="shared" si="108"/>
        <v>974.23695045015677</v>
      </c>
      <c r="R149" s="59">
        <f t="shared" si="109"/>
        <v>1267.5702837834901</v>
      </c>
      <c r="S149" s="59">
        <f ca="1">AVERAGE(OFFSET($R$3,0,0,'Données projet'!$E$9+1,1))-AVERAGE(OFFSET($H$3,0,0,'Données projet'!$E$9+1,1))</f>
        <v>443.63756287217456</v>
      </c>
      <c r="T149" s="59">
        <f t="shared" si="142"/>
        <v>384.990641425788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28.798751645234624</v>
      </c>
      <c r="AA149" s="21">
        <f>EXP(-LN(2)/25)*AA148+(1-EXP(-LN(2)/25))/(LN(2)/25)*Calculateur!V149*Calculateur!X149*VLOOKUP('Données projet'!$B$9,Paramètres!$A$1:$I$89,3,0)*0.475*44/12</f>
        <v>2.6238588976984176</v>
      </c>
      <c r="AB149" s="21">
        <f>EXP(-LN(2)/2)*AB148+(1-EXP(-LN(2)/2))/(LN(2)/2)*V149*Y149*VLOOKUP('Données projet'!$B$9,Paramètres!$A$1:$I$89,3,0)*0.475*44/12</f>
        <v>2.7251555838052011E-19</v>
      </c>
      <c r="AC149" s="22">
        <f t="shared" si="111"/>
        <v>31.422610542933043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137.97244371990928</v>
      </c>
      <c r="AO149" s="59">
        <f t="shared" si="144"/>
        <v>340.50331317844757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12.416586684371309</v>
      </c>
      <c r="AV149" s="21">
        <f>EXP(-LN(2)/25)*AV148+(1-EXP(-LN(2)/25))/(LN(2)/25)*Calculateur!AQ149*Calculateur!AS149*VLOOKUP('Données projet'!$B$10,Paramètres!$A$1:$I$89,3,0)*0.475*44/12</f>
        <v>0.57663160860435725</v>
      </c>
      <c r="AW149" s="21">
        <f>EXP(-LN(2)/2)*AW148+(1-EXP(-LN(2)/2))/(LN(2)/2)*AQ149*AT149*VLOOKUP('Données projet'!$B$10,Paramètres!$A$1:$I$89,3,0)*0.475*44/12</f>
        <v>1.5599329467928418E-19</v>
      </c>
      <c r="AX149" s="21">
        <f t="shared" si="114"/>
        <v>12.993218292975666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137.97244371990928</v>
      </c>
      <c r="BJ149" s="59">
        <f t="shared" si="146"/>
        <v>340.50331317844757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12.416586684371309</v>
      </c>
      <c r="BQ149" s="21">
        <f>EXP(-LN(2)/25)*BQ148+(1-EXP(-LN(2)/25))/(LN(2)/25)*Calculateur!BL149*Calculateur!BN149*VLOOKUP('Données projet'!$B$11,Paramètres!$A$1:$I$89,3,0)*0.475*44/12</f>
        <v>0.57663160860435725</v>
      </c>
      <c r="BR149" s="21">
        <f>EXP(-LN(2)/2)*BR148+(1-EXP(-LN(2)/2))/(LN(2)/2)*BL149*BO149*VLOOKUP('Données projet'!$B$11,Paramètres!$A$1:$I$89,3,0)*0.475*44/12</f>
        <v>1.5599329467928418E-19</v>
      </c>
      <c r="BS149" s="22">
        <f t="shared" si="117"/>
        <v>12.993218292975666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267</v>
      </c>
      <c r="BZ149" s="13">
        <f>BY149*VLOOKUP('Données projet'!$B$12,Paramètres!$A$1:$I$89,3,0)*VLOOKUP('Données projet'!$B$12,Paramètres!$A$1:$I$89,5,0)</f>
        <v>241.58159999999998</v>
      </c>
      <c r="CA149" s="13">
        <f t="shared" si="147"/>
        <v>58.779689232021951</v>
      </c>
      <c r="CB149" s="20">
        <f t="shared" si="118"/>
        <v>523.12924541243819</v>
      </c>
      <c r="CC149" s="59">
        <f t="shared" si="119"/>
        <v>816.46257874577145</v>
      </c>
      <c r="CD149" s="59">
        <f ca="1">AVERAGE(OFFSET($CC$3,0,0,'Données projet'!$E$12+1,1))-AVERAGE(OFFSET($H$3,0,0,'Données projet'!$E$12+1,1))</f>
        <v>216.16148211123436</v>
      </c>
      <c r="CE149" s="59">
        <f t="shared" si="148"/>
        <v>132.59131750490178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40.908862158496703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40.908862158496703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133.00559999999967</v>
      </c>
      <c r="D150" s="11">
        <f t="shared" si="140"/>
        <v>34.689938673073485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1294.4918774763544</v>
      </c>
      <c r="H150" s="66">
        <f t="shared" si="110"/>
        <v>585.40306318893568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763.00000000000057</v>
      </c>
      <c r="O150" s="13">
        <f>N150*VLOOKUP('Données projet'!$B$9,Paramètres!$A$1:$I$89,3,0)*VLOOKUP('Données projet'!$B$9,Paramètres!$A$1:$I$89,5,0)</f>
        <v>456.2740000000004</v>
      </c>
      <c r="P150" s="13">
        <f t="shared" si="141"/>
        <v>103.09649786611838</v>
      </c>
      <c r="Q150" s="20">
        <f t="shared" si="108"/>
        <v>974.23695045015677</v>
      </c>
      <c r="R150" s="59">
        <f t="shared" si="109"/>
        <v>1267.5702837834901</v>
      </c>
      <c r="S150" s="59">
        <f ca="1">AVERAGE(OFFSET($R$3,0,0,'Données projet'!$E$9+1,1))-AVERAGE(OFFSET($H$3,0,0,'Données projet'!$E$9+1,1))</f>
        <v>443.63756287217456</v>
      </c>
      <c r="T150" s="59">
        <f t="shared" si="142"/>
        <v>384.990641425788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28.234025690975628</v>
      </c>
      <c r="AA150" s="21">
        <f>EXP(-LN(2)/25)*AA149+(1-EXP(-LN(2)/25))/(LN(2)/25)*Calculateur!V150*Calculateur!X150*VLOOKUP('Données projet'!$B$9,Paramètres!$A$1:$I$89,3,0)*0.475*44/12</f>
        <v>2.5521093381581119</v>
      </c>
      <c r="AB150" s="21">
        <f>EXP(-LN(2)/2)*AB149+(1-EXP(-LN(2)/2))/(LN(2)/2)*V150*Y150*VLOOKUP('Données projet'!$B$9,Paramètres!$A$1:$I$89,3,0)*0.475*44/12</f>
        <v>1.9269759930970426E-19</v>
      </c>
      <c r="AC150" s="22">
        <f t="shared" si="111"/>
        <v>30.786135029133739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137.97244371990928</v>
      </c>
      <c r="AO150" s="59">
        <f t="shared" si="144"/>
        <v>340.50331317844757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12.173104992860857</v>
      </c>
      <c r="AV150" s="21">
        <f>EXP(-LN(2)/25)*AV149+(1-EXP(-LN(2)/25))/(LN(2)/25)*Calculateur!AQ150*Calculateur!AS150*VLOOKUP('Données projet'!$B$10,Paramètres!$A$1:$I$89,3,0)*0.475*44/12</f>
        <v>0.56086358694333271</v>
      </c>
      <c r="AW150" s="21">
        <f>EXP(-LN(2)/2)*AW149+(1-EXP(-LN(2)/2))/(LN(2)/2)*AQ150*AT150*VLOOKUP('Données projet'!$B$10,Paramètres!$A$1:$I$89,3,0)*0.475*44/12</f>
        <v>1.1030391648735322E-19</v>
      </c>
      <c r="AX150" s="21">
        <f t="shared" si="114"/>
        <v>12.73396857980419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137.97244371990928</v>
      </c>
      <c r="BJ150" s="59">
        <f t="shared" si="146"/>
        <v>340.50331317844757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12.173104992860857</v>
      </c>
      <c r="BQ150" s="21">
        <f>EXP(-LN(2)/25)*BQ149+(1-EXP(-LN(2)/25))/(LN(2)/25)*Calculateur!BL150*Calculateur!BN150*VLOOKUP('Données projet'!$B$11,Paramètres!$A$1:$I$89,3,0)*0.475*44/12</f>
        <v>0.56086358694333271</v>
      </c>
      <c r="BR150" s="21">
        <f>EXP(-LN(2)/2)*BR149+(1-EXP(-LN(2)/2))/(LN(2)/2)*BL150*BO150*VLOOKUP('Données projet'!$B$11,Paramètres!$A$1:$I$89,3,0)*0.475*44/12</f>
        <v>1.1030391648735322E-19</v>
      </c>
      <c r="BS150" s="22">
        <f t="shared" si="117"/>
        <v>12.73396857980419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267</v>
      </c>
      <c r="BZ150" s="13">
        <f>BY150*VLOOKUP('Données projet'!$B$12,Paramètres!$A$1:$I$89,3,0)*VLOOKUP('Données projet'!$B$12,Paramètres!$A$1:$I$89,5,0)</f>
        <v>241.58159999999998</v>
      </c>
      <c r="CA150" s="13">
        <f t="shared" si="147"/>
        <v>58.779689232021951</v>
      </c>
      <c r="CB150" s="20">
        <f t="shared" si="118"/>
        <v>523.12924541243819</v>
      </c>
      <c r="CC150" s="59">
        <f t="shared" si="119"/>
        <v>816.46257874577145</v>
      </c>
      <c r="CD150" s="59">
        <f ca="1">AVERAGE(OFFSET($CC$3,0,0,'Données projet'!$E$12+1,1))-AVERAGE(OFFSET($H$3,0,0,'Données projet'!$E$12+1,1))</f>
        <v>216.16148211123436</v>
      </c>
      <c r="CE150" s="59">
        <f t="shared" si="148"/>
        <v>132.59131750490178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40.106664323510699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40.106664323510699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133.91039999999967</v>
      </c>
      <c r="D151" s="11">
        <f t="shared" si="140"/>
        <v>34.89837353512506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1303.0852693939453</v>
      </c>
      <c r="H151" s="66">
        <f t="shared" si="110"/>
        <v>587.34194724034217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763.00000000000057</v>
      </c>
      <c r="O151" s="13">
        <f>N151*VLOOKUP('Données projet'!$B$9,Paramètres!$A$1:$I$89,3,0)*VLOOKUP('Données projet'!$B$9,Paramètres!$A$1:$I$89,5,0)</f>
        <v>456.2740000000004</v>
      </c>
      <c r="P151" s="13">
        <f t="shared" si="141"/>
        <v>103.09649786611838</v>
      </c>
      <c r="Q151" s="20">
        <f t="shared" si="108"/>
        <v>974.23695045015677</v>
      </c>
      <c r="R151" s="59">
        <f t="shared" si="109"/>
        <v>1267.5702837834901</v>
      </c>
      <c r="S151" s="59">
        <f ca="1">AVERAGE(OFFSET($R$3,0,0,'Données projet'!$E$9+1,1))-AVERAGE(OFFSET($H$3,0,0,'Données projet'!$E$9+1,1))</f>
        <v>443.63756287217456</v>
      </c>
      <c r="T151" s="59">
        <f t="shared" si="142"/>
        <v>384.990641425788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27.680373668230828</v>
      </c>
      <c r="AA151" s="21">
        <f>EXP(-LN(2)/25)*AA150+(1-EXP(-LN(2)/25))/(LN(2)/25)*Calculateur!V151*Calculateur!X151*VLOOKUP('Données projet'!$B$9,Paramètres!$A$1:$I$89,3,0)*0.475*44/12</f>
        <v>2.4823217740965813</v>
      </c>
      <c r="AB151" s="21">
        <f>EXP(-LN(2)/2)*AB150+(1-EXP(-LN(2)/2))/(LN(2)/2)*V151*Y151*VLOOKUP('Données projet'!$B$9,Paramètres!$A$1:$I$89,3,0)*0.475*44/12</f>
        <v>1.3625777919026006E-19</v>
      </c>
      <c r="AC151" s="22">
        <f t="shared" si="111"/>
        <v>30.162695442327411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137.97244371990928</v>
      </c>
      <c r="AO151" s="59">
        <f t="shared" si="144"/>
        <v>340.50331317844757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11.934397828811758</v>
      </c>
      <c r="AV151" s="21">
        <f>EXP(-LN(2)/25)*AV150+(1-EXP(-LN(2)/25))/(LN(2)/25)*Calculateur!AQ151*Calculateur!AS151*VLOOKUP('Données projet'!$B$10,Paramètres!$A$1:$I$89,3,0)*0.475*44/12</f>
        <v>0.54552674266383316</v>
      </c>
      <c r="AW151" s="21">
        <f>EXP(-LN(2)/2)*AW150+(1-EXP(-LN(2)/2))/(LN(2)/2)*AQ151*AT151*VLOOKUP('Données projet'!$B$10,Paramètres!$A$1:$I$89,3,0)*0.475*44/12</f>
        <v>7.7996647339642089E-20</v>
      </c>
      <c r="AX151" s="21">
        <f t="shared" si="114"/>
        <v>12.479924571475591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137.97244371990928</v>
      </c>
      <c r="BJ151" s="59">
        <f t="shared" si="146"/>
        <v>340.50331317844757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11.934397828811758</v>
      </c>
      <c r="BQ151" s="21">
        <f>EXP(-LN(2)/25)*BQ150+(1-EXP(-LN(2)/25))/(LN(2)/25)*Calculateur!BL151*Calculateur!BN151*VLOOKUP('Données projet'!$B$11,Paramètres!$A$1:$I$89,3,0)*0.475*44/12</f>
        <v>0.54552674266383316</v>
      </c>
      <c r="BR151" s="21">
        <f>EXP(-LN(2)/2)*BR150+(1-EXP(-LN(2)/2))/(LN(2)/2)*BL151*BO151*VLOOKUP('Données projet'!$B$11,Paramètres!$A$1:$I$89,3,0)*0.475*44/12</f>
        <v>7.7996647339642089E-20</v>
      </c>
      <c r="BS151" s="22">
        <f t="shared" si="117"/>
        <v>12.479924571475591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267</v>
      </c>
      <c r="BZ151" s="13">
        <f>BY151*VLOOKUP('Données projet'!$B$12,Paramètres!$A$1:$I$89,3,0)*VLOOKUP('Données projet'!$B$12,Paramètres!$A$1:$I$89,5,0)</f>
        <v>241.58159999999998</v>
      </c>
      <c r="CA151" s="13">
        <f t="shared" si="147"/>
        <v>58.779689232021951</v>
      </c>
      <c r="CB151" s="20">
        <f t="shared" si="118"/>
        <v>523.12924541243819</v>
      </c>
      <c r="CC151" s="59">
        <f t="shared" si="119"/>
        <v>816.46257874577145</v>
      </c>
      <c r="CD151" s="59">
        <f ca="1">AVERAGE(OFFSET($CC$3,0,0,'Données projet'!$E$12+1,1))-AVERAGE(OFFSET($H$3,0,0,'Données projet'!$E$12+1,1))</f>
        <v>216.16148211123436</v>
      </c>
      <c r="CE151" s="59">
        <f t="shared" si="148"/>
        <v>132.59131750490178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39.320197098776404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39.320197098776404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134.81519999999966</v>
      </c>
      <c r="D152" s="11">
        <f t="shared" si="140"/>
        <v>35.106644529103299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1311.6773963650055</v>
      </c>
      <c r="H152" s="66">
        <f t="shared" si="110"/>
        <v>589.28054588818759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763.00000000000057</v>
      </c>
      <c r="O152" s="13">
        <f>N152*VLOOKUP('Données projet'!$B$9,Paramètres!$A$1:$I$89,3,0)*VLOOKUP('Données projet'!$B$9,Paramètres!$A$1:$I$89,5,0)</f>
        <v>456.2740000000004</v>
      </c>
      <c r="P152" s="13">
        <f t="shared" si="141"/>
        <v>103.09649786611838</v>
      </c>
      <c r="Q152" s="20">
        <f t="shared" si="108"/>
        <v>974.23695045015677</v>
      </c>
      <c r="R152" s="59">
        <f t="shared" si="109"/>
        <v>1267.5702837834901</v>
      </c>
      <c r="S152" s="59">
        <f ca="1">AVERAGE(OFFSET($R$3,0,0,'Données projet'!$E$9+1,1))-AVERAGE(OFFSET($H$3,0,0,'Données projet'!$E$9+1,1))</f>
        <v>443.63756287217456</v>
      </c>
      <c r="T152" s="59">
        <f t="shared" si="142"/>
        <v>384.990641425788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27.137578423957667</v>
      </c>
      <c r="AA152" s="21">
        <f>EXP(-LN(2)/25)*AA151+(1-EXP(-LN(2)/25))/(LN(2)/25)*Calculateur!V152*Calculateur!X152*VLOOKUP('Données projet'!$B$9,Paramètres!$A$1:$I$89,3,0)*0.475*44/12</f>
        <v>2.4144425546442814</v>
      </c>
      <c r="AB152" s="21">
        <f>EXP(-LN(2)/2)*AB151+(1-EXP(-LN(2)/2))/(LN(2)/2)*V152*Y152*VLOOKUP('Données projet'!$B$9,Paramètres!$A$1:$I$89,3,0)*0.475*44/12</f>
        <v>9.6348799654852128E-20</v>
      </c>
      <c r="AC152" s="22">
        <f t="shared" si="111"/>
        <v>29.552020978601949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137.97244371990928</v>
      </c>
      <c r="AO152" s="59">
        <f t="shared" si="144"/>
        <v>340.50331317844757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11.700371566652667</v>
      </c>
      <c r="AV152" s="21">
        <f>EXP(-LN(2)/25)*AV151+(1-EXP(-LN(2)/25))/(LN(2)/25)*Calculateur!AQ152*Calculateur!AS152*VLOOKUP('Données projet'!$B$10,Paramètres!$A$1:$I$89,3,0)*0.475*44/12</f>
        <v>0.53060928519768602</v>
      </c>
      <c r="AW152" s="21">
        <f>EXP(-LN(2)/2)*AW151+(1-EXP(-LN(2)/2))/(LN(2)/2)*AQ152*AT152*VLOOKUP('Données projet'!$B$10,Paramètres!$A$1:$I$89,3,0)*0.475*44/12</f>
        <v>5.5151958243676612E-20</v>
      </c>
      <c r="AX152" s="21">
        <f t="shared" si="114"/>
        <v>12.230980851850353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137.97244371990928</v>
      </c>
      <c r="BJ152" s="59">
        <f t="shared" si="146"/>
        <v>340.50331317844757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11.700371566652667</v>
      </c>
      <c r="BQ152" s="21">
        <f>EXP(-LN(2)/25)*BQ151+(1-EXP(-LN(2)/25))/(LN(2)/25)*Calculateur!BL152*Calculateur!BN152*VLOOKUP('Données projet'!$B$11,Paramètres!$A$1:$I$89,3,0)*0.475*44/12</f>
        <v>0.53060928519768602</v>
      </c>
      <c r="BR152" s="21">
        <f>EXP(-LN(2)/2)*BR151+(1-EXP(-LN(2)/2))/(LN(2)/2)*BL152*BO152*VLOOKUP('Données projet'!$B$11,Paramètres!$A$1:$I$89,3,0)*0.475*44/12</f>
        <v>5.5151958243676612E-20</v>
      </c>
      <c r="BS152" s="22">
        <f t="shared" si="117"/>
        <v>12.230980851850353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267</v>
      </c>
      <c r="BZ152" s="13">
        <f>BY152*VLOOKUP('Données projet'!$B$12,Paramètres!$A$1:$I$89,3,0)*VLOOKUP('Données projet'!$B$12,Paramètres!$A$1:$I$89,5,0)</f>
        <v>241.58159999999998</v>
      </c>
      <c r="CA152" s="13">
        <f t="shared" si="147"/>
        <v>58.779689232021951</v>
      </c>
      <c r="CB152" s="20">
        <f t="shared" si="118"/>
        <v>523.12924541243819</v>
      </c>
      <c r="CC152" s="59">
        <f t="shared" si="119"/>
        <v>816.46257874577145</v>
      </c>
      <c r="CD152" s="59">
        <f ca="1">AVERAGE(OFFSET($CC$3,0,0,'Données projet'!$E$12+1,1))-AVERAGE(OFFSET($H$3,0,0,'Données projet'!$E$12+1,1))</f>
        <v>216.16148211123436</v>
      </c>
      <c r="CE152" s="59">
        <f t="shared" si="148"/>
        <v>132.59131750490178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38.549152016621512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38.549152016621512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135.71999999999966</v>
      </c>
      <c r="D153" s="11">
        <f t="shared" si="140"/>
        <v>35.314752882348067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1320.2682678637368</v>
      </c>
      <c r="H153" s="66">
        <f t="shared" si="110"/>
        <v>591.21886127008895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763.00000000000057</v>
      </c>
      <c r="O153" s="13">
        <f>N153*VLOOKUP('Données projet'!$B$9,Paramètres!$A$1:$I$89,3,0)*VLOOKUP('Données projet'!$B$9,Paramètres!$A$1:$I$89,5,0)</f>
        <v>456.2740000000004</v>
      </c>
      <c r="P153" s="13">
        <f t="shared" si="141"/>
        <v>103.09649786611838</v>
      </c>
      <c r="Q153" s="20">
        <f t="shared" si="108"/>
        <v>974.23695045015677</v>
      </c>
      <c r="R153" s="59">
        <f t="shared" si="109"/>
        <v>1267.5702837834901</v>
      </c>
      <c r="S153" s="59">
        <f ca="1">AVERAGE(OFFSET($R$3,0,0,'Données projet'!$E$9+1,1))-AVERAGE(OFFSET($H$3,0,0,'Données projet'!$E$9+1,1))</f>
        <v>443.63756287217456</v>
      </c>
      <c r="T153" s="59">
        <f t="shared" si="142"/>
        <v>384.990641425788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26.605427063352291</v>
      </c>
      <c r="AA153" s="21">
        <f>EXP(-LN(2)/25)*AA152+(1-EXP(-LN(2)/25))/(LN(2)/25)*Calculateur!V153*Calculateur!X153*VLOOKUP('Données projet'!$B$9,Paramètres!$A$1:$I$89,3,0)*0.475*44/12</f>
        <v>2.348419496017518</v>
      </c>
      <c r="AB153" s="21">
        <f>EXP(-LN(2)/2)*AB152+(1-EXP(-LN(2)/2))/(LN(2)/2)*V153*Y153*VLOOKUP('Données projet'!$B$9,Paramètres!$A$1:$I$89,3,0)*0.475*44/12</f>
        <v>6.8128889595130028E-20</v>
      </c>
      <c r="AC153" s="22">
        <f t="shared" si="111"/>
        <v>28.953846559369808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137.97244371990928</v>
      </c>
      <c r="AO153" s="59">
        <f t="shared" si="144"/>
        <v>340.50331317844757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11.470934416752591</v>
      </c>
      <c r="AV153" s="21">
        <f>EXP(-LN(2)/25)*AV152+(1-EXP(-LN(2)/25))/(LN(2)/25)*Calculateur!AQ153*Calculateur!AS153*VLOOKUP('Données projet'!$B$10,Paramètres!$A$1:$I$89,3,0)*0.475*44/12</f>
        <v>0.51609974639042566</v>
      </c>
      <c r="AW153" s="21">
        <f>EXP(-LN(2)/2)*AW152+(1-EXP(-LN(2)/2))/(LN(2)/2)*AQ153*AT153*VLOOKUP('Données projet'!$B$10,Paramètres!$A$1:$I$89,3,0)*0.475*44/12</f>
        <v>3.8998323669821044E-20</v>
      </c>
      <c r="AX153" s="21">
        <f t="shared" si="114"/>
        <v>11.987034163143017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137.97244371990928</v>
      </c>
      <c r="BJ153" s="59">
        <f t="shared" si="146"/>
        <v>340.50331317844757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11.470934416752591</v>
      </c>
      <c r="BQ153" s="21">
        <f>EXP(-LN(2)/25)*BQ152+(1-EXP(-LN(2)/25))/(LN(2)/25)*Calculateur!BL153*Calculateur!BN153*VLOOKUP('Données projet'!$B$11,Paramètres!$A$1:$I$89,3,0)*0.475*44/12</f>
        <v>0.51609974639042566</v>
      </c>
      <c r="BR153" s="21">
        <f>EXP(-LN(2)/2)*BR152+(1-EXP(-LN(2)/2))/(LN(2)/2)*BL153*BO153*VLOOKUP('Données projet'!$B$11,Paramètres!$A$1:$I$89,3,0)*0.475*44/12</f>
        <v>3.8998323669821044E-20</v>
      </c>
      <c r="BS153" s="22">
        <f t="shared" si="117"/>
        <v>11.987034163143017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267</v>
      </c>
      <c r="BZ153" s="13">
        <f>BY153*VLOOKUP('Données projet'!$B$12,Paramètres!$A$1:$I$89,3,0)*VLOOKUP('Données projet'!$B$12,Paramètres!$A$1:$I$89,5,0)</f>
        <v>241.58159999999998</v>
      </c>
      <c r="CA153" s="13">
        <f t="shared" si="147"/>
        <v>58.779689232021951</v>
      </c>
      <c r="CB153" s="20">
        <f t="shared" si="118"/>
        <v>523.12924541243819</v>
      </c>
      <c r="CC153" s="59">
        <f t="shared" si="119"/>
        <v>816.46257874577145</v>
      </c>
      <c r="CD153" s="59">
        <f ca="1">AVERAGE(OFFSET($CC$3,0,0,'Données projet'!$E$12+1,1))-AVERAGE(OFFSET($H$3,0,0,'Données projet'!$E$12+1,1))</f>
        <v>216.16148211123436</v>
      </c>
      <c r="CE153" s="59">
        <f t="shared" si="148"/>
        <v>132.59131750490178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37.793226658236613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37.793226658236613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136.62479999999965</v>
      </c>
      <c r="D154" s="11">
        <f t="shared" si="140"/>
        <v>35.522699804888539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1328.8578932307157</v>
      </c>
      <c r="H154" s="66">
        <f t="shared" si="110"/>
        <v>593.1568954935135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763.00000000000057</v>
      </c>
      <c r="O154" s="13">
        <f>N154*VLOOKUP('Données projet'!$B$9,Paramètres!$A$1:$I$89,3,0)*VLOOKUP('Données projet'!$B$9,Paramètres!$A$1:$I$89,5,0)</f>
        <v>456.2740000000004</v>
      </c>
      <c r="P154" s="13">
        <f t="shared" si="141"/>
        <v>103.09649786611838</v>
      </c>
      <c r="Q154" s="20">
        <f t="shared" ref="Q154:Q203" si="162">(O154+P154)*0.475*44/12</f>
        <v>974.23695045015677</v>
      </c>
      <c r="R154" s="59">
        <f t="shared" si="109"/>
        <v>1267.5702837834901</v>
      </c>
      <c r="S154" s="59">
        <f ca="1">AVERAGE(OFFSET($R$3,0,0,'Données projet'!$E$9+1,1))-AVERAGE(OFFSET($H$3,0,0,'Données projet'!$E$9+1,1))</f>
        <v>443.63756287217456</v>
      </c>
      <c r="T154" s="59">
        <f t="shared" si="142"/>
        <v>384.990641425788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26.08371086634811</v>
      </c>
      <c r="AA154" s="21">
        <f>EXP(-LN(2)/25)*AA153+(1-EXP(-LN(2)/25))/(LN(2)/25)*Calculateur!V154*Calculateur!X154*VLOOKUP('Données projet'!$B$9,Paramètres!$A$1:$I$89,3,0)*0.475*44/12</f>
        <v>2.2842018414009049</v>
      </c>
      <c r="AB154" s="21">
        <f>EXP(-LN(2)/2)*AB153+(1-EXP(-LN(2)/2))/(LN(2)/2)*V154*Y154*VLOOKUP('Données projet'!$B$9,Paramètres!$A$1:$I$89,3,0)*0.475*44/12</f>
        <v>4.8174399827426064E-20</v>
      </c>
      <c r="AC154" s="22">
        <f t="shared" ref="AC154:AC203" si="163">SUM(Z154:AB154)</f>
        <v>28.367912707749014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137.97244371990928</v>
      </c>
      <c r="AO154" s="59">
        <f t="shared" si="144"/>
        <v>340.50331317844757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11.245996389419213</v>
      </c>
      <c r="AV154" s="21">
        <f>EXP(-LN(2)/25)*AV153+(1-EXP(-LN(2)/25))/(LN(2)/25)*Calculateur!AQ154*Calculateur!AS154*VLOOKUP('Données projet'!$B$10,Paramètres!$A$1:$I$89,3,0)*0.475*44/12</f>
        <v>0.50198697168487338</v>
      </c>
      <c r="AW154" s="21">
        <f>EXP(-LN(2)/2)*AW153+(1-EXP(-LN(2)/2))/(LN(2)/2)*AQ154*AT154*VLOOKUP('Données projet'!$B$10,Paramètres!$A$1:$I$89,3,0)*0.475*44/12</f>
        <v>2.7575979121838306E-20</v>
      </c>
      <c r="AX154" s="21">
        <f t="shared" ref="AX154:AX203" si="166">SUM(AU154:AW154)</f>
        <v>11.747983361104087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137.97244371990928</v>
      </c>
      <c r="BJ154" s="59">
        <f t="shared" si="146"/>
        <v>340.50331317844757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11.245996389419213</v>
      </c>
      <c r="BQ154" s="21">
        <f>EXP(-LN(2)/25)*BQ153+(1-EXP(-LN(2)/25))/(LN(2)/25)*Calculateur!BL154*Calculateur!BN154*VLOOKUP('Données projet'!$B$11,Paramètres!$A$1:$I$89,3,0)*0.475*44/12</f>
        <v>0.50198697168487338</v>
      </c>
      <c r="BR154" s="21">
        <f>EXP(-LN(2)/2)*BR153+(1-EXP(-LN(2)/2))/(LN(2)/2)*BL154*BO154*VLOOKUP('Données projet'!$B$11,Paramètres!$A$1:$I$89,3,0)*0.475*44/12</f>
        <v>2.7575979121838306E-20</v>
      </c>
      <c r="BS154" s="22">
        <f t="shared" ref="BS154:BS203" si="169">SUM(BP154:BR154)</f>
        <v>11.747983361104087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267</v>
      </c>
      <c r="BZ154" s="13">
        <f>BY154*VLOOKUP('Données projet'!$B$12,Paramètres!$A$1:$I$89,3,0)*VLOOKUP('Données projet'!$B$12,Paramètres!$A$1:$I$89,5,0)</f>
        <v>241.58159999999998</v>
      </c>
      <c r="CA154" s="13">
        <f t="shared" ref="CA154:CA203" si="170">EXP(-1.0587+0.8836*LN(BZ154)+0.284)</f>
        <v>58.779689232021951</v>
      </c>
      <c r="CB154" s="20">
        <f t="shared" ref="CB154:CB203" si="171">(BZ154+CA154)*0.475*44/12</f>
        <v>523.12924541243819</v>
      </c>
      <c r="CC154" s="59">
        <f t="shared" si="119"/>
        <v>816.46257874577145</v>
      </c>
      <c r="CD154" s="59">
        <f ca="1">AVERAGE(OFFSET($CC$3,0,0,'Données projet'!$E$12+1,1))-AVERAGE(OFFSET($H$3,0,0,'Données projet'!$E$12+1,1))</f>
        <v>216.16148211123436</v>
      </c>
      <c r="CE154" s="59">
        <f t="shared" si="148"/>
        <v>132.59131750490178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37.052124535060699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37.052124535060699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137.52959999999965</v>
      </c>
      <c r="D155" s="11">
        <f t="shared" si="140"/>
        <v>35.730486489800448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1337.44628167565</v>
      </c>
      <c r="H155" s="66">
        <f t="shared" si="110"/>
        <v>595.09465063640187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763.00000000000057</v>
      </c>
      <c r="O155" s="13">
        <f>N155*VLOOKUP('Données projet'!$B$9,Paramètres!$A$1:$I$89,3,0)*VLOOKUP('Données projet'!$B$9,Paramètres!$A$1:$I$89,5,0)</f>
        <v>456.2740000000004</v>
      </c>
      <c r="P155" s="13">
        <f t="shared" si="141"/>
        <v>103.09649786611838</v>
      </c>
      <c r="Q155" s="20">
        <f t="shared" si="162"/>
        <v>974.23695045015677</v>
      </c>
      <c r="R155" s="59">
        <f t="shared" si="109"/>
        <v>1267.5702837834901</v>
      </c>
      <c r="S155" s="59">
        <f ca="1">AVERAGE(OFFSET($R$3,0,0,'Données projet'!$E$9+1,1))-AVERAGE(OFFSET($H$3,0,0,'Données projet'!$E$9+1,1))</f>
        <v>443.63756287217456</v>
      </c>
      <c r="T155" s="59">
        <f t="shared" si="142"/>
        <v>384.990641425788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25.572225205751721</v>
      </c>
      <c r="AA155" s="21">
        <f>EXP(-LN(2)/25)*AA154+(1-EXP(-LN(2)/25))/(LN(2)/25)*Calculateur!V155*Calculateur!X155*VLOOKUP('Données projet'!$B$9,Paramètres!$A$1:$I$89,3,0)*0.475*44/12</f>
        <v>2.2217402219268427</v>
      </c>
      <c r="AB155" s="21">
        <f>EXP(-LN(2)/2)*AB154+(1-EXP(-LN(2)/2))/(LN(2)/2)*V155*Y155*VLOOKUP('Données projet'!$B$9,Paramètres!$A$1:$I$89,3,0)*0.475*44/12</f>
        <v>3.4064444797565014E-20</v>
      </c>
      <c r="AC155" s="22">
        <f t="shared" si="163"/>
        <v>27.793965427678565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137.97244371990928</v>
      </c>
      <c r="AO155" s="59">
        <f t="shared" si="144"/>
        <v>340.50331317844757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11.025469259603192</v>
      </c>
      <c r="AV155" s="21">
        <f>EXP(-LN(2)/25)*AV154+(1-EXP(-LN(2)/25))/(LN(2)/25)*Calculateur!AQ155*Calculateur!AS155*VLOOKUP('Données projet'!$B$10,Paramètres!$A$1:$I$89,3,0)*0.475*44/12</f>
        <v>0.48826011154580301</v>
      </c>
      <c r="AW155" s="21">
        <f>EXP(-LN(2)/2)*AW154+(1-EXP(-LN(2)/2))/(LN(2)/2)*AQ155*AT155*VLOOKUP('Données projet'!$B$10,Paramètres!$A$1:$I$89,3,0)*0.475*44/12</f>
        <v>1.9499161834910522E-20</v>
      </c>
      <c r="AX155" s="21">
        <f t="shared" si="166"/>
        <v>11.513729371148994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137.97244371990928</v>
      </c>
      <c r="BJ155" s="59">
        <f t="shared" si="146"/>
        <v>340.50331317844757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11.025469259603192</v>
      </c>
      <c r="BQ155" s="21">
        <f>EXP(-LN(2)/25)*BQ154+(1-EXP(-LN(2)/25))/(LN(2)/25)*Calculateur!BL155*Calculateur!BN155*VLOOKUP('Données projet'!$B$11,Paramètres!$A$1:$I$89,3,0)*0.475*44/12</f>
        <v>0.48826011154580301</v>
      </c>
      <c r="BR155" s="21">
        <f>EXP(-LN(2)/2)*BR154+(1-EXP(-LN(2)/2))/(LN(2)/2)*BL155*BO155*VLOOKUP('Données projet'!$B$11,Paramètres!$A$1:$I$89,3,0)*0.475*44/12</f>
        <v>1.9499161834910522E-20</v>
      </c>
      <c r="BS155" s="22">
        <f t="shared" si="169"/>
        <v>11.513729371148994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267</v>
      </c>
      <c r="BZ155" s="13">
        <f>BY155*VLOOKUP('Données projet'!$B$12,Paramètres!$A$1:$I$89,3,0)*VLOOKUP('Données projet'!$B$12,Paramètres!$A$1:$I$89,5,0)</f>
        <v>241.58159999999998</v>
      </c>
      <c r="CA155" s="13">
        <f t="shared" si="170"/>
        <v>58.779689232021951</v>
      </c>
      <c r="CB155" s="20">
        <f t="shared" si="171"/>
        <v>523.12924541243819</v>
      </c>
      <c r="CC155" s="59">
        <f t="shared" si="119"/>
        <v>816.46257874577145</v>
      </c>
      <c r="CD155" s="59">
        <f ca="1">AVERAGE(OFFSET($CC$3,0,0,'Données projet'!$E$12+1,1))-AVERAGE(OFFSET($H$3,0,0,'Données projet'!$E$12+1,1))</f>
        <v>216.16148211123436</v>
      </c>
      <c r="CE155" s="59">
        <f t="shared" si="148"/>
        <v>132.59131750490178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36.325554972492604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36.325554972492604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138.43439999999964</v>
      </c>
      <c r="D156" s="11">
        <f t="shared" si="140"/>
        <v>35.938114113553482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1346.033442280059</v>
      </c>
      <c r="H156" s="66">
        <f t="shared" si="110"/>
        <v>597.03212874777159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763.00000000000057</v>
      </c>
      <c r="O156" s="13">
        <f>N156*VLOOKUP('Données projet'!$B$9,Paramètres!$A$1:$I$89,3,0)*VLOOKUP('Données projet'!$B$9,Paramètres!$A$1:$I$89,5,0)</f>
        <v>456.2740000000004</v>
      </c>
      <c r="P156" s="13">
        <f t="shared" si="141"/>
        <v>103.09649786611838</v>
      </c>
      <c r="Q156" s="20">
        <f t="shared" si="162"/>
        <v>974.23695045015677</v>
      </c>
      <c r="R156" s="59">
        <f t="shared" si="109"/>
        <v>1267.5702837834901</v>
      </c>
      <c r="S156" s="59">
        <f ca="1">AVERAGE(OFFSET($R$3,0,0,'Données projet'!$E$9+1,1))-AVERAGE(OFFSET($H$3,0,0,'Données projet'!$E$9+1,1))</f>
        <v>443.63756287217456</v>
      </c>
      <c r="T156" s="59">
        <f t="shared" si="142"/>
        <v>384.990641425788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25.070769466984178</v>
      </c>
      <c r="AA156" s="21">
        <f>EXP(-LN(2)/25)*AA155+(1-EXP(-LN(2)/25))/(LN(2)/25)*Calculateur!V156*Calculateur!X156*VLOOKUP('Données projet'!$B$9,Paramètres!$A$1:$I$89,3,0)*0.475*44/12</f>
        <v>2.1609866187220126</v>
      </c>
      <c r="AB156" s="21">
        <f>EXP(-LN(2)/2)*AB155+(1-EXP(-LN(2)/2))/(LN(2)/2)*V156*Y156*VLOOKUP('Données projet'!$B$9,Paramètres!$A$1:$I$89,3,0)*0.475*44/12</f>
        <v>2.4087199913713032E-20</v>
      </c>
      <c r="AC156" s="22">
        <f t="shared" si="163"/>
        <v>27.231756085706191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137.97244371990928</v>
      </c>
      <c r="AO156" s="59">
        <f t="shared" si="144"/>
        <v>340.50331317844757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10.809266532294595</v>
      </c>
      <c r="AV156" s="21">
        <f>EXP(-LN(2)/25)*AV155+(1-EXP(-LN(2)/25))/(LN(2)/25)*Calculateur!AQ156*Calculateur!AS156*VLOOKUP('Données projet'!$B$10,Paramètres!$A$1:$I$89,3,0)*0.475*44/12</f>
        <v>0.47490861311909971</v>
      </c>
      <c r="AW156" s="21">
        <f>EXP(-LN(2)/2)*AW155+(1-EXP(-LN(2)/2))/(LN(2)/2)*AQ156*AT156*VLOOKUP('Données projet'!$B$10,Paramètres!$A$1:$I$89,3,0)*0.475*44/12</f>
        <v>1.3787989560919153E-20</v>
      </c>
      <c r="AX156" s="21">
        <f t="shared" si="166"/>
        <v>11.284175145413695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137.97244371990928</v>
      </c>
      <c r="BJ156" s="59">
        <f t="shared" si="146"/>
        <v>340.50331317844757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10.809266532294595</v>
      </c>
      <c r="BQ156" s="21">
        <f>EXP(-LN(2)/25)*BQ155+(1-EXP(-LN(2)/25))/(LN(2)/25)*Calculateur!BL156*Calculateur!BN156*VLOOKUP('Données projet'!$B$11,Paramètres!$A$1:$I$89,3,0)*0.475*44/12</f>
        <v>0.47490861311909971</v>
      </c>
      <c r="BR156" s="21">
        <f>EXP(-LN(2)/2)*BR155+(1-EXP(-LN(2)/2))/(LN(2)/2)*BL156*BO156*VLOOKUP('Données projet'!$B$11,Paramètres!$A$1:$I$89,3,0)*0.475*44/12</f>
        <v>1.3787989560919153E-20</v>
      </c>
      <c r="BS156" s="22">
        <f t="shared" si="169"/>
        <v>11.284175145413695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267</v>
      </c>
      <c r="BZ156" s="13">
        <f>BY156*VLOOKUP('Données projet'!$B$12,Paramètres!$A$1:$I$89,3,0)*VLOOKUP('Données projet'!$B$12,Paramètres!$A$1:$I$89,5,0)</f>
        <v>241.58159999999998</v>
      </c>
      <c r="CA156" s="13">
        <f t="shared" si="170"/>
        <v>58.779689232021951</v>
      </c>
      <c r="CB156" s="20">
        <f t="shared" si="171"/>
        <v>523.12924541243819</v>
      </c>
      <c r="CC156" s="59">
        <f t="shared" si="119"/>
        <v>816.46257874577145</v>
      </c>
      <c r="CD156" s="59">
        <f ca="1">AVERAGE(OFFSET($CC$3,0,0,'Données projet'!$E$12+1,1))-AVERAGE(OFFSET($H$3,0,0,'Données projet'!$E$12+1,1))</f>
        <v>216.16148211123436</v>
      </c>
      <c r="CE156" s="59">
        <f t="shared" si="148"/>
        <v>132.59131750490178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35.613232995882797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35.613232995882797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139.33919999999964</v>
      </c>
      <c r="D157" s="11">
        <f t="shared" si="140"/>
        <v>36.145583836349559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1354.6193839998889</v>
      </c>
      <c r="H157" s="66">
        <f t="shared" si="110"/>
        <v>598.96933184830823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763.00000000000057</v>
      </c>
      <c r="O157" s="13">
        <f>N157*VLOOKUP('Données projet'!$B$9,Paramètres!$A$1:$I$89,3,0)*VLOOKUP('Données projet'!$B$9,Paramètres!$A$1:$I$89,5,0)</f>
        <v>456.2740000000004</v>
      </c>
      <c r="P157" s="13">
        <f t="shared" si="141"/>
        <v>103.09649786611838</v>
      </c>
      <c r="Q157" s="20">
        <f t="shared" si="162"/>
        <v>974.23695045015677</v>
      </c>
      <c r="R157" s="59">
        <f t="shared" si="109"/>
        <v>1267.5702837834901</v>
      </c>
      <c r="S157" s="59">
        <f ca="1">AVERAGE(OFFSET($R$3,0,0,'Données projet'!$E$9+1,1))-AVERAGE(OFFSET($H$3,0,0,'Données projet'!$E$9+1,1))</f>
        <v>443.63756287217456</v>
      </c>
      <c r="T157" s="59">
        <f t="shared" si="142"/>
        <v>384.990641425788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24.579146969396067</v>
      </c>
      <c r="AA157" s="21">
        <f>EXP(-LN(2)/25)*AA156+(1-EXP(-LN(2)/25))/(LN(2)/25)*Calculateur!V157*Calculateur!X157*VLOOKUP('Données projet'!$B$9,Paramètres!$A$1:$I$89,3,0)*0.475*44/12</f>
        <v>2.101894325991712</v>
      </c>
      <c r="AB157" s="21">
        <f>EXP(-LN(2)/2)*AB156+(1-EXP(-LN(2)/2))/(LN(2)/2)*V157*Y157*VLOOKUP('Données projet'!$B$9,Paramètres!$A$1:$I$89,3,0)*0.475*44/12</f>
        <v>1.7032222398782507E-20</v>
      </c>
      <c r="AC157" s="22">
        <f t="shared" si="163"/>
        <v>26.681041295387779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137.97244371990928</v>
      </c>
      <c r="AO157" s="59">
        <f t="shared" si="144"/>
        <v>340.50331317844757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10.597303408597877</v>
      </c>
      <c r="AV157" s="21">
        <f>EXP(-LN(2)/25)*AV156+(1-EXP(-LN(2)/25))/(LN(2)/25)*Calculateur!AQ157*Calculateur!AS157*VLOOKUP('Données projet'!$B$10,Paramètres!$A$1:$I$89,3,0)*0.475*44/12</f>
        <v>0.46192221211899936</v>
      </c>
      <c r="AW157" s="21">
        <f>EXP(-LN(2)/2)*AW156+(1-EXP(-LN(2)/2))/(LN(2)/2)*AQ157*AT157*VLOOKUP('Données projet'!$B$10,Paramètres!$A$1:$I$89,3,0)*0.475*44/12</f>
        <v>9.7495809174552611E-21</v>
      </c>
      <c r="AX157" s="21">
        <f t="shared" si="166"/>
        <v>11.059225620716877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137.97244371990928</v>
      </c>
      <c r="BJ157" s="59">
        <f t="shared" si="146"/>
        <v>340.50331317844757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10.597303408597877</v>
      </c>
      <c r="BQ157" s="21">
        <f>EXP(-LN(2)/25)*BQ156+(1-EXP(-LN(2)/25))/(LN(2)/25)*Calculateur!BL157*Calculateur!BN157*VLOOKUP('Données projet'!$B$11,Paramètres!$A$1:$I$89,3,0)*0.475*44/12</f>
        <v>0.46192221211899936</v>
      </c>
      <c r="BR157" s="21">
        <f>EXP(-LN(2)/2)*BR156+(1-EXP(-LN(2)/2))/(LN(2)/2)*BL157*BO157*VLOOKUP('Données projet'!$B$11,Paramètres!$A$1:$I$89,3,0)*0.475*44/12</f>
        <v>9.7495809174552611E-21</v>
      </c>
      <c r="BS157" s="22">
        <f t="shared" si="169"/>
        <v>11.059225620716877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267</v>
      </c>
      <c r="BZ157" s="13">
        <f>BY157*VLOOKUP('Données projet'!$B$12,Paramètres!$A$1:$I$89,3,0)*VLOOKUP('Données projet'!$B$12,Paramètres!$A$1:$I$89,5,0)</f>
        <v>241.58159999999998</v>
      </c>
      <c r="CA157" s="13">
        <f t="shared" si="170"/>
        <v>58.779689232021951</v>
      </c>
      <c r="CB157" s="20">
        <f t="shared" si="171"/>
        <v>523.12924541243819</v>
      </c>
      <c r="CC157" s="59">
        <f t="shared" si="119"/>
        <v>816.46257874577145</v>
      </c>
      <c r="CD157" s="59">
        <f ca="1">AVERAGE(OFFSET($CC$3,0,0,'Données projet'!$E$12+1,1))-AVERAGE(OFFSET($H$3,0,0,'Données projet'!$E$12+1,1))</f>
        <v>216.16148211123436</v>
      </c>
      <c r="CE157" s="59">
        <f t="shared" si="148"/>
        <v>132.59131750490178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34.914879218760802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34.914879218760802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140.24399999999963</v>
      </c>
      <c r="D158" s="11">
        <f t="shared" si="140"/>
        <v>36.35289680245166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1363.204115668045</v>
      </c>
      <c r="H158" s="66">
        <f t="shared" si="110"/>
        <v>600.9062619309359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763.00000000000057</v>
      </c>
      <c r="O158" s="13">
        <f>N158*VLOOKUP('Données projet'!$B$9,Paramètres!$A$1:$I$89,3,0)*VLOOKUP('Données projet'!$B$9,Paramètres!$A$1:$I$89,5,0)</f>
        <v>456.2740000000004</v>
      </c>
      <c r="P158" s="13">
        <f t="shared" si="141"/>
        <v>103.09649786611838</v>
      </c>
      <c r="Q158" s="20">
        <f t="shared" si="162"/>
        <v>974.23695045015677</v>
      </c>
      <c r="R158" s="59">
        <f t="shared" si="109"/>
        <v>1267.5702837834901</v>
      </c>
      <c r="S158" s="59">
        <f ca="1">AVERAGE(OFFSET($R$3,0,0,'Données projet'!$E$9+1,1))-AVERAGE(OFFSET($H$3,0,0,'Données projet'!$E$9+1,1))</f>
        <v>443.63756287217456</v>
      </c>
      <c r="T158" s="59">
        <f t="shared" si="142"/>
        <v>384.990641425788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24.097164889125544</v>
      </c>
      <c r="AA158" s="21">
        <f>EXP(-LN(2)/25)*AA157+(1-EXP(-LN(2)/25))/(LN(2)/25)*Calculateur!V158*Calculateur!X158*VLOOKUP('Données projet'!$B$9,Paramètres!$A$1:$I$89,3,0)*0.475*44/12</f>
        <v>2.0444179151136499</v>
      </c>
      <c r="AB158" s="21">
        <f>EXP(-LN(2)/2)*AB157+(1-EXP(-LN(2)/2))/(LN(2)/2)*V158*Y158*VLOOKUP('Données projet'!$B$9,Paramètres!$A$1:$I$89,3,0)*0.475*44/12</f>
        <v>1.2043599956856516E-20</v>
      </c>
      <c r="AC158" s="22">
        <f t="shared" si="163"/>
        <v>26.141582804239192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137.97244371990928</v>
      </c>
      <c r="AO158" s="59">
        <f t="shared" si="144"/>
        <v>340.50331317844757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10.389496752472112</v>
      </c>
      <c r="AV158" s="21">
        <f>EXP(-LN(2)/25)*AV157+(1-EXP(-LN(2)/25))/(LN(2)/25)*Calculateur!AQ158*Calculateur!AS158*VLOOKUP('Données projet'!$B$10,Paramètres!$A$1:$I$89,3,0)*0.475*44/12</f>
        <v>0.44929092493717193</v>
      </c>
      <c r="AW158" s="21">
        <f>EXP(-LN(2)/2)*AW157+(1-EXP(-LN(2)/2))/(LN(2)/2)*AQ158*AT158*VLOOKUP('Données projet'!$B$10,Paramètres!$A$1:$I$89,3,0)*0.475*44/12</f>
        <v>6.8939947804595765E-21</v>
      </c>
      <c r="AX158" s="21">
        <f t="shared" si="166"/>
        <v>10.838787677409284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137.97244371990928</v>
      </c>
      <c r="BJ158" s="59">
        <f t="shared" si="146"/>
        <v>340.50331317844757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10.389496752472112</v>
      </c>
      <c r="BQ158" s="21">
        <f>EXP(-LN(2)/25)*BQ157+(1-EXP(-LN(2)/25))/(LN(2)/25)*Calculateur!BL158*Calculateur!BN158*VLOOKUP('Données projet'!$B$11,Paramètres!$A$1:$I$89,3,0)*0.475*44/12</f>
        <v>0.44929092493717193</v>
      </c>
      <c r="BR158" s="21">
        <f>EXP(-LN(2)/2)*BR157+(1-EXP(-LN(2)/2))/(LN(2)/2)*BL158*BO158*VLOOKUP('Données projet'!$B$11,Paramètres!$A$1:$I$89,3,0)*0.475*44/12</f>
        <v>6.8939947804595765E-21</v>
      </c>
      <c r="BS158" s="22">
        <f t="shared" si="169"/>
        <v>10.838787677409284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267</v>
      </c>
      <c r="BZ158" s="13">
        <f>BY158*VLOOKUP('Données projet'!$B$12,Paramètres!$A$1:$I$89,3,0)*VLOOKUP('Données projet'!$B$12,Paramètres!$A$1:$I$89,5,0)</f>
        <v>241.58159999999998</v>
      </c>
      <c r="CA158" s="13">
        <f t="shared" si="170"/>
        <v>58.779689232021951</v>
      </c>
      <c r="CB158" s="20">
        <f t="shared" si="171"/>
        <v>523.12924541243819</v>
      </c>
      <c r="CC158" s="59">
        <f t="shared" si="119"/>
        <v>816.46257874577145</v>
      </c>
      <c r="CD158" s="59">
        <f ca="1">AVERAGE(OFFSET($CC$3,0,0,'Données projet'!$E$12+1,1))-AVERAGE(OFFSET($H$3,0,0,'Données projet'!$E$12+1,1))</f>
        <v>216.16148211123436</v>
      </c>
      <c r="CE158" s="59">
        <f t="shared" si="148"/>
        <v>132.59131750490178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34.230219733254422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34.230219733254422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141.14879999999962</v>
      </c>
      <c r="D159" s="11">
        <f t="shared" si="140"/>
        <v>36.560054140504384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1371.7876459968732</v>
      </c>
      <c r="H159" s="66">
        <f t="shared" si="110"/>
        <v>602.84292096137779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763.00000000000057</v>
      </c>
      <c r="O159" s="13">
        <f>N159*VLOOKUP('Données projet'!$B$9,Paramètres!$A$1:$I$89,3,0)*VLOOKUP('Données projet'!$B$9,Paramètres!$A$1:$I$89,5,0)</f>
        <v>456.2740000000004</v>
      </c>
      <c r="P159" s="13">
        <f t="shared" si="141"/>
        <v>103.09649786611838</v>
      </c>
      <c r="Q159" s="20">
        <f t="shared" si="162"/>
        <v>974.23695045015677</v>
      </c>
      <c r="R159" s="59">
        <f t="shared" si="109"/>
        <v>1267.5702837834901</v>
      </c>
      <c r="S159" s="59">
        <f ca="1">AVERAGE(OFFSET($R$3,0,0,'Données projet'!$E$9+1,1))-AVERAGE(OFFSET($H$3,0,0,'Données projet'!$E$9+1,1))</f>
        <v>443.63756287217456</v>
      </c>
      <c r="T159" s="59">
        <f t="shared" si="142"/>
        <v>384.990641425788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23.624634183469084</v>
      </c>
      <c r="AA159" s="21">
        <f>EXP(-LN(2)/25)*AA158+(1-EXP(-LN(2)/25))/(LN(2)/25)*Calculateur!V159*Calculateur!X159*VLOOKUP('Données projet'!$B$9,Paramètres!$A$1:$I$89,3,0)*0.475*44/12</f>
        <v>1.9885131997136016</v>
      </c>
      <c r="AB159" s="21">
        <f>EXP(-LN(2)/2)*AB158+(1-EXP(-LN(2)/2))/(LN(2)/2)*V159*Y159*VLOOKUP('Données projet'!$B$9,Paramètres!$A$1:$I$89,3,0)*0.475*44/12</f>
        <v>8.5161111993912535E-21</v>
      </c>
      <c r="AC159" s="22">
        <f t="shared" si="163"/>
        <v>25.613147383182685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137.97244371990928</v>
      </c>
      <c r="AO159" s="59">
        <f t="shared" si="144"/>
        <v>340.50331317844757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10.18576505812343</v>
      </c>
      <c r="AV159" s="21">
        <f>EXP(-LN(2)/25)*AV158+(1-EXP(-LN(2)/25))/(LN(2)/25)*Calculateur!AQ159*Calculateur!AS159*VLOOKUP('Données projet'!$B$10,Paramètres!$A$1:$I$89,3,0)*0.475*44/12</f>
        <v>0.43700504096758208</v>
      </c>
      <c r="AW159" s="21">
        <f>EXP(-LN(2)/2)*AW158+(1-EXP(-LN(2)/2))/(LN(2)/2)*AQ159*AT159*VLOOKUP('Données projet'!$B$10,Paramètres!$A$1:$I$89,3,0)*0.475*44/12</f>
        <v>4.8747904587276305E-21</v>
      </c>
      <c r="AX159" s="21">
        <f t="shared" si="166"/>
        <v>10.622770099091012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137.97244371990928</v>
      </c>
      <c r="BJ159" s="59">
        <f t="shared" si="146"/>
        <v>340.50331317844757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10.18576505812343</v>
      </c>
      <c r="BQ159" s="21">
        <f>EXP(-LN(2)/25)*BQ158+(1-EXP(-LN(2)/25))/(LN(2)/25)*Calculateur!BL159*Calculateur!BN159*VLOOKUP('Données projet'!$B$11,Paramètres!$A$1:$I$89,3,0)*0.475*44/12</f>
        <v>0.43700504096758208</v>
      </c>
      <c r="BR159" s="21">
        <f>EXP(-LN(2)/2)*BR158+(1-EXP(-LN(2)/2))/(LN(2)/2)*BL159*BO159*VLOOKUP('Données projet'!$B$11,Paramètres!$A$1:$I$89,3,0)*0.475*44/12</f>
        <v>4.8747904587276305E-21</v>
      </c>
      <c r="BS159" s="22">
        <f t="shared" si="169"/>
        <v>10.622770099091012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267</v>
      </c>
      <c r="BZ159" s="13">
        <f>BY159*VLOOKUP('Données projet'!$B$12,Paramètres!$A$1:$I$89,3,0)*VLOOKUP('Données projet'!$B$12,Paramètres!$A$1:$I$89,5,0)</f>
        <v>241.58159999999998</v>
      </c>
      <c r="CA159" s="13">
        <f t="shared" si="170"/>
        <v>58.779689232021951</v>
      </c>
      <c r="CB159" s="20">
        <f t="shared" si="171"/>
        <v>523.12924541243819</v>
      </c>
      <c r="CC159" s="59">
        <f t="shared" si="119"/>
        <v>816.46257874577145</v>
      </c>
      <c r="CD159" s="59">
        <f ca="1">AVERAGE(OFFSET($CC$3,0,0,'Données projet'!$E$12+1,1))-AVERAGE(OFFSET($H$3,0,0,'Données projet'!$E$12+1,1))</f>
        <v>216.16148211123436</v>
      </c>
      <c r="CE159" s="59">
        <f t="shared" si="148"/>
        <v>132.59131750490178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33.558986002657775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33.558986002657775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142.05359999999962</v>
      </c>
      <c r="D160" s="11">
        <f t="shared" si="140"/>
        <v>36.767056963845825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1380.3699835805612</v>
      </c>
      <c r="H160" s="66">
        <f t="shared" si="110"/>
        <v>604.7793108786974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763.00000000000057</v>
      </c>
      <c r="O160" s="13">
        <f>N160*VLOOKUP('Données projet'!$B$9,Paramètres!$A$1:$I$89,3,0)*VLOOKUP('Données projet'!$B$9,Paramètres!$A$1:$I$89,5,0)</f>
        <v>456.2740000000004</v>
      </c>
      <c r="P160" s="13">
        <f t="shared" si="141"/>
        <v>103.09649786611838</v>
      </c>
      <c r="Q160" s="20">
        <f t="shared" si="162"/>
        <v>974.23695045015677</v>
      </c>
      <c r="R160" s="59">
        <f t="shared" si="109"/>
        <v>1267.5702837834901</v>
      </c>
      <c r="S160" s="59">
        <f ca="1">AVERAGE(OFFSET($R$3,0,0,'Données projet'!$E$9+1,1))-AVERAGE(OFFSET($H$3,0,0,'Données projet'!$E$9+1,1))</f>
        <v>443.63756287217456</v>
      </c>
      <c r="T160" s="59">
        <f t="shared" si="142"/>
        <v>384.990641425788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23.161369516735277</v>
      </c>
      <c r="AA160" s="21">
        <f>EXP(-LN(2)/25)*AA159+(1-EXP(-LN(2)/25))/(LN(2)/25)*Calculateur!V160*Calculateur!X160*VLOOKUP('Données projet'!$B$9,Paramètres!$A$1:$I$89,3,0)*0.475*44/12</f>
        <v>1.9341372016960687</v>
      </c>
      <c r="AB160" s="21">
        <f>EXP(-LN(2)/2)*AB159+(1-EXP(-LN(2)/2))/(LN(2)/2)*V160*Y160*VLOOKUP('Données projet'!$B$9,Paramètres!$A$1:$I$89,3,0)*0.475*44/12</f>
        <v>6.021799978428258E-21</v>
      </c>
      <c r="AC160" s="22">
        <f t="shared" si="163"/>
        <v>25.095506718431345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137.97244371990928</v>
      </c>
      <c r="AO160" s="59">
        <f t="shared" si="144"/>
        <v>340.50331317844757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9.9860284180368613</v>
      </c>
      <c r="AV160" s="21">
        <f>EXP(-LN(2)/25)*AV159+(1-EXP(-LN(2)/25))/(LN(2)/25)*Calculateur!AQ160*Calculateur!AS160*VLOOKUP('Données projet'!$B$10,Paramètres!$A$1:$I$89,3,0)*0.475*44/12</f>
        <v>0.42505511514122724</v>
      </c>
      <c r="AW160" s="21">
        <f>EXP(-LN(2)/2)*AW159+(1-EXP(-LN(2)/2))/(LN(2)/2)*AQ160*AT160*VLOOKUP('Données projet'!$B$10,Paramètres!$A$1:$I$89,3,0)*0.475*44/12</f>
        <v>3.4469973902297883E-21</v>
      </c>
      <c r="AX160" s="21">
        <f t="shared" si="166"/>
        <v>10.411083533178088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137.97244371990928</v>
      </c>
      <c r="BJ160" s="59">
        <f t="shared" si="146"/>
        <v>340.50331317844757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9.9860284180368613</v>
      </c>
      <c r="BQ160" s="21">
        <f>EXP(-LN(2)/25)*BQ159+(1-EXP(-LN(2)/25))/(LN(2)/25)*Calculateur!BL160*Calculateur!BN160*VLOOKUP('Données projet'!$B$11,Paramètres!$A$1:$I$89,3,0)*0.475*44/12</f>
        <v>0.42505511514122724</v>
      </c>
      <c r="BR160" s="21">
        <f>EXP(-LN(2)/2)*BR159+(1-EXP(-LN(2)/2))/(LN(2)/2)*BL160*BO160*VLOOKUP('Données projet'!$B$11,Paramètres!$A$1:$I$89,3,0)*0.475*44/12</f>
        <v>3.4469973902297883E-21</v>
      </c>
      <c r="BS160" s="22">
        <f t="shared" si="169"/>
        <v>10.411083533178088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267</v>
      </c>
      <c r="BZ160" s="13">
        <f>BY160*VLOOKUP('Données projet'!$B$12,Paramètres!$A$1:$I$89,3,0)*VLOOKUP('Données projet'!$B$12,Paramètres!$A$1:$I$89,5,0)</f>
        <v>241.58159999999998</v>
      </c>
      <c r="CA160" s="13">
        <f t="shared" si="170"/>
        <v>58.779689232021951</v>
      </c>
      <c r="CB160" s="20">
        <f t="shared" si="171"/>
        <v>523.12924541243819</v>
      </c>
      <c r="CC160" s="59">
        <f t="shared" si="119"/>
        <v>816.46257874577145</v>
      </c>
      <c r="CD160" s="59">
        <f ca="1">AVERAGE(OFFSET($CC$3,0,0,'Données projet'!$E$12+1,1))-AVERAGE(OFFSET($H$3,0,0,'Données projet'!$E$12+1,1))</f>
        <v>216.16148211123436</v>
      </c>
      <c r="CE160" s="59">
        <f t="shared" si="148"/>
        <v>132.59131750490178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32.900914756105976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32.900914756105976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142.95839999999961</v>
      </c>
      <c r="D161" s="11">
        <f t="shared" si="140"/>
        <v>36.973906370811164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1388.9511368974865</v>
      </c>
      <c r="H161" s="66">
        <f t="shared" si="110"/>
        <v>606.7154335958287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763.00000000000057</v>
      </c>
      <c r="O161" s="13">
        <f>N161*VLOOKUP('Données projet'!$B$9,Paramètres!$A$1:$I$89,3,0)*VLOOKUP('Données projet'!$B$9,Paramètres!$A$1:$I$89,5,0)</f>
        <v>456.2740000000004</v>
      </c>
      <c r="P161" s="13">
        <f t="shared" si="141"/>
        <v>103.09649786611838</v>
      </c>
      <c r="Q161" s="20">
        <f t="shared" si="162"/>
        <v>974.23695045015677</v>
      </c>
      <c r="R161" s="59">
        <f t="shared" si="109"/>
        <v>1267.5702837834901</v>
      </c>
      <c r="S161" s="59">
        <f ca="1">AVERAGE(OFFSET($R$3,0,0,'Données projet'!$E$9+1,1))-AVERAGE(OFFSET($H$3,0,0,'Données projet'!$E$9+1,1))</f>
        <v>443.63756287217456</v>
      </c>
      <c r="T161" s="59">
        <f t="shared" si="142"/>
        <v>384.990641425788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22.707189187552576</v>
      </c>
      <c r="AA161" s="21">
        <f>EXP(-LN(2)/25)*AA160+(1-EXP(-LN(2)/25))/(LN(2)/25)*Calculateur!V161*Calculateur!X161*VLOOKUP('Données projet'!$B$9,Paramètres!$A$1:$I$89,3,0)*0.475*44/12</f>
        <v>1.8812481182038348</v>
      </c>
      <c r="AB161" s="21">
        <f>EXP(-LN(2)/2)*AB160+(1-EXP(-LN(2)/2))/(LN(2)/2)*V161*Y161*VLOOKUP('Données projet'!$B$9,Paramètres!$A$1:$I$89,3,0)*0.475*44/12</f>
        <v>4.2580555996956268E-21</v>
      </c>
      <c r="AC161" s="22">
        <f t="shared" si="163"/>
        <v>24.588437305756411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137.97244371990928</v>
      </c>
      <c r="AO161" s="59">
        <f t="shared" si="144"/>
        <v>340.50331317844757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9.7902084916350702</v>
      </c>
      <c r="AV161" s="21">
        <f>EXP(-LN(2)/25)*AV160+(1-EXP(-LN(2)/25))/(LN(2)/25)*Calculateur!AQ161*Calculateur!AS161*VLOOKUP('Données projet'!$B$10,Paramètres!$A$1:$I$89,3,0)*0.475*44/12</f>
        <v>0.41343196066501336</v>
      </c>
      <c r="AW161" s="21">
        <f>EXP(-LN(2)/2)*AW160+(1-EXP(-LN(2)/2))/(LN(2)/2)*AQ161*AT161*VLOOKUP('Données projet'!$B$10,Paramètres!$A$1:$I$89,3,0)*0.475*44/12</f>
        <v>2.4373952293638153E-21</v>
      </c>
      <c r="AX161" s="21">
        <f t="shared" si="166"/>
        <v>10.203640452300084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137.97244371990928</v>
      </c>
      <c r="BJ161" s="59">
        <f t="shared" si="146"/>
        <v>340.50331317844757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9.7902084916350702</v>
      </c>
      <c r="BQ161" s="21">
        <f>EXP(-LN(2)/25)*BQ160+(1-EXP(-LN(2)/25))/(LN(2)/25)*Calculateur!BL161*Calculateur!BN161*VLOOKUP('Données projet'!$B$11,Paramètres!$A$1:$I$89,3,0)*0.475*44/12</f>
        <v>0.41343196066501336</v>
      </c>
      <c r="BR161" s="21">
        <f>EXP(-LN(2)/2)*BR160+(1-EXP(-LN(2)/2))/(LN(2)/2)*BL161*BO161*VLOOKUP('Données projet'!$B$11,Paramètres!$A$1:$I$89,3,0)*0.475*44/12</f>
        <v>2.4373952293638153E-21</v>
      </c>
      <c r="BS161" s="22">
        <f t="shared" si="169"/>
        <v>10.203640452300084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267</v>
      </c>
      <c r="BZ161" s="13">
        <f>BY161*VLOOKUP('Données projet'!$B$12,Paramètres!$A$1:$I$89,3,0)*VLOOKUP('Données projet'!$B$12,Paramètres!$A$1:$I$89,5,0)</f>
        <v>241.58159999999998</v>
      </c>
      <c r="CA161" s="13">
        <f t="shared" si="170"/>
        <v>58.779689232021951</v>
      </c>
      <c r="CB161" s="20">
        <f t="shared" si="171"/>
        <v>523.12924541243819</v>
      </c>
      <c r="CC161" s="59">
        <f t="shared" si="119"/>
        <v>816.46257874577145</v>
      </c>
      <c r="CD161" s="59">
        <f ca="1">AVERAGE(OFFSET($CC$3,0,0,'Données projet'!$E$12+1,1))-AVERAGE(OFFSET($H$3,0,0,'Données projet'!$E$12+1,1))</f>
        <v>216.16148211123436</v>
      </c>
      <c r="CE161" s="59">
        <f t="shared" si="148"/>
        <v>132.59131750490178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32.25574788531523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32.25574788531523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143.86319999999961</v>
      </c>
      <c r="D162" s="11">
        <f t="shared" si="140"/>
        <v>37.180603445028673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1397.5311143124991</v>
      </c>
      <c r="H162" s="66">
        <f t="shared" si="110"/>
        <v>608.65129100009085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763.00000000000057</v>
      </c>
      <c r="O162" s="13">
        <f>N162*VLOOKUP('Données projet'!$B$9,Paramètres!$A$1:$I$89,3,0)*VLOOKUP('Données projet'!$B$9,Paramètres!$A$1:$I$89,5,0)</f>
        <v>456.2740000000004</v>
      </c>
      <c r="P162" s="13">
        <f t="shared" si="141"/>
        <v>103.09649786611838</v>
      </c>
      <c r="Q162" s="20">
        <f t="shared" si="162"/>
        <v>974.23695045015677</v>
      </c>
      <c r="R162" s="59">
        <f t="shared" si="109"/>
        <v>1267.5702837834901</v>
      </c>
      <c r="S162" s="59">
        <f ca="1">AVERAGE(OFFSET($R$3,0,0,'Données projet'!$E$9+1,1))-AVERAGE(OFFSET($H$3,0,0,'Données projet'!$E$9+1,1))</f>
        <v>443.63756287217456</v>
      </c>
      <c r="T162" s="59">
        <f t="shared" si="142"/>
        <v>384.990641425788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22.261915057602497</v>
      </c>
      <c r="AA162" s="21">
        <f>EXP(-LN(2)/25)*AA161+(1-EXP(-LN(2)/25))/(LN(2)/25)*Calculateur!V162*Calculateur!X162*VLOOKUP('Données projet'!$B$9,Paramètres!$A$1:$I$89,3,0)*0.475*44/12</f>
        <v>1.829805289481012</v>
      </c>
      <c r="AB162" s="21">
        <f>EXP(-LN(2)/2)*AB161+(1-EXP(-LN(2)/2))/(LN(2)/2)*V162*Y162*VLOOKUP('Données projet'!$B$9,Paramètres!$A$1:$I$89,3,0)*0.475*44/12</f>
        <v>3.010899989214129E-21</v>
      </c>
      <c r="AC162" s="22">
        <f t="shared" si="163"/>
        <v>24.091720347083509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137.97244371990928</v>
      </c>
      <c r="AO162" s="59">
        <f t="shared" si="144"/>
        <v>340.50331317844757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9.5982284745516555</v>
      </c>
      <c r="AV162" s="21">
        <f>EXP(-LN(2)/25)*AV161+(1-EXP(-LN(2)/25))/(LN(2)/25)*Calculateur!AQ162*Calculateur!AS162*VLOOKUP('Données projet'!$B$10,Paramètres!$A$1:$I$89,3,0)*0.475*44/12</f>
        <v>0.40212664195918668</v>
      </c>
      <c r="AW162" s="21">
        <f>EXP(-LN(2)/2)*AW161+(1-EXP(-LN(2)/2))/(LN(2)/2)*AQ162*AT162*VLOOKUP('Données projet'!$B$10,Paramètres!$A$1:$I$89,3,0)*0.475*44/12</f>
        <v>1.7234986951148941E-21</v>
      </c>
      <c r="AX162" s="21">
        <f t="shared" si="166"/>
        <v>10.000355116510843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137.97244371990928</v>
      </c>
      <c r="BJ162" s="59">
        <f t="shared" si="146"/>
        <v>340.50331317844757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9.5982284745516555</v>
      </c>
      <c r="BQ162" s="21">
        <f>EXP(-LN(2)/25)*BQ161+(1-EXP(-LN(2)/25))/(LN(2)/25)*Calculateur!BL162*Calculateur!BN162*VLOOKUP('Données projet'!$B$11,Paramètres!$A$1:$I$89,3,0)*0.475*44/12</f>
        <v>0.40212664195918668</v>
      </c>
      <c r="BR162" s="21">
        <f>EXP(-LN(2)/2)*BR161+(1-EXP(-LN(2)/2))/(LN(2)/2)*BL162*BO162*VLOOKUP('Données projet'!$B$11,Paramètres!$A$1:$I$89,3,0)*0.475*44/12</f>
        <v>1.7234986951148941E-21</v>
      </c>
      <c r="BS162" s="22">
        <f t="shared" si="169"/>
        <v>10.000355116510843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267</v>
      </c>
      <c r="BZ162" s="13">
        <f>BY162*VLOOKUP('Données projet'!$B$12,Paramètres!$A$1:$I$89,3,0)*VLOOKUP('Données projet'!$B$12,Paramètres!$A$1:$I$89,5,0)</f>
        <v>241.58159999999998</v>
      </c>
      <c r="CA162" s="13">
        <f t="shared" si="170"/>
        <v>58.779689232021951</v>
      </c>
      <c r="CB162" s="20">
        <f t="shared" si="171"/>
        <v>523.12924541243819</v>
      </c>
      <c r="CC162" s="59">
        <f t="shared" si="119"/>
        <v>816.46257874577145</v>
      </c>
      <c r="CD162" s="59">
        <f ca="1">AVERAGE(OFFSET($CC$3,0,0,'Données projet'!$E$12+1,1))-AVERAGE(OFFSET($H$3,0,0,'Données projet'!$E$12+1,1))</f>
        <v>216.16148211123436</v>
      </c>
      <c r="CE162" s="59">
        <f t="shared" si="148"/>
        <v>132.59131750490178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31.623232343347755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31.623232343347755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144.7679999999996</v>
      </c>
      <c r="D163" s="11">
        <f t="shared" si="140"/>
        <v>37.387149255707726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1406.1099240791443</v>
      </c>
      <c r="H163" s="66">
        <f t="shared" si="110"/>
        <v>610.58688495369029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763.00000000000057</v>
      </c>
      <c r="O163" s="13">
        <f>N163*VLOOKUP('Données projet'!$B$9,Paramètres!$A$1:$I$89,3,0)*VLOOKUP('Données projet'!$B$9,Paramètres!$A$1:$I$89,5,0)</f>
        <v>456.2740000000004</v>
      </c>
      <c r="P163" s="13">
        <f t="shared" si="141"/>
        <v>103.09649786611838</v>
      </c>
      <c r="Q163" s="20">
        <f t="shared" si="162"/>
        <v>974.23695045015677</v>
      </c>
      <c r="R163" s="59">
        <f t="shared" si="109"/>
        <v>1267.5702837834901</v>
      </c>
      <c r="S163" s="59">
        <f ca="1">AVERAGE(OFFSET($R$3,0,0,'Données projet'!$E$9+1,1))-AVERAGE(OFFSET($H$3,0,0,'Données projet'!$E$9+1,1))</f>
        <v>443.63756287217456</v>
      </c>
      <c r="T163" s="59">
        <f t="shared" si="142"/>
        <v>384.990641425788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21.825372481750339</v>
      </c>
      <c r="AA163" s="21">
        <f>EXP(-LN(2)/25)*AA162+(1-EXP(-LN(2)/25))/(LN(2)/25)*Calculateur!V163*Calculateur!X163*VLOOKUP('Données projet'!$B$9,Paramètres!$A$1:$I$89,3,0)*0.475*44/12</f>
        <v>1.7797691676148757</v>
      </c>
      <c r="AB163" s="21">
        <f>EXP(-LN(2)/2)*AB162+(1-EXP(-LN(2)/2))/(LN(2)/2)*V163*Y163*VLOOKUP('Données projet'!$B$9,Paramètres!$A$1:$I$89,3,0)*0.475*44/12</f>
        <v>2.1290277998478134E-21</v>
      </c>
      <c r="AC163" s="22">
        <f t="shared" si="163"/>
        <v>23.605141649365216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137.97244371990928</v>
      </c>
      <c r="AO163" s="59">
        <f t="shared" si="144"/>
        <v>340.50331317844757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9.4100130685069985</v>
      </c>
      <c r="AV163" s="21">
        <f>EXP(-LN(2)/25)*AV162+(1-EXP(-LN(2)/25))/(LN(2)/25)*Calculateur!AQ163*Calculateur!AS163*VLOOKUP('Données projet'!$B$10,Paramètres!$A$1:$I$89,3,0)*0.475*44/12</f>
        <v>0.39113046778789168</v>
      </c>
      <c r="AW163" s="21">
        <f>EXP(-LN(2)/2)*AW162+(1-EXP(-LN(2)/2))/(LN(2)/2)*AQ163*AT163*VLOOKUP('Données projet'!$B$10,Paramètres!$A$1:$I$89,3,0)*0.475*44/12</f>
        <v>1.2186976146819076E-21</v>
      </c>
      <c r="AX163" s="21">
        <f t="shared" si="166"/>
        <v>9.8011435362948909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137.97244371990928</v>
      </c>
      <c r="BJ163" s="59">
        <f t="shared" si="146"/>
        <v>340.50331317844757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9.4100130685069985</v>
      </c>
      <c r="BQ163" s="21">
        <f>EXP(-LN(2)/25)*BQ162+(1-EXP(-LN(2)/25))/(LN(2)/25)*Calculateur!BL163*Calculateur!BN163*VLOOKUP('Données projet'!$B$11,Paramètres!$A$1:$I$89,3,0)*0.475*44/12</f>
        <v>0.39113046778789168</v>
      </c>
      <c r="BR163" s="21">
        <f>EXP(-LN(2)/2)*BR162+(1-EXP(-LN(2)/2))/(LN(2)/2)*BL163*BO163*VLOOKUP('Données projet'!$B$11,Paramètres!$A$1:$I$89,3,0)*0.475*44/12</f>
        <v>1.2186976146819076E-21</v>
      </c>
      <c r="BS163" s="22">
        <f t="shared" si="169"/>
        <v>9.8011435362948909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267</v>
      </c>
      <c r="BZ163" s="13">
        <f>BY163*VLOOKUP('Données projet'!$B$12,Paramètres!$A$1:$I$89,3,0)*VLOOKUP('Données projet'!$B$12,Paramètres!$A$1:$I$89,5,0)</f>
        <v>241.58159999999998</v>
      </c>
      <c r="CA163" s="13">
        <f t="shared" si="170"/>
        <v>58.779689232021951</v>
      </c>
      <c r="CB163" s="20">
        <f t="shared" si="171"/>
        <v>523.12924541243819</v>
      </c>
      <c r="CC163" s="59">
        <f t="shared" si="119"/>
        <v>816.46257874577145</v>
      </c>
      <c r="CD163" s="59">
        <f ca="1">AVERAGE(OFFSET($CC$3,0,0,'Données projet'!$E$12+1,1))-AVERAGE(OFFSET($H$3,0,0,'Données projet'!$E$12+1,1))</f>
        <v>216.16148211123436</v>
      </c>
      <c r="CE163" s="59">
        <f t="shared" si="148"/>
        <v>132.59131750490178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31.003120045361879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31.003120045361879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145.6727999999996</v>
      </c>
      <c r="D164" s="11">
        <f t="shared" si="140"/>
        <v>37.593544857919632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1414.6875743418329</v>
      </c>
      <c r="H164" s="66">
        <f t="shared" si="110"/>
        <v>612.52221729420921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763.00000000000057</v>
      </c>
      <c r="O164" s="13">
        <f>N164*VLOOKUP('Données projet'!$B$9,Paramètres!$A$1:$I$89,3,0)*VLOOKUP('Données projet'!$B$9,Paramètres!$A$1:$I$89,5,0)</f>
        <v>456.2740000000004</v>
      </c>
      <c r="P164" s="13">
        <f t="shared" si="141"/>
        <v>103.09649786611838</v>
      </c>
      <c r="Q164" s="20">
        <f t="shared" si="162"/>
        <v>974.23695045015677</v>
      </c>
      <c r="R164" s="59">
        <f t="shared" si="109"/>
        <v>1267.5702837834901</v>
      </c>
      <c r="S164" s="59">
        <f ca="1">AVERAGE(OFFSET($R$3,0,0,'Données projet'!$E$9+1,1))-AVERAGE(OFFSET($H$3,0,0,'Données projet'!$E$9+1,1))</f>
        <v>443.63756287217456</v>
      </c>
      <c r="T164" s="59">
        <f t="shared" si="142"/>
        <v>384.990641425788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21.397390239545963</v>
      </c>
      <c r="AA164" s="21">
        <f>EXP(-LN(2)/25)*AA163+(1-EXP(-LN(2)/25))/(LN(2)/25)*Calculateur!V164*Calculateur!X164*VLOOKUP('Données projet'!$B$9,Paramètres!$A$1:$I$89,3,0)*0.475*44/12</f>
        <v>1.7311012861324542</v>
      </c>
      <c r="AB164" s="21">
        <f>EXP(-LN(2)/2)*AB163+(1-EXP(-LN(2)/2))/(LN(2)/2)*V164*Y164*VLOOKUP('Données projet'!$B$9,Paramètres!$A$1:$I$89,3,0)*0.475*44/12</f>
        <v>1.5054499946070645E-21</v>
      </c>
      <c r="AC164" s="22">
        <f t="shared" si="163"/>
        <v>23.128491525678417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137.97244371990928</v>
      </c>
      <c r="AO164" s="59">
        <f t="shared" si="144"/>
        <v>340.50331317844757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9.2254884517748152</v>
      </c>
      <c r="AV164" s="21">
        <f>EXP(-LN(2)/25)*AV163+(1-EXP(-LN(2)/25))/(LN(2)/25)*Calculateur!AQ164*Calculateur!AS164*VLOOKUP('Données projet'!$B$10,Paramètres!$A$1:$I$89,3,0)*0.475*44/12</f>
        <v>0.38043498457757441</v>
      </c>
      <c r="AW164" s="21">
        <f>EXP(-LN(2)/2)*AW163+(1-EXP(-LN(2)/2))/(LN(2)/2)*AQ164*AT164*VLOOKUP('Données projet'!$B$10,Paramètres!$A$1:$I$89,3,0)*0.475*44/12</f>
        <v>8.6174934755744706E-22</v>
      </c>
      <c r="AX164" s="21">
        <f t="shared" si="166"/>
        <v>9.6059234363523895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137.97244371990928</v>
      </c>
      <c r="BJ164" s="59">
        <f t="shared" si="146"/>
        <v>340.50331317844757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9.2254884517748152</v>
      </c>
      <c r="BQ164" s="21">
        <f>EXP(-LN(2)/25)*BQ163+(1-EXP(-LN(2)/25))/(LN(2)/25)*Calculateur!BL164*Calculateur!BN164*VLOOKUP('Données projet'!$B$11,Paramètres!$A$1:$I$89,3,0)*0.475*44/12</f>
        <v>0.38043498457757441</v>
      </c>
      <c r="BR164" s="21">
        <f>EXP(-LN(2)/2)*BR163+(1-EXP(-LN(2)/2))/(LN(2)/2)*BL164*BO164*VLOOKUP('Données projet'!$B$11,Paramètres!$A$1:$I$89,3,0)*0.475*44/12</f>
        <v>8.6174934755744706E-22</v>
      </c>
      <c r="BS164" s="22">
        <f t="shared" si="169"/>
        <v>9.6059234363523895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267</v>
      </c>
      <c r="BZ164" s="13">
        <f>BY164*VLOOKUP('Données projet'!$B$12,Paramètres!$A$1:$I$89,3,0)*VLOOKUP('Données projet'!$B$12,Paramètres!$A$1:$I$89,5,0)</f>
        <v>241.58159999999998</v>
      </c>
      <c r="CA164" s="13">
        <f t="shared" si="170"/>
        <v>58.779689232021951</v>
      </c>
      <c r="CB164" s="20">
        <f t="shared" si="171"/>
        <v>523.12924541243819</v>
      </c>
      <c r="CC164" s="59">
        <f t="shared" si="119"/>
        <v>816.46257874577145</v>
      </c>
      <c r="CD164" s="59">
        <f ca="1">AVERAGE(OFFSET($CC$3,0,0,'Données projet'!$E$12+1,1))-AVERAGE(OFFSET($H$3,0,0,'Données projet'!$E$12+1,1))</f>
        <v>216.16148211123436</v>
      </c>
      <c r="CE164" s="59">
        <f t="shared" si="148"/>
        <v>132.59131750490178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30.395167771308348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30.395167771308348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146.57759999999959</v>
      </c>
      <c r="D165" s="11">
        <f t="shared" si="140"/>
        <v>37.799791292871177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1423.2640731379497</v>
      </c>
      <c r="H165" s="66">
        <f t="shared" si="110"/>
        <v>614.4572898350832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763.00000000000057</v>
      </c>
      <c r="O165" s="13">
        <f>N165*VLOOKUP('Données projet'!$B$9,Paramètres!$A$1:$I$89,3,0)*VLOOKUP('Données projet'!$B$9,Paramètres!$A$1:$I$89,5,0)</f>
        <v>456.2740000000004</v>
      </c>
      <c r="P165" s="13">
        <f t="shared" si="141"/>
        <v>103.09649786611838</v>
      </c>
      <c r="Q165" s="20">
        <f t="shared" si="162"/>
        <v>974.23695045015677</v>
      </c>
      <c r="R165" s="59">
        <f t="shared" si="109"/>
        <v>1267.5702837834901</v>
      </c>
      <c r="S165" s="59">
        <f ca="1">AVERAGE(OFFSET($R$3,0,0,'Données projet'!$E$9+1,1))-AVERAGE(OFFSET($H$3,0,0,'Données projet'!$E$9+1,1))</f>
        <v>443.63756287217456</v>
      </c>
      <c r="T165" s="59">
        <f t="shared" si="142"/>
        <v>384.990641425788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20.977800468067823</v>
      </c>
      <c r="AA165" s="21">
        <f>EXP(-LN(2)/25)*AA164+(1-EXP(-LN(2)/25))/(LN(2)/25)*Calculateur!V165*Calculateur!X165*VLOOKUP('Données projet'!$B$9,Paramètres!$A$1:$I$89,3,0)*0.475*44/12</f>
        <v>1.6837642304285021</v>
      </c>
      <c r="AB165" s="21">
        <f>EXP(-LN(2)/2)*AB164+(1-EXP(-LN(2)/2))/(LN(2)/2)*V165*Y165*VLOOKUP('Données projet'!$B$9,Paramètres!$A$1:$I$89,3,0)*0.475*44/12</f>
        <v>1.0645138999239067E-21</v>
      </c>
      <c r="AC165" s="22">
        <f t="shared" si="163"/>
        <v>22.661564698496324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137.97244371990928</v>
      </c>
      <c r="AO165" s="59">
        <f t="shared" si="144"/>
        <v>340.50331317844757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9.0445822502278475</v>
      </c>
      <c r="AV165" s="21">
        <f>EXP(-LN(2)/25)*AV164+(1-EXP(-LN(2)/25))/(LN(2)/25)*Calculateur!AQ165*Calculateur!AS165*VLOOKUP('Données projet'!$B$10,Paramètres!$A$1:$I$89,3,0)*0.475*44/12</f>
        <v>0.37003196991809428</v>
      </c>
      <c r="AW165" s="21">
        <f>EXP(-LN(2)/2)*AW164+(1-EXP(-LN(2)/2))/(LN(2)/2)*AQ165*AT165*VLOOKUP('Données projet'!$B$10,Paramètres!$A$1:$I$89,3,0)*0.475*44/12</f>
        <v>6.0934880734095382E-22</v>
      </c>
      <c r="AX165" s="21">
        <f t="shared" si="166"/>
        <v>9.4146142201459426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137.97244371990928</v>
      </c>
      <c r="BJ165" s="59">
        <f t="shared" si="146"/>
        <v>340.50331317844757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9.0445822502278475</v>
      </c>
      <c r="BQ165" s="21">
        <f>EXP(-LN(2)/25)*BQ164+(1-EXP(-LN(2)/25))/(LN(2)/25)*Calculateur!BL165*Calculateur!BN165*VLOOKUP('Données projet'!$B$11,Paramètres!$A$1:$I$89,3,0)*0.475*44/12</f>
        <v>0.37003196991809428</v>
      </c>
      <c r="BR165" s="21">
        <f>EXP(-LN(2)/2)*BR164+(1-EXP(-LN(2)/2))/(LN(2)/2)*BL165*BO165*VLOOKUP('Données projet'!$B$11,Paramètres!$A$1:$I$89,3,0)*0.475*44/12</f>
        <v>6.0934880734095382E-22</v>
      </c>
      <c r="BS165" s="22">
        <f t="shared" si="169"/>
        <v>9.4146142201459426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267</v>
      </c>
      <c r="BZ165" s="13">
        <f>BY165*VLOOKUP('Données projet'!$B$12,Paramètres!$A$1:$I$89,3,0)*VLOOKUP('Données projet'!$B$12,Paramètres!$A$1:$I$89,5,0)</f>
        <v>241.58159999999998</v>
      </c>
      <c r="CA165" s="13">
        <f t="shared" si="170"/>
        <v>58.779689232021951</v>
      </c>
      <c r="CB165" s="20">
        <f t="shared" si="171"/>
        <v>523.12924541243819</v>
      </c>
      <c r="CC165" s="59">
        <f t="shared" si="119"/>
        <v>816.46257874577145</v>
      </c>
      <c r="CD165" s="59">
        <f ca="1">AVERAGE(OFFSET($CC$3,0,0,'Données projet'!$E$12+1,1))-AVERAGE(OFFSET($H$3,0,0,'Données projet'!$E$12+1,1))</f>
        <v>216.16148211123436</v>
      </c>
      <c r="CE165" s="59">
        <f t="shared" si="148"/>
        <v>132.59131750490178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29.799137070534737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29.799137070534737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147.48239999999959</v>
      </c>
      <c r="D166" s="11">
        <f t="shared" si="140"/>
        <v>38.005889588171144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1431.8394283999148</v>
      </c>
      <c r="H166" s="66">
        <f t="shared" si="110"/>
        <v>616.39210436606402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763.00000000000057</v>
      </c>
      <c r="O166" s="13">
        <f>N166*VLOOKUP('Données projet'!$B$9,Paramètres!$A$1:$I$89,3,0)*VLOOKUP('Données projet'!$B$9,Paramètres!$A$1:$I$89,5,0)</f>
        <v>456.2740000000004</v>
      </c>
      <c r="P166" s="13">
        <f t="shared" si="141"/>
        <v>103.09649786611838</v>
      </c>
      <c r="Q166" s="20">
        <f t="shared" si="162"/>
        <v>974.23695045015677</v>
      </c>
      <c r="R166" s="59">
        <f t="shared" si="109"/>
        <v>1267.5702837834901</v>
      </c>
      <c r="S166" s="59">
        <f ca="1">AVERAGE(OFFSET($R$3,0,0,'Données projet'!$E$9+1,1))-AVERAGE(OFFSET($H$3,0,0,'Données projet'!$E$9+1,1))</f>
        <v>443.63756287217456</v>
      </c>
      <c r="T166" s="59">
        <f t="shared" si="142"/>
        <v>384.990641425788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20.566438596083877</v>
      </c>
      <c r="AA166" s="21">
        <f>EXP(-LN(2)/25)*AA165+(1-EXP(-LN(2)/25))/(LN(2)/25)*Calculateur!V166*Calculateur!X166*VLOOKUP('Données projet'!$B$9,Paramètres!$A$1:$I$89,3,0)*0.475*44/12</f>
        <v>1.637721609002122</v>
      </c>
      <c r="AB166" s="21">
        <f>EXP(-LN(2)/2)*AB165+(1-EXP(-LN(2)/2))/(LN(2)/2)*V166*Y166*VLOOKUP('Données projet'!$B$9,Paramètres!$A$1:$I$89,3,0)*0.475*44/12</f>
        <v>7.5272499730353225E-22</v>
      </c>
      <c r="AC166" s="22">
        <f t="shared" si="163"/>
        <v>22.204160205085998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137.97244371990928</v>
      </c>
      <c r="AO166" s="59">
        <f t="shared" si="144"/>
        <v>340.50331317844757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8.8672235089513283</v>
      </c>
      <c r="AV166" s="21">
        <f>EXP(-LN(2)/25)*AV165+(1-EXP(-LN(2)/25))/(LN(2)/25)*Calculateur!AQ166*Calculateur!AS166*VLOOKUP('Données projet'!$B$10,Paramètres!$A$1:$I$89,3,0)*0.475*44/12</f>
        <v>0.35991342624154843</v>
      </c>
      <c r="AW166" s="21">
        <f>EXP(-LN(2)/2)*AW165+(1-EXP(-LN(2)/2))/(LN(2)/2)*AQ166*AT166*VLOOKUP('Données projet'!$B$10,Paramètres!$A$1:$I$89,3,0)*0.475*44/12</f>
        <v>4.3087467377872353E-22</v>
      </c>
      <c r="AX166" s="21">
        <f t="shared" si="166"/>
        <v>9.2271369351928776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137.97244371990928</v>
      </c>
      <c r="BJ166" s="59">
        <f t="shared" si="146"/>
        <v>340.50331317844757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8.8672235089513283</v>
      </c>
      <c r="BQ166" s="21">
        <f>EXP(-LN(2)/25)*BQ165+(1-EXP(-LN(2)/25))/(LN(2)/25)*Calculateur!BL166*Calculateur!BN166*VLOOKUP('Données projet'!$B$11,Paramètres!$A$1:$I$89,3,0)*0.475*44/12</f>
        <v>0.35991342624154843</v>
      </c>
      <c r="BR166" s="21">
        <f>EXP(-LN(2)/2)*BR165+(1-EXP(-LN(2)/2))/(LN(2)/2)*BL166*BO166*VLOOKUP('Données projet'!$B$11,Paramètres!$A$1:$I$89,3,0)*0.475*44/12</f>
        <v>4.3087467377872353E-22</v>
      </c>
      <c r="BS166" s="22">
        <f t="shared" si="169"/>
        <v>9.2271369351928776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267</v>
      </c>
      <c r="BZ166" s="13">
        <f>BY166*VLOOKUP('Données projet'!$B$12,Paramètres!$A$1:$I$89,3,0)*VLOOKUP('Données projet'!$B$12,Paramètres!$A$1:$I$89,5,0)</f>
        <v>241.58159999999998</v>
      </c>
      <c r="CA166" s="13">
        <f t="shared" si="170"/>
        <v>58.779689232021951</v>
      </c>
      <c r="CB166" s="20">
        <f t="shared" si="171"/>
        <v>523.12924541243819</v>
      </c>
      <c r="CC166" s="59">
        <f t="shared" si="119"/>
        <v>816.46257874577145</v>
      </c>
      <c r="CD166" s="59">
        <f ca="1">AVERAGE(OFFSET($CC$3,0,0,'Données projet'!$E$12+1,1))-AVERAGE(OFFSET($H$3,0,0,'Données projet'!$E$12+1,1))</f>
        <v>216.16148211123436</v>
      </c>
      <c r="CE166" s="59">
        <f t="shared" si="148"/>
        <v>132.59131750490178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29.214794168260465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29.214794168260465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148.38719999999958</v>
      </c>
      <c r="D167" s="11">
        <f t="shared" si="140"/>
        <v>38.211840758090489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1440.4136479571864</v>
      </c>
      <c r="H167" s="66">
        <f t="shared" si="110"/>
        <v>618.32666265367345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763.00000000000057</v>
      </c>
      <c r="O167" s="13">
        <f>N167*VLOOKUP('Données projet'!$B$9,Paramètres!$A$1:$I$89,3,0)*VLOOKUP('Données projet'!$B$9,Paramètres!$A$1:$I$89,5,0)</f>
        <v>456.2740000000004</v>
      </c>
      <c r="P167" s="13">
        <f t="shared" si="141"/>
        <v>103.09649786611838</v>
      </c>
      <c r="Q167" s="20">
        <f t="shared" si="162"/>
        <v>974.23695045015677</v>
      </c>
      <c r="R167" s="59">
        <f t="shared" si="109"/>
        <v>1267.5702837834901</v>
      </c>
      <c r="S167" s="59">
        <f ca="1">AVERAGE(OFFSET($R$3,0,0,'Données projet'!$E$9+1,1))-AVERAGE(OFFSET($H$3,0,0,'Données projet'!$E$9+1,1))</f>
        <v>443.63756287217456</v>
      </c>
      <c r="T167" s="59">
        <f t="shared" si="142"/>
        <v>384.990641425788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20.163143279503569</v>
      </c>
      <c r="AA167" s="21">
        <f>EXP(-LN(2)/25)*AA166+(1-EXP(-LN(2)/25))/(LN(2)/25)*Calculateur!V167*Calculateur!X167*VLOOKUP('Données projet'!$B$9,Paramètres!$A$1:$I$89,3,0)*0.475*44/12</f>
        <v>1.5929380254799226</v>
      </c>
      <c r="AB167" s="21">
        <f>EXP(-LN(2)/2)*AB166+(1-EXP(-LN(2)/2))/(LN(2)/2)*V167*Y167*VLOOKUP('Données projet'!$B$9,Paramètres!$A$1:$I$89,3,0)*0.475*44/12</f>
        <v>5.3225694996195335E-22</v>
      </c>
      <c r="AC167" s="22">
        <f t="shared" si="163"/>
        <v>21.756081304983493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137.97244371990928</v>
      </c>
      <c r="AO167" s="59">
        <f t="shared" si="144"/>
        <v>340.50331317844757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8.6933426644130911</v>
      </c>
      <c r="AV167" s="21">
        <f>EXP(-LN(2)/25)*AV166+(1-EXP(-LN(2)/25))/(LN(2)/25)*Calculateur!AQ167*Calculateur!AS167*VLOOKUP('Données projet'!$B$10,Paramètres!$A$1:$I$89,3,0)*0.475*44/12</f>
        <v>0.35007157467394878</v>
      </c>
      <c r="AW167" s="21">
        <f>EXP(-LN(2)/2)*AW166+(1-EXP(-LN(2)/2))/(LN(2)/2)*AQ167*AT167*VLOOKUP('Données projet'!$B$10,Paramètres!$A$1:$I$89,3,0)*0.475*44/12</f>
        <v>3.0467440367047691E-22</v>
      </c>
      <c r="AX167" s="21">
        <f t="shared" si="166"/>
        <v>9.0434142390870402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137.97244371990928</v>
      </c>
      <c r="BJ167" s="59">
        <f t="shared" si="146"/>
        <v>340.50331317844757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8.6933426644130911</v>
      </c>
      <c r="BQ167" s="21">
        <f>EXP(-LN(2)/25)*BQ166+(1-EXP(-LN(2)/25))/(LN(2)/25)*Calculateur!BL167*Calculateur!BN167*VLOOKUP('Données projet'!$B$11,Paramètres!$A$1:$I$89,3,0)*0.475*44/12</f>
        <v>0.35007157467394878</v>
      </c>
      <c r="BR167" s="21">
        <f>EXP(-LN(2)/2)*BR166+(1-EXP(-LN(2)/2))/(LN(2)/2)*BL167*BO167*VLOOKUP('Données projet'!$B$11,Paramètres!$A$1:$I$89,3,0)*0.475*44/12</f>
        <v>3.0467440367047691E-22</v>
      </c>
      <c r="BS167" s="22">
        <f t="shared" si="169"/>
        <v>9.0434142390870402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267</v>
      </c>
      <c r="BZ167" s="13">
        <f>BY167*VLOOKUP('Données projet'!$B$12,Paramètres!$A$1:$I$89,3,0)*VLOOKUP('Données projet'!$B$12,Paramètres!$A$1:$I$89,5,0)</f>
        <v>241.58159999999998</v>
      </c>
      <c r="CA167" s="13">
        <f t="shared" si="170"/>
        <v>58.779689232021951</v>
      </c>
      <c r="CB167" s="20">
        <f t="shared" si="171"/>
        <v>523.12924541243819</v>
      </c>
      <c r="CC167" s="59">
        <f t="shared" si="119"/>
        <v>816.46257874577145</v>
      </c>
      <c r="CD167" s="59">
        <f ca="1">AVERAGE(OFFSET($CC$3,0,0,'Données projet'!$E$12+1,1))-AVERAGE(OFFSET($H$3,0,0,'Données projet'!$E$12+1,1))</f>
        <v>216.16148211123436</v>
      </c>
      <c r="CE167" s="59">
        <f t="shared" si="148"/>
        <v>132.59131750490178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28.641909873885812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28.641909873885812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149.29199999999958</v>
      </c>
      <c r="D168" s="11">
        <f t="shared" si="140"/>
        <v>38.41764580381534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1448.9867395382205</v>
      </c>
      <c r="H168" s="66">
        <f t="shared" si="110"/>
        <v>620.26096644164431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763.00000000000057</v>
      </c>
      <c r="O168" s="13">
        <f>N168*VLOOKUP('Données projet'!$B$9,Paramètres!$A$1:$I$89,3,0)*VLOOKUP('Données projet'!$B$9,Paramètres!$A$1:$I$89,5,0)</f>
        <v>456.2740000000004</v>
      </c>
      <c r="P168" s="13">
        <f t="shared" si="141"/>
        <v>103.09649786611838</v>
      </c>
      <c r="Q168" s="20">
        <f t="shared" si="162"/>
        <v>974.23695045015677</v>
      </c>
      <c r="R168" s="59">
        <f t="shared" si="109"/>
        <v>1267.5702837834901</v>
      </c>
      <c r="S168" s="59">
        <f ca="1">AVERAGE(OFFSET($R$3,0,0,'Données projet'!$E$9+1,1))-AVERAGE(OFFSET($H$3,0,0,'Données projet'!$E$9+1,1))</f>
        <v>443.63756287217456</v>
      </c>
      <c r="T168" s="59">
        <f t="shared" si="142"/>
        <v>384.990641425788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19.767756338095548</v>
      </c>
      <c r="AA168" s="21">
        <f>EXP(-LN(2)/25)*AA167+(1-EXP(-LN(2)/25))/(LN(2)/25)*Calculateur!V168*Calculateur!X168*VLOOKUP('Données projet'!$B$9,Paramètres!$A$1:$I$89,3,0)*0.475*44/12</f>
        <v>1.5493790514042041</v>
      </c>
      <c r="AB168" s="21">
        <f>EXP(-LN(2)/2)*AB167+(1-EXP(-LN(2)/2))/(LN(2)/2)*V168*Y168*VLOOKUP('Données projet'!$B$9,Paramètres!$A$1:$I$89,3,0)*0.475*44/12</f>
        <v>3.7636249865176612E-22</v>
      </c>
      <c r="AC168" s="22">
        <f t="shared" si="163"/>
        <v>21.317135389499754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137.97244371990928</v>
      </c>
      <c r="AO168" s="59">
        <f t="shared" si="144"/>
        <v>340.50331317844757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8.5228715171794054</v>
      </c>
      <c r="AV168" s="21">
        <f>EXP(-LN(2)/25)*AV167+(1-EXP(-LN(2)/25))/(LN(2)/25)*Calculateur!AQ168*Calculateur!AS168*VLOOKUP('Données projet'!$B$10,Paramètres!$A$1:$I$89,3,0)*0.475*44/12</f>
        <v>0.34049884905502564</v>
      </c>
      <c r="AW168" s="21">
        <f>EXP(-LN(2)/2)*AW167+(1-EXP(-LN(2)/2))/(LN(2)/2)*AQ168*AT168*VLOOKUP('Données projet'!$B$10,Paramètres!$A$1:$I$89,3,0)*0.475*44/12</f>
        <v>2.1543733688936177E-22</v>
      </c>
      <c r="AX168" s="21">
        <f t="shared" si="166"/>
        <v>8.863370366234431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137.97244371990928</v>
      </c>
      <c r="BJ168" s="59">
        <f t="shared" si="146"/>
        <v>340.50331317844757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8.5228715171794054</v>
      </c>
      <c r="BQ168" s="21">
        <f>EXP(-LN(2)/25)*BQ167+(1-EXP(-LN(2)/25))/(LN(2)/25)*Calculateur!BL168*Calculateur!BN168*VLOOKUP('Données projet'!$B$11,Paramètres!$A$1:$I$89,3,0)*0.475*44/12</f>
        <v>0.34049884905502564</v>
      </c>
      <c r="BR168" s="21">
        <f>EXP(-LN(2)/2)*BR167+(1-EXP(-LN(2)/2))/(LN(2)/2)*BL168*BO168*VLOOKUP('Données projet'!$B$11,Paramètres!$A$1:$I$89,3,0)*0.475*44/12</f>
        <v>2.1543733688936177E-22</v>
      </c>
      <c r="BS168" s="22">
        <f t="shared" si="169"/>
        <v>8.863370366234431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267</v>
      </c>
      <c r="BZ168" s="13">
        <f>BY168*VLOOKUP('Données projet'!$B$12,Paramètres!$A$1:$I$89,3,0)*VLOOKUP('Données projet'!$B$12,Paramètres!$A$1:$I$89,5,0)</f>
        <v>241.58159999999998</v>
      </c>
      <c r="CA168" s="13">
        <f t="shared" si="170"/>
        <v>58.779689232021951</v>
      </c>
      <c r="CB168" s="20">
        <f t="shared" si="171"/>
        <v>523.12924541243819</v>
      </c>
      <c r="CC168" s="59">
        <f t="shared" si="119"/>
        <v>816.46257874577145</v>
      </c>
      <c r="CD168" s="59">
        <f ca="1">AVERAGE(OFFSET($CC$3,0,0,'Données projet'!$E$12+1,1))-AVERAGE(OFFSET($H$3,0,0,'Données projet'!$E$12+1,1))</f>
        <v>216.16148211123436</v>
      </c>
      <c r="CE168" s="59">
        <f t="shared" si="148"/>
        <v>132.59131750490178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28.080259491098932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28.080259491098932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150.19679999999957</v>
      </c>
      <c r="D169" s="11">
        <f t="shared" si="140"/>
        <v>38.6233057136944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1457.5587107723748</v>
      </c>
      <c r="H169" s="66">
        <f t="shared" si="110"/>
        <v>622.1950174513504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763.00000000000057</v>
      </c>
      <c r="O169" s="13">
        <f>N169*VLOOKUP('Données projet'!$B$9,Paramètres!$A$1:$I$89,3,0)*VLOOKUP('Données projet'!$B$9,Paramètres!$A$1:$I$89,5,0)</f>
        <v>456.2740000000004</v>
      </c>
      <c r="P169" s="13">
        <f t="shared" si="141"/>
        <v>103.09649786611838</v>
      </c>
      <c r="Q169" s="20">
        <f t="shared" si="162"/>
        <v>974.23695045015677</v>
      </c>
      <c r="R169" s="59">
        <f t="shared" si="109"/>
        <v>1267.5702837834901</v>
      </c>
      <c r="S169" s="59">
        <f ca="1">AVERAGE(OFFSET($R$3,0,0,'Données projet'!$E$9+1,1))-AVERAGE(OFFSET($H$3,0,0,'Données projet'!$E$9+1,1))</f>
        <v>443.63756287217456</v>
      </c>
      <c r="T169" s="59">
        <f t="shared" si="142"/>
        <v>384.990641425788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19.380122693446317</v>
      </c>
      <c r="AA169" s="21">
        <f>EXP(-LN(2)/25)*AA168+(1-EXP(-LN(2)/25))/(LN(2)/25)*Calculateur!V169*Calculateur!X169*VLOOKUP('Données projet'!$B$9,Paramètres!$A$1:$I$89,3,0)*0.475*44/12</f>
        <v>1.5070111997652529</v>
      </c>
      <c r="AB169" s="21">
        <f>EXP(-LN(2)/2)*AB168+(1-EXP(-LN(2)/2))/(LN(2)/2)*V169*Y169*VLOOKUP('Données projet'!$B$9,Paramètres!$A$1:$I$89,3,0)*0.475*44/12</f>
        <v>2.6612847498097667E-22</v>
      </c>
      <c r="AC169" s="22">
        <f t="shared" si="163"/>
        <v>20.887133893211569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137.97244371990928</v>
      </c>
      <c r="AO169" s="59">
        <f t="shared" si="144"/>
        <v>340.50331317844757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8.3557432051658402</v>
      </c>
      <c r="AV169" s="21">
        <f>EXP(-LN(2)/25)*AV168+(1-EXP(-LN(2)/25))/(LN(2)/25)*Calculateur!AQ169*Calculateur!AS169*VLOOKUP('Données projet'!$B$10,Paramètres!$A$1:$I$89,3,0)*0.475*44/12</f>
        <v>0.33118789012155969</v>
      </c>
      <c r="AW169" s="21">
        <f>EXP(-LN(2)/2)*AW168+(1-EXP(-LN(2)/2))/(LN(2)/2)*AQ169*AT169*VLOOKUP('Données projet'!$B$10,Paramètres!$A$1:$I$89,3,0)*0.475*44/12</f>
        <v>1.5233720183523845E-22</v>
      </c>
      <c r="AX169" s="21">
        <f t="shared" si="166"/>
        <v>8.6869310952874006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137.97244371990928</v>
      </c>
      <c r="BJ169" s="59">
        <f t="shared" si="146"/>
        <v>340.50331317844757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8.3557432051658402</v>
      </c>
      <c r="BQ169" s="21">
        <f>EXP(-LN(2)/25)*BQ168+(1-EXP(-LN(2)/25))/(LN(2)/25)*Calculateur!BL169*Calculateur!BN169*VLOOKUP('Données projet'!$B$11,Paramètres!$A$1:$I$89,3,0)*0.475*44/12</f>
        <v>0.33118789012155969</v>
      </c>
      <c r="BR169" s="21">
        <f>EXP(-LN(2)/2)*BR168+(1-EXP(-LN(2)/2))/(LN(2)/2)*BL169*BO169*VLOOKUP('Données projet'!$B$11,Paramètres!$A$1:$I$89,3,0)*0.475*44/12</f>
        <v>1.5233720183523845E-22</v>
      </c>
      <c r="BS169" s="22">
        <f t="shared" si="169"/>
        <v>8.6869310952874006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267</v>
      </c>
      <c r="BZ169" s="13">
        <f>BY169*VLOOKUP('Données projet'!$B$12,Paramètres!$A$1:$I$89,3,0)*VLOOKUP('Données projet'!$B$12,Paramètres!$A$1:$I$89,5,0)</f>
        <v>241.58159999999998</v>
      </c>
      <c r="CA169" s="13">
        <f t="shared" si="170"/>
        <v>58.779689232021951</v>
      </c>
      <c r="CB169" s="20">
        <f t="shared" si="171"/>
        <v>523.12924541243819</v>
      </c>
      <c r="CC169" s="59">
        <f t="shared" si="119"/>
        <v>816.46257874577145</v>
      </c>
      <c r="CD169" s="59">
        <f ca="1">AVERAGE(OFFSET($CC$3,0,0,'Données projet'!$E$12+1,1))-AVERAGE(OFFSET($H$3,0,0,'Données projet'!$E$12+1,1))</f>
        <v>216.16148211123436</v>
      </c>
      <c r="CE169" s="59">
        <f t="shared" si="148"/>
        <v>132.59131750490178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27.529622729745594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27.529622729745594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151.10159999999956</v>
      </c>
      <c r="D170" s="11">
        <f t="shared" si="140"/>
        <v>38.82882146347967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1466.1295691917696</v>
      </c>
      <c r="H170" s="66">
        <f t="shared" si="110"/>
        <v>624.12881738222632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763.00000000000057</v>
      </c>
      <c r="O170" s="13">
        <f>N170*VLOOKUP('Données projet'!$B$9,Paramètres!$A$1:$I$89,3,0)*VLOOKUP('Données projet'!$B$9,Paramètres!$A$1:$I$89,5,0)</f>
        <v>456.2740000000004</v>
      </c>
      <c r="P170" s="13">
        <f t="shared" si="141"/>
        <v>103.09649786611838</v>
      </c>
      <c r="Q170" s="20">
        <f t="shared" si="162"/>
        <v>974.23695045015677</v>
      </c>
      <c r="R170" s="59">
        <f t="shared" si="109"/>
        <v>1267.5702837834901</v>
      </c>
      <c r="S170" s="59">
        <f ca="1">AVERAGE(OFFSET($R$3,0,0,'Données projet'!$E$9+1,1))-AVERAGE(OFFSET($H$3,0,0,'Données projet'!$E$9+1,1))</f>
        <v>443.63756287217456</v>
      </c>
      <c r="T170" s="59">
        <f t="shared" si="142"/>
        <v>384.990641425788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19.00009030813548</v>
      </c>
      <c r="AA170" s="21">
        <f>EXP(-LN(2)/25)*AA169+(1-EXP(-LN(2)/25))/(LN(2)/25)*Calculateur!V170*Calculateur!X170*VLOOKUP('Données projet'!$B$9,Paramètres!$A$1:$I$89,3,0)*0.475*44/12</f>
        <v>1.4658018992573973</v>
      </c>
      <c r="AB170" s="21">
        <f>EXP(-LN(2)/2)*AB169+(1-EXP(-LN(2)/2))/(LN(2)/2)*V170*Y170*VLOOKUP('Données projet'!$B$9,Paramètres!$A$1:$I$89,3,0)*0.475*44/12</f>
        <v>1.8818124932588306E-22</v>
      </c>
      <c r="AC170" s="22">
        <f t="shared" si="163"/>
        <v>20.465892207392876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137.97244371990928</v>
      </c>
      <c r="AO170" s="59">
        <f t="shared" si="144"/>
        <v>340.50331317844757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8.1918921774126563</v>
      </c>
      <c r="AV170" s="21">
        <f>EXP(-LN(2)/25)*AV169+(1-EXP(-LN(2)/25))/(LN(2)/25)*Calculateur!AQ170*Calculateur!AS170*VLOOKUP('Données projet'!$B$10,Paramètres!$A$1:$I$89,3,0)*0.475*44/12</f>
        <v>0.32213153984977144</v>
      </c>
      <c r="AW170" s="21">
        <f>EXP(-LN(2)/2)*AW169+(1-EXP(-LN(2)/2))/(LN(2)/2)*AQ170*AT170*VLOOKUP('Données projet'!$B$10,Paramètres!$A$1:$I$89,3,0)*0.475*44/12</f>
        <v>1.0771866844468088E-22</v>
      </c>
      <c r="AX170" s="21">
        <f t="shared" si="166"/>
        <v>8.5140237172624271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137.97244371990928</v>
      </c>
      <c r="BJ170" s="59">
        <f t="shared" si="146"/>
        <v>340.50331317844757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8.1918921774126563</v>
      </c>
      <c r="BQ170" s="21">
        <f>EXP(-LN(2)/25)*BQ169+(1-EXP(-LN(2)/25))/(LN(2)/25)*Calculateur!BL170*Calculateur!BN170*VLOOKUP('Données projet'!$B$11,Paramètres!$A$1:$I$89,3,0)*0.475*44/12</f>
        <v>0.32213153984977144</v>
      </c>
      <c r="BR170" s="21">
        <f>EXP(-LN(2)/2)*BR169+(1-EXP(-LN(2)/2))/(LN(2)/2)*BL170*BO170*VLOOKUP('Données projet'!$B$11,Paramètres!$A$1:$I$89,3,0)*0.475*44/12</f>
        <v>1.0771866844468088E-22</v>
      </c>
      <c r="BS170" s="22">
        <f t="shared" si="169"/>
        <v>8.5140237172624271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267</v>
      </c>
      <c r="BZ170" s="13">
        <f>BY170*VLOOKUP('Données projet'!$B$12,Paramètres!$A$1:$I$89,3,0)*VLOOKUP('Données projet'!$B$12,Paramètres!$A$1:$I$89,5,0)</f>
        <v>241.58159999999998</v>
      </c>
      <c r="CA170" s="13">
        <f t="shared" si="170"/>
        <v>58.779689232021951</v>
      </c>
      <c r="CB170" s="20">
        <f t="shared" si="171"/>
        <v>523.12924541243819</v>
      </c>
      <c r="CC170" s="59">
        <f t="shared" si="119"/>
        <v>816.46257874577145</v>
      </c>
      <c r="CD170" s="59">
        <f ca="1">AVERAGE(OFFSET($CC$3,0,0,'Données projet'!$E$12+1,1))-AVERAGE(OFFSET($H$3,0,0,'Données projet'!$E$12+1,1))</f>
        <v>216.16148211123436</v>
      </c>
      <c r="CE170" s="59">
        <f t="shared" si="148"/>
        <v>132.59131750490178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26.989783619427133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26.989783619427133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152.00639999999956</v>
      </c>
      <c r="D171" s="11">
        <f t="shared" si="140"/>
        <v>39.034194016561351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1474.6993222331018</v>
      </c>
      <c r="H171" s="66">
        <f t="shared" si="110"/>
        <v>626.0623679121768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763.00000000000057</v>
      </c>
      <c r="O171" s="13">
        <f>N171*VLOOKUP('Données projet'!$B$9,Paramètres!$A$1:$I$89,3,0)*VLOOKUP('Données projet'!$B$9,Paramètres!$A$1:$I$89,5,0)</f>
        <v>456.2740000000004</v>
      </c>
      <c r="P171" s="13">
        <f t="shared" si="141"/>
        <v>103.09649786611838</v>
      </c>
      <c r="Q171" s="20">
        <f t="shared" si="162"/>
        <v>974.23695045015677</v>
      </c>
      <c r="R171" s="59">
        <f t="shared" si="109"/>
        <v>1267.5702837834901</v>
      </c>
      <c r="S171" s="59">
        <f ca="1">AVERAGE(OFFSET($R$3,0,0,'Données projet'!$E$9+1,1))-AVERAGE(OFFSET($H$3,0,0,'Données projet'!$E$9+1,1))</f>
        <v>443.63756287217456</v>
      </c>
      <c r="T171" s="59">
        <f t="shared" si="142"/>
        <v>384.990641425788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18.627510126103722</v>
      </c>
      <c r="AA171" s="21">
        <f>EXP(-LN(2)/25)*AA170+(1-EXP(-LN(2)/25))/(LN(2)/25)*Calculateur!V171*Calculateur!X171*VLOOKUP('Données projet'!$B$9,Paramètres!$A$1:$I$89,3,0)*0.475*44/12</f>
        <v>1.425719469239032</v>
      </c>
      <c r="AB171" s="21">
        <f>EXP(-LN(2)/2)*AB170+(1-EXP(-LN(2)/2))/(LN(2)/2)*V171*Y171*VLOOKUP('Données projet'!$B$9,Paramètres!$A$1:$I$89,3,0)*0.475*44/12</f>
        <v>1.3306423749048834E-22</v>
      </c>
      <c r="AC171" s="22">
        <f t="shared" si="163"/>
        <v>20.053229595342753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137.97244371990928</v>
      </c>
      <c r="AO171" s="59">
        <f t="shared" si="144"/>
        <v>340.50331317844757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8.0312541683744527</v>
      </c>
      <c r="AV171" s="21">
        <f>EXP(-LN(2)/25)*AV170+(1-EXP(-LN(2)/25))/(LN(2)/25)*Calculateur!AQ171*Calculateur!AS171*VLOOKUP('Données projet'!$B$10,Paramètres!$A$1:$I$89,3,0)*0.475*44/12</f>
        <v>0.313322835952418</v>
      </c>
      <c r="AW171" s="21">
        <f>EXP(-LN(2)/2)*AW170+(1-EXP(-LN(2)/2))/(LN(2)/2)*AQ171*AT171*VLOOKUP('Données projet'!$B$10,Paramètres!$A$1:$I$89,3,0)*0.475*44/12</f>
        <v>7.6168600917619227E-23</v>
      </c>
      <c r="AX171" s="21">
        <f t="shared" si="166"/>
        <v>8.3445770043268706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137.97244371990928</v>
      </c>
      <c r="BJ171" s="59">
        <f t="shared" si="146"/>
        <v>340.50331317844757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8.0312541683744527</v>
      </c>
      <c r="BQ171" s="21">
        <f>EXP(-LN(2)/25)*BQ170+(1-EXP(-LN(2)/25))/(LN(2)/25)*Calculateur!BL171*Calculateur!BN171*VLOOKUP('Données projet'!$B$11,Paramètres!$A$1:$I$89,3,0)*0.475*44/12</f>
        <v>0.313322835952418</v>
      </c>
      <c r="BR171" s="21">
        <f>EXP(-LN(2)/2)*BR170+(1-EXP(-LN(2)/2))/(LN(2)/2)*BL171*BO171*VLOOKUP('Données projet'!$B$11,Paramètres!$A$1:$I$89,3,0)*0.475*44/12</f>
        <v>7.6168600917619227E-23</v>
      </c>
      <c r="BS171" s="22">
        <f t="shared" si="169"/>
        <v>8.3445770043268706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267</v>
      </c>
      <c r="BZ171" s="13">
        <f>BY171*VLOOKUP('Données projet'!$B$12,Paramètres!$A$1:$I$89,3,0)*VLOOKUP('Données projet'!$B$12,Paramètres!$A$1:$I$89,5,0)</f>
        <v>241.58159999999998</v>
      </c>
      <c r="CA171" s="13">
        <f t="shared" si="170"/>
        <v>58.779689232021951</v>
      </c>
      <c r="CB171" s="20">
        <f t="shared" si="171"/>
        <v>523.12924541243819</v>
      </c>
      <c r="CC171" s="59">
        <f t="shared" si="119"/>
        <v>816.46257874577145</v>
      </c>
      <c r="CD171" s="59">
        <f ca="1">AVERAGE(OFFSET($CC$3,0,0,'Données projet'!$E$12+1,1))-AVERAGE(OFFSET($H$3,0,0,'Données projet'!$E$12+1,1))</f>
        <v>216.16148211123436</v>
      </c>
      <c r="CE171" s="59">
        <f t="shared" si="148"/>
        <v>132.59131750490178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26.460530424792672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26.460530424792672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152.91119999999955</v>
      </c>
      <c r="D172" s="11">
        <f t="shared" si="140"/>
        <v>39.239424324197437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1483.2679772394156</v>
      </c>
      <c r="H172" s="66">
        <f t="shared" si="110"/>
        <v>627.99567069797638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763.00000000000057</v>
      </c>
      <c r="O172" s="13">
        <f>N172*VLOOKUP('Données projet'!$B$9,Paramètres!$A$1:$I$89,3,0)*VLOOKUP('Données projet'!$B$9,Paramètres!$A$1:$I$89,5,0)</f>
        <v>456.2740000000004</v>
      </c>
      <c r="P172" s="13">
        <f t="shared" si="141"/>
        <v>103.09649786611838</v>
      </c>
      <c r="Q172" s="20">
        <f t="shared" si="162"/>
        <v>974.23695045015677</v>
      </c>
      <c r="R172" s="59">
        <f t="shared" si="109"/>
        <v>1267.5702837834901</v>
      </c>
      <c r="S172" s="59">
        <f ca="1">AVERAGE(OFFSET($R$3,0,0,'Données projet'!$E$9+1,1))-AVERAGE(OFFSET($H$3,0,0,'Données projet'!$E$9+1,1))</f>
        <v>443.63756287217456</v>
      </c>
      <c r="T172" s="59">
        <f t="shared" si="142"/>
        <v>384.990641425788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18.262236014190133</v>
      </c>
      <c r="AA172" s="21">
        <f>EXP(-LN(2)/25)*AA171+(1-EXP(-LN(2)/25))/(LN(2)/25)*Calculateur!V172*Calculateur!X172*VLOOKUP('Données projet'!$B$9,Paramètres!$A$1:$I$89,3,0)*0.475*44/12</f>
        <v>1.3867330953773624</v>
      </c>
      <c r="AB172" s="21">
        <f>EXP(-LN(2)/2)*AB171+(1-EXP(-LN(2)/2))/(LN(2)/2)*V172*Y172*VLOOKUP('Données projet'!$B$9,Paramètres!$A$1:$I$89,3,0)*0.475*44/12</f>
        <v>9.4090624662941531E-23</v>
      </c>
      <c r="AC172" s="22">
        <f t="shared" si="163"/>
        <v>19.648969109567496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137.97244371990928</v>
      </c>
      <c r="AO172" s="59">
        <f t="shared" si="144"/>
        <v>340.50331317844757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7.8737661727139781</v>
      </c>
      <c r="AV172" s="21">
        <f>EXP(-LN(2)/25)*AV171+(1-EXP(-LN(2)/25))/(LN(2)/25)*Calculateur!AQ172*Calculateur!AS172*VLOOKUP('Données projet'!$B$10,Paramètres!$A$1:$I$89,3,0)*0.475*44/12</f>
        <v>0.30475500652636728</v>
      </c>
      <c r="AW172" s="21">
        <f>EXP(-LN(2)/2)*AW171+(1-EXP(-LN(2)/2))/(LN(2)/2)*AQ172*AT172*VLOOKUP('Données projet'!$B$10,Paramètres!$A$1:$I$89,3,0)*0.475*44/12</f>
        <v>5.3859334222340442E-23</v>
      </c>
      <c r="AX172" s="21">
        <f t="shared" si="166"/>
        <v>8.1785211792403452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137.97244371990928</v>
      </c>
      <c r="BJ172" s="59">
        <f t="shared" si="146"/>
        <v>340.50331317844757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7.8737661727139781</v>
      </c>
      <c r="BQ172" s="21">
        <f>EXP(-LN(2)/25)*BQ171+(1-EXP(-LN(2)/25))/(LN(2)/25)*Calculateur!BL172*Calculateur!BN172*VLOOKUP('Données projet'!$B$11,Paramètres!$A$1:$I$89,3,0)*0.475*44/12</f>
        <v>0.30475500652636728</v>
      </c>
      <c r="BR172" s="21">
        <f>EXP(-LN(2)/2)*BR171+(1-EXP(-LN(2)/2))/(LN(2)/2)*BL172*BO172*VLOOKUP('Données projet'!$B$11,Paramètres!$A$1:$I$89,3,0)*0.475*44/12</f>
        <v>5.3859334222340442E-23</v>
      </c>
      <c r="BS172" s="22">
        <f t="shared" si="169"/>
        <v>8.1785211792403452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267</v>
      </c>
      <c r="BZ172" s="13">
        <f>BY172*VLOOKUP('Données projet'!$B$12,Paramètres!$A$1:$I$89,3,0)*VLOOKUP('Données projet'!$B$12,Paramètres!$A$1:$I$89,5,0)</f>
        <v>241.58159999999998</v>
      </c>
      <c r="CA172" s="13">
        <f t="shared" si="170"/>
        <v>58.779689232021951</v>
      </c>
      <c r="CB172" s="20">
        <f t="shared" si="171"/>
        <v>523.12924541243819</v>
      </c>
      <c r="CC172" s="59">
        <f t="shared" si="119"/>
        <v>816.46257874577145</v>
      </c>
      <c r="CD172" s="59">
        <f ca="1">AVERAGE(OFFSET($CC$3,0,0,'Données projet'!$E$12+1,1))-AVERAGE(OFFSET($H$3,0,0,'Données projet'!$E$12+1,1))</f>
        <v>216.16148211123436</v>
      </c>
      <c r="CE172" s="59">
        <f t="shared" si="148"/>
        <v>132.59131750490178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25.941655562492421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25.941655562492421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153.81599999999955</v>
      </c>
      <c r="D173" s="11">
        <f t="shared" si="140"/>
        <v>39.444513325736956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1491.8355414618256</v>
      </c>
      <c r="H173" s="66">
        <f t="shared" si="110"/>
        <v>629.92872737565767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763.00000000000057</v>
      </c>
      <c r="O173" s="13">
        <f>N173*VLOOKUP('Données projet'!$B$9,Paramètres!$A$1:$I$89,3,0)*VLOOKUP('Données projet'!$B$9,Paramètres!$A$1:$I$89,5,0)</f>
        <v>456.2740000000004</v>
      </c>
      <c r="P173" s="13">
        <f t="shared" si="141"/>
        <v>103.09649786611838</v>
      </c>
      <c r="Q173" s="20">
        <f t="shared" si="162"/>
        <v>974.23695045015677</v>
      </c>
      <c r="R173" s="59">
        <f t="shared" si="109"/>
        <v>1267.5702837834901</v>
      </c>
      <c r="S173" s="59">
        <f ca="1">AVERAGE(OFFSET($R$3,0,0,'Données projet'!$E$9+1,1))-AVERAGE(OFFSET($H$3,0,0,'Données projet'!$E$9+1,1))</f>
        <v>443.63756287217456</v>
      </c>
      <c r="T173" s="59">
        <f t="shared" si="142"/>
        <v>384.990641425788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17.904124704815963</v>
      </c>
      <c r="AA173" s="21">
        <f>EXP(-LN(2)/25)*AA172+(1-EXP(-LN(2)/25))/(LN(2)/25)*Calculateur!V173*Calculateur!X173*VLOOKUP('Données projet'!$B$9,Paramètres!$A$1:$I$89,3,0)*0.475*44/12</f>
        <v>1.3488128059591444</v>
      </c>
      <c r="AB173" s="21">
        <f>EXP(-LN(2)/2)*AB172+(1-EXP(-LN(2)/2))/(LN(2)/2)*V173*Y173*VLOOKUP('Données projet'!$B$9,Paramètres!$A$1:$I$89,3,0)*0.475*44/12</f>
        <v>6.6532118745244168E-23</v>
      </c>
      <c r="AC173" s="22">
        <f t="shared" si="163"/>
        <v>19.252937510775109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137.97244371990928</v>
      </c>
      <c r="AO173" s="59">
        <f t="shared" si="144"/>
        <v>340.50331317844757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7.7193664205902124</v>
      </c>
      <c r="AV173" s="21">
        <f>EXP(-LN(2)/25)*AV172+(1-EXP(-LN(2)/25))/(LN(2)/25)*Calculateur!AQ173*Calculateur!AS173*VLOOKUP('Données projet'!$B$10,Paramètres!$A$1:$I$89,3,0)*0.475*44/12</f>
        <v>0.29642146484653448</v>
      </c>
      <c r="AW173" s="21">
        <f>EXP(-LN(2)/2)*AW172+(1-EXP(-LN(2)/2))/(LN(2)/2)*AQ173*AT173*VLOOKUP('Données projet'!$B$10,Paramètres!$A$1:$I$89,3,0)*0.475*44/12</f>
        <v>3.8084300458809614E-23</v>
      </c>
      <c r="AX173" s="21">
        <f t="shared" si="166"/>
        <v>8.0157878854367475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137.97244371990928</v>
      </c>
      <c r="BJ173" s="59">
        <f t="shared" si="146"/>
        <v>340.50331317844757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7.7193664205902124</v>
      </c>
      <c r="BQ173" s="21">
        <f>EXP(-LN(2)/25)*BQ172+(1-EXP(-LN(2)/25))/(LN(2)/25)*Calculateur!BL173*Calculateur!BN173*VLOOKUP('Données projet'!$B$11,Paramètres!$A$1:$I$89,3,0)*0.475*44/12</f>
        <v>0.29642146484653448</v>
      </c>
      <c r="BR173" s="21">
        <f>EXP(-LN(2)/2)*BR172+(1-EXP(-LN(2)/2))/(LN(2)/2)*BL173*BO173*VLOOKUP('Données projet'!$B$11,Paramètres!$A$1:$I$89,3,0)*0.475*44/12</f>
        <v>3.8084300458809614E-23</v>
      </c>
      <c r="BS173" s="22">
        <f t="shared" si="169"/>
        <v>8.0157878854367475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267</v>
      </c>
      <c r="BZ173" s="13">
        <f>BY173*VLOOKUP('Données projet'!$B$12,Paramètres!$A$1:$I$89,3,0)*VLOOKUP('Données projet'!$B$12,Paramètres!$A$1:$I$89,5,0)</f>
        <v>241.58159999999998</v>
      </c>
      <c r="CA173" s="13">
        <f t="shared" si="170"/>
        <v>58.779689232021951</v>
      </c>
      <c r="CB173" s="20">
        <f t="shared" si="171"/>
        <v>523.12924541243819</v>
      </c>
      <c r="CC173" s="59">
        <f t="shared" si="119"/>
        <v>816.46257874577145</v>
      </c>
      <c r="CD173" s="59">
        <f ca="1">AVERAGE(OFFSET($CC$3,0,0,'Données projet'!$E$12+1,1))-AVERAGE(OFFSET($H$3,0,0,'Données projet'!$E$12+1,1))</f>
        <v>216.16148211123436</v>
      </c>
      <c r="CE173" s="59">
        <f t="shared" si="148"/>
        <v>132.59131750490178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25.43295551975946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25.43295551975946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154.72079999999954</v>
      </c>
      <c r="D174" s="11">
        <f t="shared" si="140"/>
        <v>39.649461948838486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1500.4020220612058</v>
      </c>
      <c r="H174" s="66">
        <f t="shared" si="110"/>
        <v>631.86153956089288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763.00000000000057</v>
      </c>
      <c r="O174" s="13">
        <f>N174*VLOOKUP('Données projet'!$B$9,Paramètres!$A$1:$I$89,3,0)*VLOOKUP('Données projet'!$B$9,Paramètres!$A$1:$I$89,5,0)</f>
        <v>456.2740000000004</v>
      </c>
      <c r="P174" s="13">
        <f t="shared" si="141"/>
        <v>103.09649786611838</v>
      </c>
      <c r="Q174" s="20">
        <f t="shared" si="162"/>
        <v>974.23695045015677</v>
      </c>
      <c r="R174" s="59">
        <f t="shared" si="109"/>
        <v>1267.5702837834901</v>
      </c>
      <c r="S174" s="59">
        <f ca="1">AVERAGE(OFFSET($R$3,0,0,'Données projet'!$E$9+1,1))-AVERAGE(OFFSET($H$3,0,0,'Données projet'!$E$9+1,1))</f>
        <v>443.63756287217456</v>
      </c>
      <c r="T174" s="59">
        <f t="shared" si="142"/>
        <v>384.990641425788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17.553035739792289</v>
      </c>
      <c r="AA174" s="21">
        <f>EXP(-LN(2)/25)*AA173+(1-EXP(-LN(2)/25))/(LN(2)/25)*Calculateur!V174*Calculateur!X174*VLOOKUP('Données projet'!$B$9,Paramètres!$A$1:$I$89,3,0)*0.475*44/12</f>
        <v>1.3119294488492088</v>
      </c>
      <c r="AB174" s="21">
        <f>EXP(-LN(2)/2)*AB173+(1-EXP(-LN(2)/2))/(LN(2)/2)*V174*Y174*VLOOKUP('Données projet'!$B$9,Paramètres!$A$1:$I$89,3,0)*0.475*44/12</f>
        <v>4.7045312331470766E-23</v>
      </c>
      <c r="AC174" s="22">
        <f t="shared" si="163"/>
        <v>18.864965188641499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137.97244371990928</v>
      </c>
      <c r="AO174" s="59">
        <f t="shared" si="144"/>
        <v>340.50331317844757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7.5679943534310441</v>
      </c>
      <c r="AV174" s="21">
        <f>EXP(-LN(2)/25)*AV173+(1-EXP(-LN(2)/25))/(LN(2)/25)*Calculateur!AQ174*Calculateur!AS174*VLOOKUP('Données projet'!$B$10,Paramètres!$A$1:$I$89,3,0)*0.475*44/12</f>
        <v>0.28831580430217862</v>
      </c>
      <c r="AW174" s="21">
        <f>EXP(-LN(2)/2)*AW173+(1-EXP(-LN(2)/2))/(LN(2)/2)*AQ174*AT174*VLOOKUP('Données projet'!$B$10,Paramètres!$A$1:$I$89,3,0)*0.475*44/12</f>
        <v>2.6929667111170221E-23</v>
      </c>
      <c r="AX174" s="21">
        <f t="shared" si="166"/>
        <v>7.8563101577332226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137.97244371990928</v>
      </c>
      <c r="BJ174" s="59">
        <f t="shared" si="146"/>
        <v>340.50331317844757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7.5679943534310441</v>
      </c>
      <c r="BQ174" s="21">
        <f>EXP(-LN(2)/25)*BQ173+(1-EXP(-LN(2)/25))/(LN(2)/25)*Calculateur!BL174*Calculateur!BN174*VLOOKUP('Données projet'!$B$11,Paramètres!$A$1:$I$89,3,0)*0.475*44/12</f>
        <v>0.28831580430217862</v>
      </c>
      <c r="BR174" s="21">
        <f>EXP(-LN(2)/2)*BR173+(1-EXP(-LN(2)/2))/(LN(2)/2)*BL174*BO174*VLOOKUP('Données projet'!$B$11,Paramètres!$A$1:$I$89,3,0)*0.475*44/12</f>
        <v>2.6929667111170221E-23</v>
      </c>
      <c r="BS174" s="22">
        <f t="shared" si="169"/>
        <v>7.8563101577332226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267</v>
      </c>
      <c r="BZ174" s="13">
        <f>BY174*VLOOKUP('Données projet'!$B$12,Paramètres!$A$1:$I$89,3,0)*VLOOKUP('Données projet'!$B$12,Paramètres!$A$1:$I$89,5,0)</f>
        <v>241.58159999999998</v>
      </c>
      <c r="CA174" s="13">
        <f t="shared" si="170"/>
        <v>58.779689232021951</v>
      </c>
      <c r="CB174" s="20">
        <f t="shared" si="171"/>
        <v>523.12924541243819</v>
      </c>
      <c r="CC174" s="59">
        <f t="shared" si="119"/>
        <v>816.46257874577145</v>
      </c>
      <c r="CD174" s="59">
        <f ca="1">AVERAGE(OFFSET($CC$3,0,0,'Données projet'!$E$12+1,1))-AVERAGE(OFFSET($H$3,0,0,'Données projet'!$E$12+1,1))</f>
        <v>216.16148211123436</v>
      </c>
      <c r="CE174" s="59">
        <f t="shared" si="148"/>
        <v>132.59131750490178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24.934230774588105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24.934230774588105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155.62559999999954</v>
      </c>
      <c r="D175" s="11">
        <f t="shared" si="140"/>
        <v>39.854271109683012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1508.9674261098305</v>
      </c>
      <c r="H175" s="66">
        <f t="shared" si="110"/>
        <v>633.79410884936374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763.00000000000057</v>
      </c>
      <c r="O175" s="13">
        <f>N175*VLOOKUP('Données projet'!$B$9,Paramètres!$A$1:$I$89,3,0)*VLOOKUP('Données projet'!$B$9,Paramètres!$A$1:$I$89,5,0)</f>
        <v>456.2740000000004</v>
      </c>
      <c r="P175" s="13">
        <f t="shared" si="141"/>
        <v>103.09649786611838</v>
      </c>
      <c r="Q175" s="20">
        <f t="shared" si="162"/>
        <v>974.23695045015677</v>
      </c>
      <c r="R175" s="59">
        <f t="shared" si="109"/>
        <v>1267.5702837834901</v>
      </c>
      <c r="S175" s="59">
        <f ca="1">AVERAGE(OFFSET($R$3,0,0,'Données projet'!$E$9+1,1))-AVERAGE(OFFSET($H$3,0,0,'Données projet'!$E$9+1,1))</f>
        <v>443.63756287217456</v>
      </c>
      <c r="T175" s="59">
        <f t="shared" si="142"/>
        <v>384.990641425788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17.208831415229604</v>
      </c>
      <c r="AA175" s="21">
        <f>EXP(-LN(2)/25)*AA174+(1-EXP(-LN(2)/25))/(LN(2)/25)*Calculateur!V175*Calculateur!X175*VLOOKUP('Données projet'!$B$9,Paramètres!$A$1:$I$89,3,0)*0.475*44/12</f>
        <v>1.276054669079056</v>
      </c>
      <c r="AB175" s="21">
        <f>EXP(-LN(2)/2)*AB174+(1-EXP(-LN(2)/2))/(LN(2)/2)*V175*Y175*VLOOKUP('Données projet'!$B$9,Paramètres!$A$1:$I$89,3,0)*0.475*44/12</f>
        <v>3.3266059372622084E-23</v>
      </c>
      <c r="AC175" s="22">
        <f t="shared" si="163"/>
        <v>18.484886084308659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137.97244371990928</v>
      </c>
      <c r="AO175" s="59">
        <f t="shared" si="144"/>
        <v>340.50331317844757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7.4195906001810226</v>
      </c>
      <c r="AV175" s="21">
        <f>EXP(-LN(2)/25)*AV174+(1-EXP(-LN(2)/25))/(LN(2)/25)*Calculateur!AQ175*Calculateur!AS175*VLOOKUP('Données projet'!$B$10,Paramètres!$A$1:$I$89,3,0)*0.475*44/12</f>
        <v>0.28043179347166636</v>
      </c>
      <c r="AW175" s="21">
        <f>EXP(-LN(2)/2)*AW174+(1-EXP(-LN(2)/2))/(LN(2)/2)*AQ175*AT175*VLOOKUP('Données projet'!$B$10,Paramètres!$A$1:$I$89,3,0)*0.475*44/12</f>
        <v>1.9042150229404807E-23</v>
      </c>
      <c r="AX175" s="21">
        <f t="shared" si="166"/>
        <v>7.7000223936526888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137.97244371990928</v>
      </c>
      <c r="BJ175" s="59">
        <f t="shared" si="146"/>
        <v>340.50331317844757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7.4195906001810226</v>
      </c>
      <c r="BQ175" s="21">
        <f>EXP(-LN(2)/25)*BQ174+(1-EXP(-LN(2)/25))/(LN(2)/25)*Calculateur!BL175*Calculateur!BN175*VLOOKUP('Données projet'!$B$11,Paramètres!$A$1:$I$89,3,0)*0.475*44/12</f>
        <v>0.28043179347166636</v>
      </c>
      <c r="BR175" s="21">
        <f>EXP(-LN(2)/2)*BR174+(1-EXP(-LN(2)/2))/(LN(2)/2)*BL175*BO175*VLOOKUP('Données projet'!$B$11,Paramètres!$A$1:$I$89,3,0)*0.475*44/12</f>
        <v>1.9042150229404807E-23</v>
      </c>
      <c r="BS175" s="22">
        <f t="shared" si="169"/>
        <v>7.7000223936526888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267</v>
      </c>
      <c r="BZ175" s="13">
        <f>BY175*VLOOKUP('Données projet'!$B$12,Paramètres!$A$1:$I$89,3,0)*VLOOKUP('Données projet'!$B$12,Paramètres!$A$1:$I$89,5,0)</f>
        <v>241.58159999999998</v>
      </c>
      <c r="CA175" s="13">
        <f t="shared" si="170"/>
        <v>58.779689232021951</v>
      </c>
      <c r="CB175" s="20">
        <f t="shared" si="171"/>
        <v>523.12924541243819</v>
      </c>
      <c r="CC175" s="59">
        <f t="shared" si="119"/>
        <v>816.46257874577145</v>
      </c>
      <c r="CD175" s="59">
        <f ca="1">AVERAGE(OFFSET($CC$3,0,0,'Données projet'!$E$12+1,1))-AVERAGE(OFFSET($H$3,0,0,'Données projet'!$E$12+1,1))</f>
        <v>216.16148211123436</v>
      </c>
      <c r="CE175" s="59">
        <f t="shared" si="148"/>
        <v>132.59131750490178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24.445285717477503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24.445285717477503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156.53039999999953</v>
      </c>
      <c r="D176" s="11">
        <f t="shared" si="140"/>
        <v>40.058941713181895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1517.5317605929795</v>
      </c>
      <c r="H176" s="66">
        <f t="shared" si="110"/>
        <v>635.72643681712429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763.00000000000057</v>
      </c>
      <c r="O176" s="13">
        <f>N176*VLOOKUP('Données projet'!$B$9,Paramètres!$A$1:$I$89,3,0)*VLOOKUP('Données projet'!$B$9,Paramètres!$A$1:$I$89,5,0)</f>
        <v>456.2740000000004</v>
      </c>
      <c r="P176" s="13">
        <f t="shared" si="141"/>
        <v>103.09649786611838</v>
      </c>
      <c r="Q176" s="20">
        <f t="shared" si="162"/>
        <v>974.23695045015677</v>
      </c>
      <c r="R176" s="59">
        <f t="shared" si="109"/>
        <v>1267.5702837834901</v>
      </c>
      <c r="S176" s="59">
        <f ca="1">AVERAGE(OFFSET($R$3,0,0,'Données projet'!$E$9+1,1))-AVERAGE(OFFSET($H$3,0,0,'Données projet'!$E$9+1,1))</f>
        <v>443.63756287217456</v>
      </c>
      <c r="T176" s="59">
        <f t="shared" si="142"/>
        <v>384.990641425788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16.871376727527686</v>
      </c>
      <c r="AA176" s="21">
        <f>EXP(-LN(2)/25)*AA175+(1-EXP(-LN(2)/25))/(LN(2)/25)*Calculateur!V176*Calculateur!X176*VLOOKUP('Données projet'!$B$9,Paramètres!$A$1:$I$89,3,0)*0.475*44/12</f>
        <v>1.2411608870482906</v>
      </c>
      <c r="AB176" s="21">
        <f>EXP(-LN(2)/2)*AB175+(1-EXP(-LN(2)/2))/(LN(2)/2)*V176*Y176*VLOOKUP('Données projet'!$B$9,Paramètres!$A$1:$I$89,3,0)*0.475*44/12</f>
        <v>2.3522656165735383E-23</v>
      </c>
      <c r="AC176" s="22">
        <f t="shared" si="163"/>
        <v>18.112537614575977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137.97244371990928</v>
      </c>
      <c r="AO176" s="59">
        <f t="shared" si="144"/>
        <v>340.50331317844757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7.2740969540148823</v>
      </c>
      <c r="AV176" s="21">
        <f>EXP(-LN(2)/25)*AV175+(1-EXP(-LN(2)/25))/(LN(2)/25)*Calculateur!AQ176*Calculateur!AS176*VLOOKUP('Données projet'!$B$10,Paramètres!$A$1:$I$89,3,0)*0.475*44/12</f>
        <v>0.27276337133191658</v>
      </c>
      <c r="AW176" s="21">
        <f>EXP(-LN(2)/2)*AW175+(1-EXP(-LN(2)/2))/(LN(2)/2)*AQ176*AT176*VLOOKUP('Données projet'!$B$10,Paramètres!$A$1:$I$89,3,0)*0.475*44/12</f>
        <v>1.346483355558511E-23</v>
      </c>
      <c r="AX176" s="21">
        <f t="shared" si="166"/>
        <v>7.546860325346799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137.97244371990928</v>
      </c>
      <c r="BJ176" s="59">
        <f t="shared" si="146"/>
        <v>340.50331317844757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7.2740969540148823</v>
      </c>
      <c r="BQ176" s="21">
        <f>EXP(-LN(2)/25)*BQ175+(1-EXP(-LN(2)/25))/(LN(2)/25)*Calculateur!BL176*Calculateur!BN176*VLOOKUP('Données projet'!$B$11,Paramètres!$A$1:$I$89,3,0)*0.475*44/12</f>
        <v>0.27276337133191658</v>
      </c>
      <c r="BR176" s="21">
        <f>EXP(-LN(2)/2)*BR175+(1-EXP(-LN(2)/2))/(LN(2)/2)*BL176*BO176*VLOOKUP('Données projet'!$B$11,Paramètres!$A$1:$I$89,3,0)*0.475*44/12</f>
        <v>1.346483355558511E-23</v>
      </c>
      <c r="BS176" s="22">
        <f t="shared" si="169"/>
        <v>7.546860325346799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267</v>
      </c>
      <c r="BZ176" s="13">
        <f>BY176*VLOOKUP('Données projet'!$B$12,Paramètres!$A$1:$I$89,3,0)*VLOOKUP('Données projet'!$B$12,Paramètres!$A$1:$I$89,5,0)</f>
        <v>241.58159999999998</v>
      </c>
      <c r="CA176" s="13">
        <f t="shared" si="170"/>
        <v>58.779689232021951</v>
      </c>
      <c r="CB176" s="20">
        <f t="shared" si="171"/>
        <v>523.12924541243819</v>
      </c>
      <c r="CC176" s="59">
        <f t="shared" si="119"/>
        <v>816.46257874577145</v>
      </c>
      <c r="CD176" s="59">
        <f ca="1">AVERAGE(OFFSET($CC$3,0,0,'Données projet'!$E$12+1,1))-AVERAGE(OFFSET($H$3,0,0,'Données projet'!$E$12+1,1))</f>
        <v>216.16148211123436</v>
      </c>
      <c r="CE176" s="59">
        <f t="shared" si="148"/>
        <v>132.59131750490178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23.965928574709803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23.965928574709803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157.43519999999953</v>
      </c>
      <c r="D177" s="11">
        <f t="shared" si="140"/>
        <v>40.263474653179813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1526.0950324105072</v>
      </c>
      <c r="H177" s="66">
        <f t="shared" si="110"/>
        <v>637.65852502095402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763.00000000000057</v>
      </c>
      <c r="O177" s="13">
        <f>N177*VLOOKUP('Données projet'!$B$9,Paramètres!$A$1:$I$89,3,0)*VLOOKUP('Données projet'!$B$9,Paramètres!$A$1:$I$89,5,0)</f>
        <v>456.2740000000004</v>
      </c>
      <c r="P177" s="13">
        <f t="shared" si="141"/>
        <v>103.09649786611838</v>
      </c>
      <c r="Q177" s="20">
        <f t="shared" si="162"/>
        <v>974.23695045015677</v>
      </c>
      <c r="R177" s="59">
        <f t="shared" si="109"/>
        <v>1267.5702837834901</v>
      </c>
      <c r="S177" s="59">
        <f ca="1">AVERAGE(OFFSET($R$3,0,0,'Données projet'!$E$9+1,1))-AVERAGE(OFFSET($H$3,0,0,'Données projet'!$E$9+1,1))</f>
        <v>443.63756287217456</v>
      </c>
      <c r="T177" s="59">
        <f t="shared" si="142"/>
        <v>384.990641425788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16.540539320424568</v>
      </c>
      <c r="AA177" s="21">
        <f>EXP(-LN(2)/25)*AA176+(1-EXP(-LN(2)/25))/(LN(2)/25)*Calculateur!V177*Calculateur!X177*VLOOKUP('Données projet'!$B$9,Paramètres!$A$1:$I$89,3,0)*0.475*44/12</f>
        <v>1.2072212773221407</v>
      </c>
      <c r="AB177" s="21">
        <f>EXP(-LN(2)/2)*AB176+(1-EXP(-LN(2)/2))/(LN(2)/2)*V177*Y177*VLOOKUP('Données projet'!$B$9,Paramètres!$A$1:$I$89,3,0)*0.475*44/12</f>
        <v>1.6633029686311042E-23</v>
      </c>
      <c r="AC177" s="22">
        <f t="shared" si="163"/>
        <v>17.747760597746709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137.97244371990928</v>
      </c>
      <c r="AO177" s="59">
        <f t="shared" si="144"/>
        <v>340.50331317844757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7.1314563495076984</v>
      </c>
      <c r="AV177" s="21">
        <f>EXP(-LN(2)/25)*AV176+(1-EXP(-LN(2)/25))/(LN(2)/25)*Calculateur!AQ177*Calculateur!AS177*VLOOKUP('Données projet'!$B$10,Paramètres!$A$1:$I$89,3,0)*0.475*44/12</f>
        <v>0.26530464259884301</v>
      </c>
      <c r="AW177" s="21">
        <f>EXP(-LN(2)/2)*AW176+(1-EXP(-LN(2)/2))/(LN(2)/2)*AQ177*AT177*VLOOKUP('Données projet'!$B$10,Paramètres!$A$1:$I$89,3,0)*0.475*44/12</f>
        <v>9.5210751147024034E-24</v>
      </c>
      <c r="AX177" s="21">
        <f t="shared" si="166"/>
        <v>7.3967609921065414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137.97244371990928</v>
      </c>
      <c r="BJ177" s="59">
        <f t="shared" si="146"/>
        <v>340.50331317844757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7.1314563495076984</v>
      </c>
      <c r="BQ177" s="21">
        <f>EXP(-LN(2)/25)*BQ176+(1-EXP(-LN(2)/25))/(LN(2)/25)*Calculateur!BL177*Calculateur!BN177*VLOOKUP('Données projet'!$B$11,Paramètres!$A$1:$I$89,3,0)*0.475*44/12</f>
        <v>0.26530464259884301</v>
      </c>
      <c r="BR177" s="21">
        <f>EXP(-LN(2)/2)*BR176+(1-EXP(-LN(2)/2))/(LN(2)/2)*BL177*BO177*VLOOKUP('Données projet'!$B$11,Paramètres!$A$1:$I$89,3,0)*0.475*44/12</f>
        <v>9.5210751147024034E-24</v>
      </c>
      <c r="BS177" s="22">
        <f t="shared" si="169"/>
        <v>7.3967609921065414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267</v>
      </c>
      <c r="BZ177" s="13">
        <f>BY177*VLOOKUP('Données projet'!$B$12,Paramètres!$A$1:$I$89,3,0)*VLOOKUP('Données projet'!$B$12,Paramètres!$A$1:$I$89,5,0)</f>
        <v>241.58159999999998</v>
      </c>
      <c r="CA177" s="13">
        <f t="shared" si="170"/>
        <v>58.779689232021951</v>
      </c>
      <c r="CB177" s="20">
        <f t="shared" si="171"/>
        <v>523.12924541243819</v>
      </c>
      <c r="CC177" s="59">
        <f t="shared" si="119"/>
        <v>816.46257874577145</v>
      </c>
      <c r="CD177" s="59">
        <f ca="1">AVERAGE(OFFSET($CC$3,0,0,'Données projet'!$E$12+1,1))-AVERAGE(OFFSET($H$3,0,0,'Données projet'!$E$12+1,1))</f>
        <v>216.16148211123436</v>
      </c>
      <c r="CE177" s="59">
        <f t="shared" si="148"/>
        <v>132.59131750490178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23.49597133313279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23.49597133313279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158.33999999999952</v>
      </c>
      <c r="D178" s="11">
        <f t="shared" si="140"/>
        <v>40.467870812652677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1534.6572483783677</v>
      </c>
      <c r="H178" s="66">
        <f t="shared" si="110"/>
        <v>639.5903749987026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763.00000000000057</v>
      </c>
      <c r="O178" s="13">
        <f>N178*VLOOKUP('Données projet'!$B$9,Paramètres!$A$1:$I$89,3,0)*VLOOKUP('Données projet'!$B$9,Paramètres!$A$1:$I$89,5,0)</f>
        <v>456.2740000000004</v>
      </c>
      <c r="P178" s="13">
        <f t="shared" si="141"/>
        <v>103.09649786611838</v>
      </c>
      <c r="Q178" s="20">
        <f t="shared" si="162"/>
        <v>974.23695045015677</v>
      </c>
      <c r="R178" s="59">
        <f t="shared" si="109"/>
        <v>1267.5702837834901</v>
      </c>
      <c r="S178" s="59">
        <f ca="1">AVERAGE(OFFSET($R$3,0,0,'Données projet'!$E$9+1,1))-AVERAGE(OFFSET($H$3,0,0,'Données projet'!$E$9+1,1))</f>
        <v>443.63756287217456</v>
      </c>
      <c r="T178" s="59">
        <f t="shared" si="142"/>
        <v>384.990641425788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16.216189433083848</v>
      </c>
      <c r="AA178" s="21">
        <f>EXP(-LN(2)/25)*AA177+(1-EXP(-LN(2)/25))/(LN(2)/25)*Calculateur!V178*Calculateur!X178*VLOOKUP('Données projet'!$B$9,Paramètres!$A$1:$I$89,3,0)*0.475*44/12</f>
        <v>1.174209748008759</v>
      </c>
      <c r="AB178" s="21">
        <f>EXP(-LN(2)/2)*AB177+(1-EXP(-LN(2)/2))/(LN(2)/2)*V178*Y178*VLOOKUP('Données projet'!$B$9,Paramètres!$A$1:$I$89,3,0)*0.475*44/12</f>
        <v>1.1761328082867691E-23</v>
      </c>
      <c r="AC178" s="22">
        <f t="shared" si="163"/>
        <v>17.390399181092608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137.97244371990928</v>
      </c>
      <c r="AO178" s="59">
        <f t="shared" si="144"/>
        <v>340.50331317844757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6.9916128402527224</v>
      </c>
      <c r="AV178" s="21">
        <f>EXP(-LN(2)/25)*AV177+(1-EXP(-LN(2)/25))/(LN(2)/25)*Calculateur!AQ178*Calculateur!AS178*VLOOKUP('Données projet'!$B$10,Paramètres!$A$1:$I$89,3,0)*0.475*44/12</f>
        <v>0.25804987319521283</v>
      </c>
      <c r="AW178" s="21">
        <f>EXP(-LN(2)/2)*AW177+(1-EXP(-LN(2)/2))/(LN(2)/2)*AQ178*AT178*VLOOKUP('Données projet'!$B$10,Paramètres!$A$1:$I$89,3,0)*0.475*44/12</f>
        <v>6.7324167777925552E-24</v>
      </c>
      <c r="AX178" s="21">
        <f t="shared" si="166"/>
        <v>7.2496627134479352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137.97244371990928</v>
      </c>
      <c r="BJ178" s="59">
        <f t="shared" si="146"/>
        <v>340.50331317844757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6.9916128402527224</v>
      </c>
      <c r="BQ178" s="21">
        <f>EXP(-LN(2)/25)*BQ177+(1-EXP(-LN(2)/25))/(LN(2)/25)*Calculateur!BL178*Calculateur!BN178*VLOOKUP('Données projet'!$B$11,Paramètres!$A$1:$I$89,3,0)*0.475*44/12</f>
        <v>0.25804987319521283</v>
      </c>
      <c r="BR178" s="21">
        <f>EXP(-LN(2)/2)*BR177+(1-EXP(-LN(2)/2))/(LN(2)/2)*BL178*BO178*VLOOKUP('Données projet'!$B$11,Paramètres!$A$1:$I$89,3,0)*0.475*44/12</f>
        <v>6.7324167777925552E-24</v>
      </c>
      <c r="BS178" s="22">
        <f t="shared" si="169"/>
        <v>7.2496627134479352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267</v>
      </c>
      <c r="BZ178" s="13">
        <f>BY178*VLOOKUP('Données projet'!$B$12,Paramètres!$A$1:$I$89,3,0)*VLOOKUP('Données projet'!$B$12,Paramètres!$A$1:$I$89,5,0)</f>
        <v>241.58159999999998</v>
      </c>
      <c r="CA178" s="13">
        <f t="shared" si="170"/>
        <v>58.779689232021951</v>
      </c>
      <c r="CB178" s="20">
        <f t="shared" si="171"/>
        <v>523.12924541243819</v>
      </c>
      <c r="CC178" s="59">
        <f t="shared" si="119"/>
        <v>816.46257874577145</v>
      </c>
      <c r="CD178" s="59">
        <f ca="1">AVERAGE(OFFSET($CC$3,0,0,'Données projet'!$E$12+1,1))-AVERAGE(OFFSET($H$3,0,0,'Données projet'!$E$12+1,1))</f>
        <v>216.16148211123436</v>
      </c>
      <c r="CE178" s="59">
        <f t="shared" si="148"/>
        <v>132.59131750490178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23.035229666417489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23.035229666417489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159.24479999999951</v>
      </c>
      <c r="D179" s="11">
        <f t="shared" si="140"/>
        <v>40.67213106390161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1543.218415230114</v>
      </c>
      <c r="H179" s="66">
        <f t="shared" si="110"/>
        <v>641.52198826962774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763.00000000000057</v>
      </c>
      <c r="O179" s="13">
        <f>N179*VLOOKUP('Données projet'!$B$9,Paramètres!$A$1:$I$89,3,0)*VLOOKUP('Données projet'!$B$9,Paramètres!$A$1:$I$89,5,0)</f>
        <v>456.2740000000004</v>
      </c>
      <c r="P179" s="13">
        <f t="shared" si="141"/>
        <v>103.09649786611838</v>
      </c>
      <c r="Q179" s="20">
        <f t="shared" si="162"/>
        <v>974.23695045015677</v>
      </c>
      <c r="R179" s="59">
        <f t="shared" si="109"/>
        <v>1267.5702837834901</v>
      </c>
      <c r="S179" s="59">
        <f ca="1">AVERAGE(OFFSET($R$3,0,0,'Données projet'!$E$9+1,1))-AVERAGE(OFFSET($H$3,0,0,'Données projet'!$E$9+1,1))</f>
        <v>443.63756287217456</v>
      </c>
      <c r="T179" s="59">
        <f t="shared" si="142"/>
        <v>384.990641425788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15.898199849199983</v>
      </c>
      <c r="AA179" s="21">
        <f>EXP(-LN(2)/25)*AA178+(1-EXP(-LN(2)/25))/(LN(2)/25)*Calculateur!V179*Calculateur!X179*VLOOKUP('Données projet'!$B$9,Paramètres!$A$1:$I$89,3,0)*0.475*44/12</f>
        <v>1.1421009207004524</v>
      </c>
      <c r="AB179" s="21">
        <f>EXP(-LN(2)/2)*AB178+(1-EXP(-LN(2)/2))/(LN(2)/2)*V179*Y179*VLOOKUP('Données projet'!$B$9,Paramètres!$A$1:$I$89,3,0)*0.475*44/12</f>
        <v>8.316514843155521E-24</v>
      </c>
      <c r="AC179" s="22">
        <f t="shared" si="163"/>
        <v>17.040300769900437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137.97244371990928</v>
      </c>
      <c r="AO179" s="59">
        <f t="shared" si="144"/>
        <v>340.50331317844757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6.8545115769181182</v>
      </c>
      <c r="AV179" s="21">
        <f>EXP(-LN(2)/25)*AV178+(1-EXP(-LN(2)/25))/(LN(2)/25)*Calculateur!AQ179*Calculateur!AS179*VLOOKUP('Données projet'!$B$10,Paramètres!$A$1:$I$89,3,0)*0.475*44/12</f>
        <v>0.25099348584243669</v>
      </c>
      <c r="AW179" s="21">
        <f>EXP(-LN(2)/2)*AW178+(1-EXP(-LN(2)/2))/(LN(2)/2)*AQ179*AT179*VLOOKUP('Données projet'!$B$10,Paramètres!$A$1:$I$89,3,0)*0.475*44/12</f>
        <v>4.7605375573512017E-24</v>
      </c>
      <c r="AX179" s="21">
        <f t="shared" si="166"/>
        <v>7.1055050627605549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137.97244371990928</v>
      </c>
      <c r="BJ179" s="59">
        <f t="shared" si="146"/>
        <v>340.50331317844757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6.8545115769181182</v>
      </c>
      <c r="BQ179" s="21">
        <f>EXP(-LN(2)/25)*BQ178+(1-EXP(-LN(2)/25))/(LN(2)/25)*Calculateur!BL179*Calculateur!BN179*VLOOKUP('Données projet'!$B$11,Paramètres!$A$1:$I$89,3,0)*0.475*44/12</f>
        <v>0.25099348584243669</v>
      </c>
      <c r="BR179" s="21">
        <f>EXP(-LN(2)/2)*BR178+(1-EXP(-LN(2)/2))/(LN(2)/2)*BL179*BO179*VLOOKUP('Données projet'!$B$11,Paramètres!$A$1:$I$89,3,0)*0.475*44/12</f>
        <v>4.7605375573512017E-24</v>
      </c>
      <c r="BS179" s="22">
        <f t="shared" si="169"/>
        <v>7.1055050627605549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267</v>
      </c>
      <c r="BZ179" s="13">
        <f>BY179*VLOOKUP('Données projet'!$B$12,Paramètres!$A$1:$I$89,3,0)*VLOOKUP('Données projet'!$B$12,Paramètres!$A$1:$I$89,5,0)</f>
        <v>241.58159999999998</v>
      </c>
      <c r="CA179" s="13">
        <f t="shared" si="170"/>
        <v>58.779689232021951</v>
      </c>
      <c r="CB179" s="20">
        <f t="shared" si="171"/>
        <v>523.12924541243819</v>
      </c>
      <c r="CC179" s="59">
        <f t="shared" si="119"/>
        <v>816.46257874577145</v>
      </c>
      <c r="CD179" s="59">
        <f ca="1">AVERAGE(OFFSET($CC$3,0,0,'Données projet'!$E$12+1,1))-AVERAGE(OFFSET($H$3,0,0,'Données projet'!$E$12+1,1))</f>
        <v>216.16148211123436</v>
      </c>
      <c r="CE179" s="59">
        <f t="shared" si="148"/>
        <v>132.59131750490178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22.583522862761807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22.583522862761807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160.14959999999951</v>
      </c>
      <c r="D180" s="11">
        <f t="shared" si="140"/>
        <v>40.876256268741386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1551.7785396183508</v>
      </c>
      <c r="H180" s="66">
        <f t="shared" si="110"/>
        <v>643.45336633472368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763.00000000000057</v>
      </c>
      <c r="O180" s="13">
        <f>N180*VLOOKUP('Données projet'!$B$9,Paramètres!$A$1:$I$89,3,0)*VLOOKUP('Données projet'!$B$9,Paramètres!$A$1:$I$89,5,0)</f>
        <v>456.2740000000004</v>
      </c>
      <c r="P180" s="13">
        <f t="shared" si="141"/>
        <v>103.09649786611838</v>
      </c>
      <c r="Q180" s="20">
        <f t="shared" si="162"/>
        <v>974.23695045015677</v>
      </c>
      <c r="R180" s="59">
        <f t="shared" si="109"/>
        <v>1267.5702837834901</v>
      </c>
      <c r="S180" s="59">
        <f ca="1">AVERAGE(OFFSET($R$3,0,0,'Données projet'!$E$9+1,1))-AVERAGE(OFFSET($H$3,0,0,'Données projet'!$E$9+1,1))</f>
        <v>443.63756287217456</v>
      </c>
      <c r="T180" s="59">
        <f t="shared" si="142"/>
        <v>384.990641425788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15.586445847101587</v>
      </c>
      <c r="AA180" s="21">
        <f>EXP(-LN(2)/25)*AA179+(1-EXP(-LN(2)/25))/(LN(2)/25)*Calculateur!V180*Calculateur!X180*VLOOKUP('Données projet'!$B$9,Paramètres!$A$1:$I$89,3,0)*0.475*44/12</f>
        <v>1.1108701109634214</v>
      </c>
      <c r="AB180" s="21">
        <f>EXP(-LN(2)/2)*AB179+(1-EXP(-LN(2)/2))/(LN(2)/2)*V180*Y180*VLOOKUP('Données projet'!$B$9,Paramètres!$A$1:$I$89,3,0)*0.475*44/12</f>
        <v>5.8806640414338457E-24</v>
      </c>
      <c r="AC180" s="22">
        <f t="shared" si="163"/>
        <v>16.697315958065008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137.97244371990928</v>
      </c>
      <c r="AO180" s="59">
        <f t="shared" si="144"/>
        <v>340.50331317844757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6.7200987857339927</v>
      </c>
      <c r="AV180" s="21">
        <f>EXP(-LN(2)/25)*AV179+(1-EXP(-LN(2)/25))/(LN(2)/25)*Calculateur!AQ180*Calculateur!AS180*VLOOKUP('Données projet'!$B$10,Paramètres!$A$1:$I$89,3,0)*0.475*44/12</f>
        <v>0.24413005577290151</v>
      </c>
      <c r="AW180" s="21">
        <f>EXP(-LN(2)/2)*AW179+(1-EXP(-LN(2)/2))/(LN(2)/2)*AQ180*AT180*VLOOKUP('Données projet'!$B$10,Paramètres!$A$1:$I$89,3,0)*0.475*44/12</f>
        <v>3.3662083888962776E-24</v>
      </c>
      <c r="AX180" s="21">
        <f t="shared" si="166"/>
        <v>6.9642288415068938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137.97244371990928</v>
      </c>
      <c r="BJ180" s="59">
        <f t="shared" si="146"/>
        <v>340.50331317844757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6.7200987857339927</v>
      </c>
      <c r="BQ180" s="21">
        <f>EXP(-LN(2)/25)*BQ179+(1-EXP(-LN(2)/25))/(LN(2)/25)*Calculateur!BL180*Calculateur!BN180*VLOOKUP('Données projet'!$B$11,Paramètres!$A$1:$I$89,3,0)*0.475*44/12</f>
        <v>0.24413005577290151</v>
      </c>
      <c r="BR180" s="21">
        <f>EXP(-LN(2)/2)*BR179+(1-EXP(-LN(2)/2))/(LN(2)/2)*BL180*BO180*VLOOKUP('Données projet'!$B$11,Paramètres!$A$1:$I$89,3,0)*0.475*44/12</f>
        <v>3.3662083888962776E-24</v>
      </c>
      <c r="BS180" s="22">
        <f t="shared" si="169"/>
        <v>6.9642288415068938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267</v>
      </c>
      <c r="BZ180" s="13">
        <f>BY180*VLOOKUP('Données projet'!$B$12,Paramètres!$A$1:$I$89,3,0)*VLOOKUP('Données projet'!$B$12,Paramètres!$A$1:$I$89,5,0)</f>
        <v>241.58159999999998</v>
      </c>
      <c r="CA180" s="13">
        <f t="shared" si="170"/>
        <v>58.779689232021951</v>
      </c>
      <c r="CB180" s="20">
        <f t="shared" si="171"/>
        <v>523.12924541243819</v>
      </c>
      <c r="CC180" s="59">
        <f t="shared" si="119"/>
        <v>816.46257874577145</v>
      </c>
      <c r="CD180" s="59">
        <f ca="1">AVERAGE(OFFSET($CC$3,0,0,'Données projet'!$E$12+1,1))-AVERAGE(OFFSET($H$3,0,0,'Données projet'!$E$12+1,1))</f>
        <v>216.16148211123436</v>
      </c>
      <c r="CE180" s="59">
        <f t="shared" si="148"/>
        <v>132.59131750490178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22.140673754011868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22.140673754011868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161.0543999999995</v>
      </c>
      <c r="D181" s="11">
        <f t="shared" si="140"/>
        <v>41.080247278685384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1560.3376281161643</v>
      </c>
      <c r="H181" s="66">
        <f t="shared" si="110"/>
        <v>645.38451067704284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763.00000000000057</v>
      </c>
      <c r="O181" s="13">
        <f>N181*VLOOKUP('Données projet'!$B$9,Paramètres!$A$1:$I$89,3,0)*VLOOKUP('Données projet'!$B$9,Paramètres!$A$1:$I$89,5,0)</f>
        <v>456.2740000000004</v>
      </c>
      <c r="P181" s="13">
        <f t="shared" si="141"/>
        <v>103.09649786611838</v>
      </c>
      <c r="Q181" s="20">
        <f t="shared" si="162"/>
        <v>974.23695045015677</v>
      </c>
      <c r="R181" s="59">
        <f t="shared" si="109"/>
        <v>1267.5702837834901</v>
      </c>
      <c r="S181" s="59">
        <f ca="1">AVERAGE(OFFSET($R$3,0,0,'Données projet'!$E$9+1,1))-AVERAGE(OFFSET($H$3,0,0,'Données projet'!$E$9+1,1))</f>
        <v>443.63756287217456</v>
      </c>
      <c r="T181" s="59">
        <f t="shared" si="142"/>
        <v>384.990641425788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15.280805150833173</v>
      </c>
      <c r="AA181" s="21">
        <f>EXP(-LN(2)/25)*AA180+(1-EXP(-LN(2)/25))/(LN(2)/25)*Calculateur!V181*Calculateur!X181*VLOOKUP('Données projet'!$B$9,Paramètres!$A$1:$I$89,3,0)*0.475*44/12</f>
        <v>1.0804933093610063</v>
      </c>
      <c r="AB181" s="21">
        <f>EXP(-LN(2)/2)*AB180+(1-EXP(-LN(2)/2))/(LN(2)/2)*V181*Y181*VLOOKUP('Données projet'!$B$9,Paramètres!$A$1:$I$89,3,0)*0.475*44/12</f>
        <v>4.1582574215777605E-24</v>
      </c>
      <c r="AC181" s="22">
        <f t="shared" si="163"/>
        <v>16.361298460194178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137.97244371990928</v>
      </c>
      <c r="AO181" s="59">
        <f t="shared" si="144"/>
        <v>340.50331317844757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6.5883217474012801</v>
      </c>
      <c r="AV181" s="21">
        <f>EXP(-LN(2)/25)*AV180+(1-EXP(-LN(2)/25))/(LN(2)/25)*Calculateur!AQ181*Calculateur!AS181*VLOOKUP('Données projet'!$B$10,Paramètres!$A$1:$I$89,3,0)*0.475*44/12</f>
        <v>0.23745430655954985</v>
      </c>
      <c r="AW181" s="21">
        <f>EXP(-LN(2)/2)*AW180+(1-EXP(-LN(2)/2))/(LN(2)/2)*AQ181*AT181*VLOOKUP('Données projet'!$B$10,Paramètres!$A$1:$I$89,3,0)*0.475*44/12</f>
        <v>2.3802687786756008E-24</v>
      </c>
      <c r="AX181" s="21">
        <f t="shared" si="166"/>
        <v>6.8257760539608299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137.97244371990928</v>
      </c>
      <c r="BJ181" s="59">
        <f t="shared" si="146"/>
        <v>340.50331317844757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6.5883217474012801</v>
      </c>
      <c r="BQ181" s="21">
        <f>EXP(-LN(2)/25)*BQ180+(1-EXP(-LN(2)/25))/(LN(2)/25)*Calculateur!BL181*Calculateur!BN181*VLOOKUP('Données projet'!$B$11,Paramètres!$A$1:$I$89,3,0)*0.475*44/12</f>
        <v>0.23745430655954985</v>
      </c>
      <c r="BR181" s="21">
        <f>EXP(-LN(2)/2)*BR180+(1-EXP(-LN(2)/2))/(LN(2)/2)*BL181*BO181*VLOOKUP('Données projet'!$B$11,Paramètres!$A$1:$I$89,3,0)*0.475*44/12</f>
        <v>2.3802687786756008E-24</v>
      </c>
      <c r="BS181" s="22">
        <f t="shared" si="169"/>
        <v>6.8257760539608299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267</v>
      </c>
      <c r="BZ181" s="13">
        <f>BY181*VLOOKUP('Données projet'!$B$12,Paramètres!$A$1:$I$89,3,0)*VLOOKUP('Données projet'!$B$12,Paramètres!$A$1:$I$89,5,0)</f>
        <v>241.58159999999998</v>
      </c>
      <c r="CA181" s="13">
        <f t="shared" si="170"/>
        <v>58.779689232021951</v>
      </c>
      <c r="CB181" s="20">
        <f t="shared" si="171"/>
        <v>523.12924541243819</v>
      </c>
      <c r="CC181" s="59">
        <f t="shared" si="119"/>
        <v>816.46257874577145</v>
      </c>
      <c r="CD181" s="59">
        <f ca="1">AVERAGE(OFFSET($CC$3,0,0,'Données projet'!$E$12+1,1))-AVERAGE(OFFSET($H$3,0,0,'Données projet'!$E$12+1,1))</f>
        <v>216.16148211123436</v>
      </c>
      <c r="CE181" s="59">
        <f t="shared" si="148"/>
        <v>132.59131750490178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21.70650864617323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21.70650864617323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161.9591999999995</v>
      </c>
      <c r="D182" s="11">
        <f t="shared" si="140"/>
        <v>41.284104935125612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1568.8956872185097</v>
      </c>
      <c r="H182" s="66">
        <f t="shared" si="110"/>
        <v>647.31542276200946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763.00000000000057</v>
      </c>
      <c r="O182" s="13">
        <f>N182*VLOOKUP('Données projet'!$B$9,Paramètres!$A$1:$I$89,3,0)*VLOOKUP('Données projet'!$B$9,Paramètres!$A$1:$I$89,5,0)</f>
        <v>456.2740000000004</v>
      </c>
      <c r="P182" s="13">
        <f t="shared" si="141"/>
        <v>103.09649786611838</v>
      </c>
      <c r="Q182" s="20">
        <f t="shared" si="162"/>
        <v>974.23695045015677</v>
      </c>
      <c r="R182" s="59">
        <f t="shared" si="109"/>
        <v>1267.5702837834901</v>
      </c>
      <c r="S182" s="59">
        <f ca="1">AVERAGE(OFFSET($R$3,0,0,'Données projet'!$E$9+1,1))-AVERAGE(OFFSET($H$3,0,0,'Données projet'!$E$9+1,1))</f>
        <v>443.63756287217456</v>
      </c>
      <c r="T182" s="59">
        <f t="shared" si="142"/>
        <v>384.990641425788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14.981157882196166</v>
      </c>
      <c r="AA182" s="21">
        <f>EXP(-LN(2)/25)*AA181+(1-EXP(-LN(2)/25))/(LN(2)/25)*Calculateur!V182*Calculateur!X182*VLOOKUP('Données projet'!$B$9,Paramètres!$A$1:$I$89,3,0)*0.475*44/12</f>
        <v>1.050947162995856</v>
      </c>
      <c r="AB182" s="21">
        <f>EXP(-LN(2)/2)*AB181+(1-EXP(-LN(2)/2))/(LN(2)/2)*V182*Y182*VLOOKUP('Données projet'!$B$9,Paramètres!$A$1:$I$89,3,0)*0.475*44/12</f>
        <v>2.9403320207169228E-24</v>
      </c>
      <c r="AC182" s="22">
        <f t="shared" si="163"/>
        <v>16.032105045192022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137.97244371990928</v>
      </c>
      <c r="AO182" s="59">
        <f t="shared" si="144"/>
        <v>340.50331317844757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6.4591287764142153</v>
      </c>
      <c r="AV182" s="21">
        <f>EXP(-LN(2)/25)*AV181+(1-EXP(-LN(2)/25))/(LN(2)/25)*Calculateur!AQ182*Calculateur!AS182*VLOOKUP('Données projet'!$B$10,Paramètres!$A$1:$I$89,3,0)*0.475*44/12</f>
        <v>0.23096110605949968</v>
      </c>
      <c r="AW182" s="21">
        <f>EXP(-LN(2)/2)*AW181+(1-EXP(-LN(2)/2))/(LN(2)/2)*AQ182*AT182*VLOOKUP('Données projet'!$B$10,Paramètres!$A$1:$I$89,3,0)*0.475*44/12</f>
        <v>1.6831041944481388E-24</v>
      </c>
      <c r="AX182" s="21">
        <f t="shared" si="166"/>
        <v>6.6900898824737149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137.97244371990928</v>
      </c>
      <c r="BJ182" s="59">
        <f t="shared" si="146"/>
        <v>340.50331317844757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6.4591287764142153</v>
      </c>
      <c r="BQ182" s="21">
        <f>EXP(-LN(2)/25)*BQ181+(1-EXP(-LN(2)/25))/(LN(2)/25)*Calculateur!BL182*Calculateur!BN182*VLOOKUP('Données projet'!$B$11,Paramètres!$A$1:$I$89,3,0)*0.475*44/12</f>
        <v>0.23096110605949968</v>
      </c>
      <c r="BR182" s="21">
        <f>EXP(-LN(2)/2)*BR181+(1-EXP(-LN(2)/2))/(LN(2)/2)*BL182*BO182*VLOOKUP('Données projet'!$B$11,Paramètres!$A$1:$I$89,3,0)*0.475*44/12</f>
        <v>1.6831041944481388E-24</v>
      </c>
      <c r="BS182" s="22">
        <f t="shared" si="169"/>
        <v>6.6900898824737149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267</v>
      </c>
      <c r="BZ182" s="13">
        <f>BY182*VLOOKUP('Données projet'!$B$12,Paramètres!$A$1:$I$89,3,0)*VLOOKUP('Données projet'!$B$12,Paramètres!$A$1:$I$89,5,0)</f>
        <v>241.58159999999998</v>
      </c>
      <c r="CA182" s="13">
        <f t="shared" si="170"/>
        <v>58.779689232021951</v>
      </c>
      <c r="CB182" s="20">
        <f t="shared" si="171"/>
        <v>523.12924541243819</v>
      </c>
      <c r="CC182" s="59">
        <f t="shared" si="119"/>
        <v>816.46257874577145</v>
      </c>
      <c r="CD182" s="59">
        <f ca="1">AVERAGE(OFFSET($CC$3,0,0,'Données projet'!$E$12+1,1))-AVERAGE(OFFSET($H$3,0,0,'Données projet'!$E$12+1,1))</f>
        <v>216.16148211123436</v>
      </c>
      <c r="CE182" s="59">
        <f t="shared" si="148"/>
        <v>132.59131750490178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21.28085725128474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21.28085725128474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162.86399999999949</v>
      </c>
      <c r="D183" s="11">
        <f t="shared" si="140"/>
        <v>41.487830069509045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1577.4527233435747</v>
      </c>
      <c r="H183" s="66">
        <f t="shared" si="110"/>
        <v>649.24610403772726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763.00000000000057</v>
      </c>
      <c r="O183" s="13">
        <f>N183*VLOOKUP('Données projet'!$B$9,Paramètres!$A$1:$I$89,3,0)*VLOOKUP('Données projet'!$B$9,Paramètres!$A$1:$I$89,5,0)</f>
        <v>456.2740000000004</v>
      </c>
      <c r="P183" s="13">
        <f t="shared" si="141"/>
        <v>103.09649786611838</v>
      </c>
      <c r="Q183" s="20">
        <f t="shared" si="162"/>
        <v>974.23695045015677</v>
      </c>
      <c r="R183" s="59">
        <f t="shared" si="109"/>
        <v>1267.5702837834901</v>
      </c>
      <c r="S183" s="59">
        <f ca="1">AVERAGE(OFFSET($R$3,0,0,'Données projet'!$E$9+1,1))-AVERAGE(OFFSET($H$3,0,0,'Données projet'!$E$9+1,1))</f>
        <v>443.63756287217456</v>
      </c>
      <c r="T183" s="59">
        <f t="shared" si="142"/>
        <v>384.990641425788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14.687386513730344</v>
      </c>
      <c r="AA183" s="21">
        <f>EXP(-LN(2)/25)*AA182+(1-EXP(-LN(2)/25))/(LN(2)/25)*Calculateur!V183*Calculateur!X183*VLOOKUP('Données projet'!$B$9,Paramètres!$A$1:$I$89,3,0)*0.475*44/12</f>
        <v>1.0222089575568249</v>
      </c>
      <c r="AB183" s="21">
        <f>EXP(-LN(2)/2)*AB182+(1-EXP(-LN(2)/2))/(LN(2)/2)*V183*Y183*VLOOKUP('Données projet'!$B$9,Paramètres!$A$1:$I$89,3,0)*0.475*44/12</f>
        <v>2.0791287107888803E-24</v>
      </c>
      <c r="AC183" s="22">
        <f t="shared" si="163"/>
        <v>15.709595471287169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137.97244371990928</v>
      </c>
      <c r="AO183" s="59">
        <f t="shared" si="144"/>
        <v>340.50331317844757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6.3324692007882755</v>
      </c>
      <c r="AV183" s="21">
        <f>EXP(-LN(2)/25)*AV182+(1-EXP(-LN(2)/25))/(LN(2)/25)*Calculateur!AQ183*Calculateur!AS183*VLOOKUP('Données projet'!$B$10,Paramètres!$A$1:$I$89,3,0)*0.475*44/12</f>
        <v>0.22464546246858597</v>
      </c>
      <c r="AW183" s="21">
        <f>EXP(-LN(2)/2)*AW182+(1-EXP(-LN(2)/2))/(LN(2)/2)*AQ183*AT183*VLOOKUP('Données projet'!$B$10,Paramètres!$A$1:$I$89,3,0)*0.475*44/12</f>
        <v>1.1901343893378004E-24</v>
      </c>
      <c r="AX183" s="21">
        <f t="shared" si="166"/>
        <v>6.5571146632568613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137.97244371990928</v>
      </c>
      <c r="BJ183" s="59">
        <f t="shared" si="146"/>
        <v>340.50331317844757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6.3324692007882755</v>
      </c>
      <c r="BQ183" s="21">
        <f>EXP(-LN(2)/25)*BQ182+(1-EXP(-LN(2)/25))/(LN(2)/25)*Calculateur!BL183*Calculateur!BN183*VLOOKUP('Données projet'!$B$11,Paramètres!$A$1:$I$89,3,0)*0.475*44/12</f>
        <v>0.22464546246858597</v>
      </c>
      <c r="BR183" s="21">
        <f>EXP(-LN(2)/2)*BR182+(1-EXP(-LN(2)/2))/(LN(2)/2)*BL183*BO183*VLOOKUP('Données projet'!$B$11,Paramètres!$A$1:$I$89,3,0)*0.475*44/12</f>
        <v>1.1901343893378004E-24</v>
      </c>
      <c r="BS183" s="22">
        <f t="shared" si="169"/>
        <v>6.5571146632568613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267</v>
      </c>
      <c r="BZ183" s="13">
        <f>BY183*VLOOKUP('Données projet'!$B$12,Paramètres!$A$1:$I$89,3,0)*VLOOKUP('Données projet'!$B$12,Paramètres!$A$1:$I$89,5,0)</f>
        <v>241.58159999999998</v>
      </c>
      <c r="CA183" s="13">
        <f t="shared" si="170"/>
        <v>58.779689232021951</v>
      </c>
      <c r="CB183" s="20">
        <f t="shared" si="171"/>
        <v>523.12924541243819</v>
      </c>
      <c r="CC183" s="59">
        <f t="shared" si="119"/>
        <v>816.46257874577145</v>
      </c>
      <c r="CD183" s="59">
        <f ca="1">AVERAGE(OFFSET($CC$3,0,0,'Données projet'!$E$12+1,1))-AVERAGE(OFFSET($H$3,0,0,'Données projet'!$E$12+1,1))</f>
        <v>216.16148211123436</v>
      </c>
      <c r="CE183" s="59">
        <f t="shared" si="148"/>
        <v>132.59131750490178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20.863552620628298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20.863552620628298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163.76879999999949</v>
      </c>
      <c r="D184" s="11">
        <f t="shared" si="140"/>
        <v>41.691423503509697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1586.008742834106</v>
      </c>
      <c r="H184" s="66">
        <f t="shared" si="110"/>
        <v>651.17655593527843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763.00000000000057</v>
      </c>
      <c r="O184" s="13">
        <f>N184*VLOOKUP('Données projet'!$B$9,Paramètres!$A$1:$I$89,3,0)*VLOOKUP('Données projet'!$B$9,Paramètres!$A$1:$I$89,5,0)</f>
        <v>456.2740000000004</v>
      </c>
      <c r="P184" s="13">
        <f t="shared" si="141"/>
        <v>103.09649786611838</v>
      </c>
      <c r="Q184" s="20">
        <f t="shared" si="162"/>
        <v>974.23695045015677</v>
      </c>
      <c r="R184" s="59">
        <f t="shared" si="109"/>
        <v>1267.5702837834901</v>
      </c>
      <c r="S184" s="59">
        <f ca="1">AVERAGE(OFFSET($R$3,0,0,'Données projet'!$E$9+1,1))-AVERAGE(OFFSET($H$3,0,0,'Données projet'!$E$9+1,1))</f>
        <v>443.63756287217456</v>
      </c>
      <c r="T184" s="59">
        <f t="shared" si="142"/>
        <v>384.990641425788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14.399375822617294</v>
      </c>
      <c r="AA184" s="21">
        <f>EXP(-LN(2)/25)*AA183+(1-EXP(-LN(2)/25))/(LN(2)/25)*Calculateur!V184*Calculateur!X184*VLOOKUP('Données projet'!$B$9,Paramètres!$A$1:$I$89,3,0)*0.475*44/12</f>
        <v>0.99425659985680082</v>
      </c>
      <c r="AB184" s="21">
        <f>EXP(-LN(2)/2)*AB183+(1-EXP(-LN(2)/2))/(LN(2)/2)*V184*Y184*VLOOKUP('Données projet'!$B$9,Paramètres!$A$1:$I$89,3,0)*0.475*44/12</f>
        <v>1.4701660103584614E-24</v>
      </c>
      <c r="AC184" s="22">
        <f t="shared" si="163"/>
        <v>15.393632422474095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137.97244371990928</v>
      </c>
      <c r="AO184" s="59">
        <f t="shared" si="144"/>
        <v>340.50331317844757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6.2082933421856472</v>
      </c>
      <c r="AV184" s="21">
        <f>EXP(-LN(2)/25)*AV183+(1-EXP(-LN(2)/25))/(LN(2)/25)*Calculateur!AQ184*Calculateur!AS184*VLOOKUP('Données projet'!$B$10,Paramètres!$A$1:$I$89,3,0)*0.475*44/12</f>
        <v>0.21850252048379104</v>
      </c>
      <c r="AW184" s="21">
        <f>EXP(-LN(2)/2)*AW183+(1-EXP(-LN(2)/2))/(LN(2)/2)*AQ184*AT184*VLOOKUP('Données projet'!$B$10,Paramètres!$A$1:$I$89,3,0)*0.475*44/12</f>
        <v>8.415520972240694E-25</v>
      </c>
      <c r="AX184" s="21">
        <f t="shared" si="166"/>
        <v>6.4267958626694384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137.97244371990928</v>
      </c>
      <c r="BJ184" s="59">
        <f t="shared" si="146"/>
        <v>340.50331317844757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6.2082933421856472</v>
      </c>
      <c r="BQ184" s="21">
        <f>EXP(-LN(2)/25)*BQ183+(1-EXP(-LN(2)/25))/(LN(2)/25)*Calculateur!BL184*Calculateur!BN184*VLOOKUP('Données projet'!$B$11,Paramètres!$A$1:$I$89,3,0)*0.475*44/12</f>
        <v>0.21850252048379104</v>
      </c>
      <c r="BR184" s="21">
        <f>EXP(-LN(2)/2)*BR183+(1-EXP(-LN(2)/2))/(LN(2)/2)*BL184*BO184*VLOOKUP('Données projet'!$B$11,Paramètres!$A$1:$I$89,3,0)*0.475*44/12</f>
        <v>8.415520972240694E-25</v>
      </c>
      <c r="BS184" s="22">
        <f t="shared" si="169"/>
        <v>6.4267958626694384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267</v>
      </c>
      <c r="BZ184" s="13">
        <f>BY184*VLOOKUP('Données projet'!$B$12,Paramètres!$A$1:$I$89,3,0)*VLOOKUP('Données projet'!$B$12,Paramètres!$A$1:$I$89,5,0)</f>
        <v>241.58159999999998</v>
      </c>
      <c r="CA184" s="13">
        <f t="shared" si="170"/>
        <v>58.779689232021951</v>
      </c>
      <c r="CB184" s="20">
        <f t="shared" si="171"/>
        <v>523.12924541243819</v>
      </c>
      <c r="CC184" s="59">
        <f t="shared" si="119"/>
        <v>816.46257874577145</v>
      </c>
      <c r="CD184" s="59">
        <f ca="1">AVERAGE(OFFSET($CC$3,0,0,'Données projet'!$E$12+1,1))-AVERAGE(OFFSET($H$3,0,0,'Données projet'!$E$12+1,1))</f>
        <v>216.16148211123436</v>
      </c>
      <c r="CE184" s="59">
        <f t="shared" si="148"/>
        <v>132.59131750490178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20.454431079248334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20.454431079248334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164.67359999999948</v>
      </c>
      <c r="D185" s="11">
        <f t="shared" si="140"/>
        <v>41.894886049196913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1594.563751958709</v>
      </c>
      <c r="H185" s="66">
        <f t="shared" si="110"/>
        <v>653.10677986901692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763.00000000000057</v>
      </c>
      <c r="O185" s="13">
        <f>N185*VLOOKUP('Données projet'!$B$9,Paramètres!$A$1:$I$89,3,0)*VLOOKUP('Données projet'!$B$9,Paramètres!$A$1:$I$89,5,0)</f>
        <v>456.2740000000004</v>
      </c>
      <c r="P185" s="13">
        <f t="shared" si="141"/>
        <v>103.09649786611838</v>
      </c>
      <c r="Q185" s="20">
        <f t="shared" si="162"/>
        <v>974.23695045015677</v>
      </c>
      <c r="R185" s="59">
        <f t="shared" si="109"/>
        <v>1267.5702837834901</v>
      </c>
      <c r="S185" s="59">
        <f ca="1">AVERAGE(OFFSET($R$3,0,0,'Données projet'!$E$9+1,1))-AVERAGE(OFFSET($H$3,0,0,'Données projet'!$E$9+1,1))</f>
        <v>443.63756287217456</v>
      </c>
      <c r="T185" s="59">
        <f t="shared" si="142"/>
        <v>384.990641425788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14.117012845487796</v>
      </c>
      <c r="AA185" s="21">
        <f>EXP(-LN(2)/25)*AA184+(1-EXP(-LN(2)/25))/(LN(2)/25)*Calculateur!V185*Calculateur!X185*VLOOKUP('Données projet'!$B$9,Paramètres!$A$1:$I$89,3,0)*0.475*44/12</f>
        <v>0.96706860084803437</v>
      </c>
      <c r="AB185" s="21">
        <f>EXP(-LN(2)/2)*AB184+(1-EXP(-LN(2)/2))/(LN(2)/2)*V185*Y185*VLOOKUP('Données projet'!$B$9,Paramètres!$A$1:$I$89,3,0)*0.475*44/12</f>
        <v>1.0395643553944401E-24</v>
      </c>
      <c r="AC185" s="22">
        <f t="shared" si="163"/>
        <v>15.08408144633583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137.97244371990928</v>
      </c>
      <c r="AO185" s="59">
        <f t="shared" si="144"/>
        <v>340.50331317844757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6.0865524964304214</v>
      </c>
      <c r="AV185" s="21">
        <f>EXP(-LN(2)/25)*AV184+(1-EXP(-LN(2)/25))/(LN(2)/25)*Calculateur!AQ185*Calculateur!AS185*VLOOKUP('Données projet'!$B$10,Paramètres!$A$1:$I$89,3,0)*0.475*44/12</f>
        <v>0.21252755757061362</v>
      </c>
      <c r="AW185" s="21">
        <f>EXP(-LN(2)/2)*AW184+(1-EXP(-LN(2)/2))/(LN(2)/2)*AQ185*AT185*VLOOKUP('Données projet'!$B$10,Paramètres!$A$1:$I$89,3,0)*0.475*44/12</f>
        <v>5.9506719466890021E-25</v>
      </c>
      <c r="AX185" s="21">
        <f t="shared" si="166"/>
        <v>6.2990800540010348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137.97244371990928</v>
      </c>
      <c r="BJ185" s="59">
        <f t="shared" si="146"/>
        <v>340.50331317844757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6.0865524964304214</v>
      </c>
      <c r="BQ185" s="21">
        <f>EXP(-LN(2)/25)*BQ184+(1-EXP(-LN(2)/25))/(LN(2)/25)*Calculateur!BL185*Calculateur!BN185*VLOOKUP('Données projet'!$B$11,Paramètres!$A$1:$I$89,3,0)*0.475*44/12</f>
        <v>0.21252755757061362</v>
      </c>
      <c r="BR185" s="21">
        <f>EXP(-LN(2)/2)*BR184+(1-EXP(-LN(2)/2))/(LN(2)/2)*BL185*BO185*VLOOKUP('Données projet'!$B$11,Paramètres!$A$1:$I$89,3,0)*0.475*44/12</f>
        <v>5.9506719466890021E-25</v>
      </c>
      <c r="BS185" s="22">
        <f t="shared" si="169"/>
        <v>6.2990800540010348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267</v>
      </c>
      <c r="BZ185" s="13">
        <f>BY185*VLOOKUP('Données projet'!$B$12,Paramètres!$A$1:$I$89,3,0)*VLOOKUP('Données projet'!$B$12,Paramètres!$A$1:$I$89,5,0)</f>
        <v>241.58159999999998</v>
      </c>
      <c r="CA185" s="13">
        <f t="shared" si="170"/>
        <v>58.779689232021951</v>
      </c>
      <c r="CB185" s="20">
        <f t="shared" si="171"/>
        <v>523.12924541243819</v>
      </c>
      <c r="CC185" s="59">
        <f t="shared" si="119"/>
        <v>816.46257874577145</v>
      </c>
      <c r="CD185" s="59">
        <f ca="1">AVERAGE(OFFSET($CC$3,0,0,'Données projet'!$E$12+1,1))-AVERAGE(OFFSET($H$3,0,0,'Données projet'!$E$12+1,1))</f>
        <v>216.16148211123436</v>
      </c>
      <c r="CE185" s="59">
        <f t="shared" si="148"/>
        <v>132.59131750490178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20.053332161755332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20.053332161755332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165.57839999999948</v>
      </c>
      <c r="D186" s="11">
        <f t="shared" si="140"/>
        <v>42.098218509199548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1603.1177569131153</v>
      </c>
      <c r="H186" s="66">
        <f t="shared" si="110"/>
        <v>655.03677723685496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763.00000000000057</v>
      </c>
      <c r="O186" s="13">
        <f>N186*VLOOKUP('Données projet'!$B$9,Paramètres!$A$1:$I$89,3,0)*VLOOKUP('Données projet'!$B$9,Paramètres!$A$1:$I$89,5,0)</f>
        <v>456.2740000000004</v>
      </c>
      <c r="P186" s="13">
        <f t="shared" si="141"/>
        <v>103.09649786611838</v>
      </c>
      <c r="Q186" s="20">
        <f t="shared" si="162"/>
        <v>974.23695045015677</v>
      </c>
      <c r="R186" s="59">
        <f t="shared" si="109"/>
        <v>1267.5702837834901</v>
      </c>
      <c r="S186" s="59">
        <f ca="1">AVERAGE(OFFSET($R$3,0,0,'Données projet'!$E$9+1,1))-AVERAGE(OFFSET($H$3,0,0,'Données projet'!$E$9+1,1))</f>
        <v>443.63756287217456</v>
      </c>
      <c r="T186" s="59">
        <f t="shared" si="142"/>
        <v>384.990641425788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13.840186834115396</v>
      </c>
      <c r="AA186" s="21">
        <f>EXP(-LN(2)/25)*AA185+(1-EXP(-LN(2)/25))/(LN(2)/25)*Calculateur!V186*Calculateur!X186*VLOOKUP('Données projet'!$B$9,Paramètres!$A$1:$I$89,3,0)*0.475*44/12</f>
        <v>0.94062405910191738</v>
      </c>
      <c r="AB186" s="21">
        <f>EXP(-LN(2)/2)*AB185+(1-EXP(-LN(2)/2))/(LN(2)/2)*V186*Y186*VLOOKUP('Données projet'!$B$9,Paramètres!$A$1:$I$89,3,0)*0.475*44/12</f>
        <v>7.3508300517923071E-25</v>
      </c>
      <c r="AC186" s="22">
        <f t="shared" si="163"/>
        <v>14.780810893217314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137.97244371990928</v>
      </c>
      <c r="AO186" s="59">
        <f t="shared" si="144"/>
        <v>340.50331317844757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5.9671989144058717</v>
      </c>
      <c r="AV186" s="21">
        <f>EXP(-LN(2)/25)*AV185+(1-EXP(-LN(2)/25))/(LN(2)/25)*Calculateur!AQ186*Calculateur!AS186*VLOOKUP('Données projet'!$B$10,Paramètres!$A$1:$I$89,3,0)*0.475*44/12</f>
        <v>0.20671598033250668</v>
      </c>
      <c r="AW186" s="21">
        <f>EXP(-LN(2)/2)*AW185+(1-EXP(-LN(2)/2))/(LN(2)/2)*AQ186*AT186*VLOOKUP('Données projet'!$B$10,Paramètres!$A$1:$I$89,3,0)*0.475*44/12</f>
        <v>4.207760486120347E-25</v>
      </c>
      <c r="AX186" s="21">
        <f t="shared" si="166"/>
        <v>6.1739148947383784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137.97244371990928</v>
      </c>
      <c r="BJ186" s="59">
        <f t="shared" si="146"/>
        <v>340.50331317844757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5.9671989144058717</v>
      </c>
      <c r="BQ186" s="21">
        <f>EXP(-LN(2)/25)*BQ185+(1-EXP(-LN(2)/25))/(LN(2)/25)*Calculateur!BL186*Calculateur!BN186*VLOOKUP('Données projet'!$B$11,Paramètres!$A$1:$I$89,3,0)*0.475*44/12</f>
        <v>0.20671598033250668</v>
      </c>
      <c r="BR186" s="21">
        <f>EXP(-LN(2)/2)*BR185+(1-EXP(-LN(2)/2))/(LN(2)/2)*BL186*BO186*VLOOKUP('Données projet'!$B$11,Paramètres!$A$1:$I$89,3,0)*0.475*44/12</f>
        <v>4.207760486120347E-25</v>
      </c>
      <c r="BS186" s="22">
        <f t="shared" si="169"/>
        <v>6.1739148947383784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267</v>
      </c>
      <c r="BZ186" s="13">
        <f>BY186*VLOOKUP('Données projet'!$B$12,Paramètres!$A$1:$I$89,3,0)*VLOOKUP('Données projet'!$B$12,Paramètres!$A$1:$I$89,5,0)</f>
        <v>241.58159999999998</v>
      </c>
      <c r="CA186" s="13">
        <f t="shared" si="170"/>
        <v>58.779689232021951</v>
      </c>
      <c r="CB186" s="20">
        <f t="shared" si="171"/>
        <v>523.12924541243819</v>
      </c>
      <c r="CC186" s="59">
        <f t="shared" si="119"/>
        <v>816.46257874577145</v>
      </c>
      <c r="CD186" s="59">
        <f ca="1">AVERAGE(OFFSET($CC$3,0,0,'Données projet'!$E$12+1,1))-AVERAGE(OFFSET($H$3,0,0,'Données projet'!$E$12+1,1))</f>
        <v>216.16148211123436</v>
      </c>
      <c r="CE186" s="59">
        <f t="shared" si="148"/>
        <v>132.59131750490178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19.660098549388184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19.660098549388184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166.48319999999947</v>
      </c>
      <c r="D187" s="11">
        <f t="shared" si="140"/>
        <v>42.301421676867022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1611.6707638214257</v>
      </c>
      <c r="H187" s="66">
        <f t="shared" si="110"/>
        <v>656.96654942054238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763.00000000000057</v>
      </c>
      <c r="O187" s="13">
        <f>N187*VLOOKUP('Données projet'!$B$9,Paramètres!$A$1:$I$89,3,0)*VLOOKUP('Données projet'!$B$9,Paramètres!$A$1:$I$89,5,0)</f>
        <v>456.2740000000004</v>
      </c>
      <c r="P187" s="13">
        <f t="shared" si="141"/>
        <v>103.09649786611838</v>
      </c>
      <c r="Q187" s="20">
        <f t="shared" si="162"/>
        <v>974.23695045015677</v>
      </c>
      <c r="R187" s="59">
        <f t="shared" si="109"/>
        <v>1267.5702837834901</v>
      </c>
      <c r="S187" s="59">
        <f ca="1">AVERAGE(OFFSET($R$3,0,0,'Données projet'!$E$9+1,1))-AVERAGE(OFFSET($H$3,0,0,'Données projet'!$E$9+1,1))</f>
        <v>443.63756287217456</v>
      </c>
      <c r="T187" s="59">
        <f t="shared" si="142"/>
        <v>384.990641425788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13.568789211978816</v>
      </c>
      <c r="AA187" s="21">
        <f>EXP(-LN(2)/25)*AA186+(1-EXP(-LN(2)/25))/(LN(2)/25)*Calculateur!V187*Calculateur!X187*VLOOKUP('Données projet'!$B$9,Paramètres!$A$1:$I$89,3,0)*0.475*44/12</f>
        <v>0.91490264474050598</v>
      </c>
      <c r="AB187" s="21">
        <f>EXP(-LN(2)/2)*AB186+(1-EXP(-LN(2)/2))/(LN(2)/2)*V187*Y187*VLOOKUP('Données projet'!$B$9,Paramètres!$A$1:$I$89,3,0)*0.475*44/12</f>
        <v>5.1978217769722006E-25</v>
      </c>
      <c r="AC187" s="22">
        <f t="shared" si="163"/>
        <v>14.483691856719322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137.97244371990928</v>
      </c>
      <c r="AO187" s="59">
        <f t="shared" si="144"/>
        <v>340.50331317844757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5.8501857833263262</v>
      </c>
      <c r="AV187" s="21">
        <f>EXP(-LN(2)/25)*AV186+(1-EXP(-LN(2)/25))/(LN(2)/25)*Calculateur!AQ187*Calculateur!AS187*VLOOKUP('Données projet'!$B$10,Paramètres!$A$1:$I$89,3,0)*0.475*44/12</f>
        <v>0.20106332097959334</v>
      </c>
      <c r="AW187" s="21">
        <f>EXP(-LN(2)/2)*AW186+(1-EXP(-LN(2)/2))/(LN(2)/2)*AQ187*AT187*VLOOKUP('Données projet'!$B$10,Paramètres!$A$1:$I$89,3,0)*0.475*44/12</f>
        <v>2.9753359733445011E-25</v>
      </c>
      <c r="AX187" s="21">
        <f t="shared" si="166"/>
        <v>6.0512491043059198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137.97244371990928</v>
      </c>
      <c r="BJ187" s="59">
        <f t="shared" si="146"/>
        <v>340.50331317844757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5.8501857833263262</v>
      </c>
      <c r="BQ187" s="21">
        <f>EXP(-LN(2)/25)*BQ186+(1-EXP(-LN(2)/25))/(LN(2)/25)*Calculateur!BL187*Calculateur!BN187*VLOOKUP('Données projet'!$B$11,Paramètres!$A$1:$I$89,3,0)*0.475*44/12</f>
        <v>0.20106332097959334</v>
      </c>
      <c r="BR187" s="21">
        <f>EXP(-LN(2)/2)*BR186+(1-EXP(-LN(2)/2))/(LN(2)/2)*BL187*BO187*VLOOKUP('Données projet'!$B$11,Paramètres!$A$1:$I$89,3,0)*0.475*44/12</f>
        <v>2.9753359733445011E-25</v>
      </c>
      <c r="BS187" s="22">
        <f t="shared" si="169"/>
        <v>6.0512491043059198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267</v>
      </c>
      <c r="BZ187" s="13">
        <f>BY187*VLOOKUP('Données projet'!$B$12,Paramètres!$A$1:$I$89,3,0)*VLOOKUP('Données projet'!$B$12,Paramètres!$A$1:$I$89,5,0)</f>
        <v>241.58159999999998</v>
      </c>
      <c r="CA187" s="13">
        <f t="shared" si="170"/>
        <v>58.779689232021951</v>
      </c>
      <c r="CB187" s="20">
        <f t="shared" si="171"/>
        <v>523.12924541243819</v>
      </c>
      <c r="CC187" s="59">
        <f t="shared" si="119"/>
        <v>816.46257874577145</v>
      </c>
      <c r="CD187" s="59">
        <f ca="1">AVERAGE(OFFSET($CC$3,0,0,'Données projet'!$E$12+1,1))-AVERAGE(OFFSET($H$3,0,0,'Données projet'!$E$12+1,1))</f>
        <v>216.16148211123436</v>
      </c>
      <c r="CE187" s="59">
        <f t="shared" si="148"/>
        <v>132.59131750490178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19.274576008310738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19.274576008310738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167.38799999999947</v>
      </c>
      <c r="D188" s="11">
        <f t="shared" si="140"/>
        <v>42.504496336426151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1620.2227787373206</v>
      </c>
      <c r="H188" s="66">
        <f t="shared" si="110"/>
        <v>658.89609778594127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763.00000000000057</v>
      </c>
      <c r="O188" s="13">
        <f>N188*VLOOKUP('Données projet'!$B$9,Paramètres!$A$1:$I$89,3,0)*VLOOKUP('Données projet'!$B$9,Paramètres!$A$1:$I$89,5,0)</f>
        <v>456.2740000000004</v>
      </c>
      <c r="P188" s="13">
        <f t="shared" si="141"/>
        <v>103.09649786611838</v>
      </c>
      <c r="Q188" s="20">
        <f t="shared" si="162"/>
        <v>974.23695045015677</v>
      </c>
      <c r="R188" s="59">
        <f t="shared" si="109"/>
        <v>1267.5702837834901</v>
      </c>
      <c r="S188" s="59">
        <f ca="1">AVERAGE(OFFSET($R$3,0,0,'Données projet'!$E$9+1,1))-AVERAGE(OFFSET($H$3,0,0,'Données projet'!$E$9+1,1))</f>
        <v>443.63756287217456</v>
      </c>
      <c r="T188" s="59">
        <f t="shared" si="142"/>
        <v>384.990641425788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13.30271353167613</v>
      </c>
      <c r="AA188" s="21">
        <f>EXP(-LN(2)/25)*AA187+(1-EXP(-LN(2)/25))/(LN(2)/25)*Calculateur!V188*Calculateur!X188*VLOOKUP('Données projet'!$B$9,Paramètres!$A$1:$I$89,3,0)*0.475*44/12</f>
        <v>0.88988458380743785</v>
      </c>
      <c r="AB188" s="21">
        <f>EXP(-LN(2)/2)*AB187+(1-EXP(-LN(2)/2))/(LN(2)/2)*V188*Y188*VLOOKUP('Données projet'!$B$9,Paramètres!$A$1:$I$89,3,0)*0.475*44/12</f>
        <v>3.6754150258961536E-25</v>
      </c>
      <c r="AC188" s="22">
        <f t="shared" si="163"/>
        <v>14.192598115483568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137.97244371990928</v>
      </c>
      <c r="AO188" s="59">
        <f t="shared" si="144"/>
        <v>340.50331317844757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5.7354672083762885</v>
      </c>
      <c r="AV188" s="21">
        <f>EXP(-LN(2)/25)*AV187+(1-EXP(-LN(2)/25))/(LN(2)/25)*Calculateur!AQ188*Calculateur!AS188*VLOOKUP('Données projet'!$B$10,Paramètres!$A$1:$I$89,3,0)*0.475*44/12</f>
        <v>0.19556523389394584</v>
      </c>
      <c r="AW188" s="21">
        <f>EXP(-LN(2)/2)*AW187+(1-EXP(-LN(2)/2))/(LN(2)/2)*AQ188*AT188*VLOOKUP('Données projet'!$B$10,Paramètres!$A$1:$I$89,3,0)*0.475*44/12</f>
        <v>2.1038802430601735E-25</v>
      </c>
      <c r="AX188" s="21">
        <f t="shared" si="166"/>
        <v>5.9310324422702347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137.97244371990928</v>
      </c>
      <c r="BJ188" s="59">
        <f t="shared" si="146"/>
        <v>340.50331317844757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5.7354672083762885</v>
      </c>
      <c r="BQ188" s="21">
        <f>EXP(-LN(2)/25)*BQ187+(1-EXP(-LN(2)/25))/(LN(2)/25)*Calculateur!BL188*Calculateur!BN188*VLOOKUP('Données projet'!$B$11,Paramètres!$A$1:$I$89,3,0)*0.475*44/12</f>
        <v>0.19556523389394584</v>
      </c>
      <c r="BR188" s="21">
        <f>EXP(-LN(2)/2)*BR187+(1-EXP(-LN(2)/2))/(LN(2)/2)*BL188*BO188*VLOOKUP('Données projet'!$B$11,Paramètres!$A$1:$I$89,3,0)*0.475*44/12</f>
        <v>2.1038802430601735E-25</v>
      </c>
      <c r="BS188" s="22">
        <f t="shared" si="169"/>
        <v>5.9310324422702347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267</v>
      </c>
      <c r="BZ188" s="13">
        <f>BY188*VLOOKUP('Données projet'!$B$12,Paramètres!$A$1:$I$89,3,0)*VLOOKUP('Données projet'!$B$12,Paramètres!$A$1:$I$89,5,0)</f>
        <v>241.58159999999998</v>
      </c>
      <c r="CA188" s="13">
        <f t="shared" si="170"/>
        <v>58.779689232021951</v>
      </c>
      <c r="CB188" s="20">
        <f t="shared" si="171"/>
        <v>523.12924541243819</v>
      </c>
      <c r="CC188" s="59">
        <f t="shared" si="119"/>
        <v>816.46257874577145</v>
      </c>
      <c r="CD188" s="59">
        <f ca="1">AVERAGE(OFFSET($CC$3,0,0,'Données projet'!$E$12+1,1))-AVERAGE(OFFSET($H$3,0,0,'Données projet'!$E$12+1,1))</f>
        <v>216.16148211123436</v>
      </c>
      <c r="CE188" s="59">
        <f t="shared" si="148"/>
        <v>132.59131750490178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18.896613329118289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18.896613329118289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168.29279999999946</v>
      </c>
      <c r="D189" s="11">
        <f t="shared" si="140"/>
        <v>42.707443263134955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1628.7738076452481</v>
      </c>
      <c r="H189" s="66">
        <f t="shared" si="110"/>
        <v>660.82542368329246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763.00000000000057</v>
      </c>
      <c r="O189" s="13">
        <f>N189*VLOOKUP('Données projet'!$B$9,Paramètres!$A$1:$I$89,3,0)*VLOOKUP('Données projet'!$B$9,Paramètres!$A$1:$I$89,5,0)</f>
        <v>456.2740000000004</v>
      </c>
      <c r="P189" s="13">
        <f t="shared" si="141"/>
        <v>103.09649786611838</v>
      </c>
      <c r="Q189" s="20">
        <f t="shared" si="162"/>
        <v>974.23695045015677</v>
      </c>
      <c r="R189" s="59">
        <f t="shared" si="109"/>
        <v>1267.5702837834901</v>
      </c>
      <c r="S189" s="59">
        <f ca="1">AVERAGE(OFFSET($R$3,0,0,'Données projet'!$E$9+1,1))-AVERAGE(OFFSET($H$3,0,0,'Données projet'!$E$9+1,1))</f>
        <v>443.63756287217456</v>
      </c>
      <c r="T189" s="59">
        <f t="shared" si="142"/>
        <v>384.990641425788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13.041855433174039</v>
      </c>
      <c r="AA189" s="21">
        <f>EXP(-LN(2)/25)*AA188+(1-EXP(-LN(2)/25))/(LN(2)/25)*Calculateur!V189*Calculateur!X189*VLOOKUP('Données projet'!$B$9,Paramètres!$A$1:$I$89,3,0)*0.475*44/12</f>
        <v>0.86555064306622709</v>
      </c>
      <c r="AB189" s="21">
        <f>EXP(-LN(2)/2)*AB188+(1-EXP(-LN(2)/2))/(LN(2)/2)*V189*Y189*VLOOKUP('Données projet'!$B$9,Paramètres!$A$1:$I$89,3,0)*0.475*44/12</f>
        <v>2.5989108884861003E-25</v>
      </c>
      <c r="AC189" s="22">
        <f t="shared" si="163"/>
        <v>13.907406076240266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137.97244371990928</v>
      </c>
      <c r="AO189" s="59">
        <f t="shared" si="144"/>
        <v>340.50331317844757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5.6229981947095995</v>
      </c>
      <c r="AV189" s="21">
        <f>EXP(-LN(2)/25)*AV188+(1-EXP(-LN(2)/25))/(LN(2)/25)*Calculateur!AQ189*Calculateur!AS189*VLOOKUP('Données projet'!$B$10,Paramètres!$A$1:$I$89,3,0)*0.475*44/12</f>
        <v>0.1902174922887872</v>
      </c>
      <c r="AW189" s="21">
        <f>EXP(-LN(2)/2)*AW188+(1-EXP(-LN(2)/2))/(LN(2)/2)*AQ189*AT189*VLOOKUP('Données projet'!$B$10,Paramètres!$A$1:$I$89,3,0)*0.475*44/12</f>
        <v>1.4876679866722505E-25</v>
      </c>
      <c r="AX189" s="21">
        <f t="shared" si="166"/>
        <v>5.8132156869983866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137.97244371990928</v>
      </c>
      <c r="BJ189" s="59">
        <f t="shared" si="146"/>
        <v>340.50331317844757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5.6229981947095995</v>
      </c>
      <c r="BQ189" s="21">
        <f>EXP(-LN(2)/25)*BQ188+(1-EXP(-LN(2)/25))/(LN(2)/25)*Calculateur!BL189*Calculateur!BN189*VLOOKUP('Données projet'!$B$11,Paramètres!$A$1:$I$89,3,0)*0.475*44/12</f>
        <v>0.1902174922887872</v>
      </c>
      <c r="BR189" s="21">
        <f>EXP(-LN(2)/2)*BR188+(1-EXP(-LN(2)/2))/(LN(2)/2)*BL189*BO189*VLOOKUP('Données projet'!$B$11,Paramètres!$A$1:$I$89,3,0)*0.475*44/12</f>
        <v>1.4876679866722505E-25</v>
      </c>
      <c r="BS189" s="22">
        <f t="shared" si="169"/>
        <v>5.8132156869983866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267</v>
      </c>
      <c r="BZ189" s="13">
        <f>BY189*VLOOKUP('Données projet'!$B$12,Paramètres!$A$1:$I$89,3,0)*VLOOKUP('Données projet'!$B$12,Paramètres!$A$1:$I$89,5,0)</f>
        <v>241.58159999999998</v>
      </c>
      <c r="CA189" s="13">
        <f t="shared" si="170"/>
        <v>58.779689232021951</v>
      </c>
      <c r="CB189" s="20">
        <f t="shared" si="171"/>
        <v>523.12924541243819</v>
      </c>
      <c r="CC189" s="59">
        <f t="shared" si="119"/>
        <v>816.46257874577145</v>
      </c>
      <c r="CD189" s="59">
        <f ca="1">AVERAGE(OFFSET($CC$3,0,0,'Données projet'!$E$12+1,1))-AVERAGE(OFFSET($H$3,0,0,'Données projet'!$E$12+1,1))</f>
        <v>216.16148211123436</v>
      </c>
      <c r="CE189" s="59">
        <f t="shared" si="148"/>
        <v>132.59131750490178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18.526062267530332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18.526062267530332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169.19759999999945</v>
      </c>
      <c r="D190" s="11">
        <f t="shared" si="140"/>
        <v>42.910263223432771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1637.3238564615822</v>
      </c>
      <c r="H190" s="66">
        <f t="shared" si="110"/>
        <v>662.7545284474777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763.00000000000057</v>
      </c>
      <c r="O190" s="13">
        <f>N190*VLOOKUP('Données projet'!$B$9,Paramètres!$A$1:$I$89,3,0)*VLOOKUP('Données projet'!$B$9,Paramètres!$A$1:$I$89,5,0)</f>
        <v>456.2740000000004</v>
      </c>
      <c r="P190" s="13">
        <f t="shared" si="141"/>
        <v>103.09649786611838</v>
      </c>
      <c r="Q190" s="20">
        <f t="shared" si="162"/>
        <v>974.23695045015677</v>
      </c>
      <c r="R190" s="59">
        <f t="shared" si="109"/>
        <v>1267.5702837834901</v>
      </c>
      <c r="S190" s="59">
        <f ca="1">AVERAGE(OFFSET($R$3,0,0,'Données projet'!$E$9+1,1))-AVERAGE(OFFSET($H$3,0,0,'Données projet'!$E$9+1,1))</f>
        <v>443.63756287217456</v>
      </c>
      <c r="T190" s="59">
        <f t="shared" si="142"/>
        <v>384.990641425788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12.786112602875845</v>
      </c>
      <c r="AA190" s="21">
        <f>EXP(-LN(2)/25)*AA189+(1-EXP(-LN(2)/25))/(LN(2)/25)*Calculateur!V190*Calculateur!X190*VLOOKUP('Données projet'!$B$9,Paramètres!$A$1:$I$89,3,0)*0.475*44/12</f>
        <v>0.84188211521425105</v>
      </c>
      <c r="AB190" s="21">
        <f>EXP(-LN(2)/2)*AB189+(1-EXP(-LN(2)/2))/(LN(2)/2)*V190*Y190*VLOOKUP('Données projet'!$B$9,Paramètres!$A$1:$I$89,3,0)*0.475*44/12</f>
        <v>1.8377075129480768E-25</v>
      </c>
      <c r="AC190" s="22">
        <f t="shared" si="163"/>
        <v>13.627994718090095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137.97244371990928</v>
      </c>
      <c r="AO190" s="59">
        <f t="shared" si="144"/>
        <v>340.50331317844757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5.5127346298015896</v>
      </c>
      <c r="AV190" s="21">
        <f>EXP(-LN(2)/25)*AV189+(1-EXP(-LN(2)/25))/(LN(2)/25)*Calculateur!AQ190*Calculateur!AS190*VLOOKUP('Données projet'!$B$10,Paramètres!$A$1:$I$89,3,0)*0.475*44/12</f>
        <v>0.18501598495904714</v>
      </c>
      <c r="AW190" s="21">
        <f>EXP(-LN(2)/2)*AW189+(1-EXP(-LN(2)/2))/(LN(2)/2)*AQ190*AT190*VLOOKUP('Données projet'!$B$10,Paramètres!$A$1:$I$89,3,0)*0.475*44/12</f>
        <v>1.0519401215300867E-25</v>
      </c>
      <c r="AX190" s="21">
        <f t="shared" si="166"/>
        <v>5.6977506147606363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137.97244371990928</v>
      </c>
      <c r="BJ190" s="59">
        <f t="shared" si="146"/>
        <v>340.50331317844757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5.5127346298015896</v>
      </c>
      <c r="BQ190" s="21">
        <f>EXP(-LN(2)/25)*BQ189+(1-EXP(-LN(2)/25))/(LN(2)/25)*Calculateur!BL190*Calculateur!BN190*VLOOKUP('Données projet'!$B$11,Paramètres!$A$1:$I$89,3,0)*0.475*44/12</f>
        <v>0.18501598495904714</v>
      </c>
      <c r="BR190" s="21">
        <f>EXP(-LN(2)/2)*BR189+(1-EXP(-LN(2)/2))/(LN(2)/2)*BL190*BO190*VLOOKUP('Données projet'!$B$11,Paramètres!$A$1:$I$89,3,0)*0.475*44/12</f>
        <v>1.0519401215300867E-25</v>
      </c>
      <c r="BS190" s="22">
        <f t="shared" si="169"/>
        <v>5.6977506147606363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267</v>
      </c>
      <c r="BZ190" s="13">
        <f>BY190*VLOOKUP('Données projet'!$B$12,Paramètres!$A$1:$I$89,3,0)*VLOOKUP('Données projet'!$B$12,Paramètres!$A$1:$I$89,5,0)</f>
        <v>241.58159999999998</v>
      </c>
      <c r="CA190" s="13">
        <f t="shared" si="170"/>
        <v>58.779689232021951</v>
      </c>
      <c r="CB190" s="20">
        <f t="shared" si="171"/>
        <v>523.12924541243819</v>
      </c>
      <c r="CC190" s="59">
        <f t="shared" si="119"/>
        <v>816.46257874577145</v>
      </c>
      <c r="CD190" s="59">
        <f ca="1">AVERAGE(OFFSET($CC$3,0,0,'Données projet'!$E$12+1,1))-AVERAGE(OFFSET($H$3,0,0,'Données projet'!$E$12+1,1))</f>
        <v>216.16148211123436</v>
      </c>
      <c r="CE190" s="59">
        <f t="shared" si="148"/>
        <v>132.59131750490178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18.162777486246284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18.162777486246284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170.10239999999945</v>
      </c>
      <c r="D191" s="11">
        <f t="shared" si="140"/>
        <v>43.112956975087251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1645.8729310357569</v>
      </c>
      <c r="H191" s="66">
        <f t="shared" si="110"/>
        <v>664.68341339827589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763.00000000000057</v>
      </c>
      <c r="O191" s="13">
        <f>N191*VLOOKUP('Données projet'!$B$9,Paramètres!$A$1:$I$89,3,0)*VLOOKUP('Données projet'!$B$9,Paramètres!$A$1:$I$89,5,0)</f>
        <v>456.2740000000004</v>
      </c>
      <c r="P191" s="13">
        <f t="shared" si="141"/>
        <v>103.09649786611838</v>
      </c>
      <c r="Q191" s="20">
        <f t="shared" si="162"/>
        <v>974.23695045015677</v>
      </c>
      <c r="R191" s="59">
        <f t="shared" si="109"/>
        <v>1267.5702837834901</v>
      </c>
      <c r="S191" s="59">
        <f ca="1">AVERAGE(OFFSET($R$3,0,0,'Données projet'!$E$9+1,1))-AVERAGE(OFFSET($H$3,0,0,'Données projet'!$E$9+1,1))</f>
        <v>443.63756287217456</v>
      </c>
      <c r="T191" s="59">
        <f t="shared" si="142"/>
        <v>384.990641425788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12.535384733492073</v>
      </c>
      <c r="AA191" s="21">
        <f>EXP(-LN(2)/25)*AA190+(1-EXP(-LN(2)/25))/(LN(2)/25)*Calculateur!V191*Calculateur!X191*VLOOKUP('Données projet'!$B$9,Paramètres!$A$1:$I$89,3,0)*0.475*44/12</f>
        <v>0.81886080450106102</v>
      </c>
      <c r="AB191" s="21">
        <f>EXP(-LN(2)/2)*AB190+(1-EXP(-LN(2)/2))/(LN(2)/2)*V191*Y191*VLOOKUP('Données projet'!$B$9,Paramètres!$A$1:$I$89,3,0)*0.475*44/12</f>
        <v>1.2994554442430502E-25</v>
      </c>
      <c r="AC191" s="22">
        <f t="shared" si="163"/>
        <v>13.354245537993133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137.97244371990928</v>
      </c>
      <c r="AO191" s="59">
        <f t="shared" si="144"/>
        <v>340.50331317844757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5.4046332661472913</v>
      </c>
      <c r="AV191" s="21">
        <f>EXP(-LN(2)/25)*AV190+(1-EXP(-LN(2)/25))/(LN(2)/25)*Calculateur!AQ191*Calculateur!AS191*VLOOKUP('Données projet'!$B$10,Paramètres!$A$1:$I$89,3,0)*0.475*44/12</f>
        <v>0.17995671312077421</v>
      </c>
      <c r="AW191" s="21">
        <f>EXP(-LN(2)/2)*AW190+(1-EXP(-LN(2)/2))/(LN(2)/2)*AQ191*AT191*VLOOKUP('Données projet'!$B$10,Paramètres!$A$1:$I$89,3,0)*0.475*44/12</f>
        <v>7.4383399333612527E-26</v>
      </c>
      <c r="AX191" s="21">
        <f t="shared" si="166"/>
        <v>5.5845899792680651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137.97244371990928</v>
      </c>
      <c r="BJ191" s="59">
        <f t="shared" si="146"/>
        <v>340.50331317844757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5.4046332661472913</v>
      </c>
      <c r="BQ191" s="21">
        <f>EXP(-LN(2)/25)*BQ190+(1-EXP(-LN(2)/25))/(LN(2)/25)*Calculateur!BL191*Calculateur!BN191*VLOOKUP('Données projet'!$B$11,Paramètres!$A$1:$I$89,3,0)*0.475*44/12</f>
        <v>0.17995671312077421</v>
      </c>
      <c r="BR191" s="21">
        <f>EXP(-LN(2)/2)*BR190+(1-EXP(-LN(2)/2))/(LN(2)/2)*BL191*BO191*VLOOKUP('Données projet'!$B$11,Paramètres!$A$1:$I$89,3,0)*0.475*44/12</f>
        <v>7.4383399333612527E-26</v>
      </c>
      <c r="BS191" s="22">
        <f t="shared" si="169"/>
        <v>5.5845899792680651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267</v>
      </c>
      <c r="BZ191" s="13">
        <f>BY191*VLOOKUP('Données projet'!$B$12,Paramètres!$A$1:$I$89,3,0)*VLOOKUP('Données projet'!$B$12,Paramètres!$A$1:$I$89,5,0)</f>
        <v>241.58159999999998</v>
      </c>
      <c r="CA191" s="13">
        <f t="shared" si="170"/>
        <v>58.779689232021951</v>
      </c>
      <c r="CB191" s="20">
        <f t="shared" si="171"/>
        <v>523.12924541243819</v>
      </c>
      <c r="CC191" s="59">
        <f t="shared" si="119"/>
        <v>816.46257874577145</v>
      </c>
      <c r="CD191" s="59">
        <f ca="1">AVERAGE(OFFSET($CC$3,0,0,'Données projet'!$E$12+1,1))-AVERAGE(OFFSET($H$3,0,0,'Données projet'!$E$12+1,1))</f>
        <v>216.16148211123436</v>
      </c>
      <c r="CE191" s="59">
        <f t="shared" si="148"/>
        <v>132.59131750490178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17.806616497941381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17.806616497941381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171.00719999999944</v>
      </c>
      <c r="D192" s="11">
        <f t="shared" si="140"/>
        <v>43.315525267337939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1654.4210371513764</v>
      </c>
      <c r="H192" s="66">
        <f t="shared" si="110"/>
        <v>666.61207984061252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763.00000000000057</v>
      </c>
      <c r="O192" s="13">
        <f>N192*VLOOKUP('Données projet'!$B$9,Paramètres!$A$1:$I$89,3,0)*VLOOKUP('Données projet'!$B$9,Paramètres!$A$1:$I$89,5,0)</f>
        <v>456.2740000000004</v>
      </c>
      <c r="P192" s="13">
        <f t="shared" si="141"/>
        <v>103.09649786611838</v>
      </c>
      <c r="Q192" s="20">
        <f t="shared" si="162"/>
        <v>974.23695045015677</v>
      </c>
      <c r="R192" s="59">
        <f t="shared" si="109"/>
        <v>1267.5702837834901</v>
      </c>
      <c r="S192" s="59">
        <f ca="1">AVERAGE(OFFSET($R$3,0,0,'Données projet'!$E$9+1,1))-AVERAGE(OFFSET($H$3,0,0,'Données projet'!$E$9+1,1))</f>
        <v>443.63756287217456</v>
      </c>
      <c r="T192" s="59">
        <f t="shared" si="142"/>
        <v>384.990641425788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12.289573484698018</v>
      </c>
      <c r="AA192" s="21">
        <f>EXP(-LN(2)/25)*AA191+(1-EXP(-LN(2)/25))/(LN(2)/25)*Calculateur!V192*Calculateur!X192*VLOOKUP('Données projet'!$B$9,Paramètres!$A$1:$I$89,3,0)*0.475*44/12</f>
        <v>0.79646901273996129</v>
      </c>
      <c r="AB192" s="21">
        <f>EXP(-LN(2)/2)*AB191+(1-EXP(-LN(2)/2))/(LN(2)/2)*V192*Y192*VLOOKUP('Données projet'!$B$9,Paramètres!$A$1:$I$89,3,0)*0.475*44/12</f>
        <v>9.1885375647403839E-26</v>
      </c>
      <c r="AC192" s="22">
        <f t="shared" si="163"/>
        <v>13.08604249743798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137.97244371990928</v>
      </c>
      <c r="AO192" s="59">
        <f t="shared" si="144"/>
        <v>340.50331317844757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5.2986517042989325</v>
      </c>
      <c r="AV192" s="21">
        <f>EXP(-LN(2)/25)*AV191+(1-EXP(-LN(2)/25))/(LN(2)/25)*Calculateur!AQ192*Calculateur!AS192*VLOOKUP('Données projet'!$B$10,Paramètres!$A$1:$I$89,3,0)*0.475*44/12</f>
        <v>0.17503578733697439</v>
      </c>
      <c r="AW192" s="21">
        <f>EXP(-LN(2)/2)*AW191+(1-EXP(-LN(2)/2))/(LN(2)/2)*AQ192*AT192*VLOOKUP('Données projet'!$B$10,Paramètres!$A$1:$I$89,3,0)*0.475*44/12</f>
        <v>5.2597006076504337E-26</v>
      </c>
      <c r="AX192" s="21">
        <f t="shared" si="166"/>
        <v>5.4736874916359071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137.97244371990928</v>
      </c>
      <c r="BJ192" s="59">
        <f t="shared" si="146"/>
        <v>340.50331317844757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5.2986517042989325</v>
      </c>
      <c r="BQ192" s="21">
        <f>EXP(-LN(2)/25)*BQ191+(1-EXP(-LN(2)/25))/(LN(2)/25)*Calculateur!BL192*Calculateur!BN192*VLOOKUP('Données projet'!$B$11,Paramètres!$A$1:$I$89,3,0)*0.475*44/12</f>
        <v>0.17503578733697439</v>
      </c>
      <c r="BR192" s="21">
        <f>EXP(-LN(2)/2)*BR191+(1-EXP(-LN(2)/2))/(LN(2)/2)*BL192*BO192*VLOOKUP('Données projet'!$B$11,Paramètres!$A$1:$I$89,3,0)*0.475*44/12</f>
        <v>5.2597006076504337E-26</v>
      </c>
      <c r="BS192" s="22">
        <f t="shared" si="169"/>
        <v>5.4736874916359071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267</v>
      </c>
      <c r="BZ192" s="13">
        <f>BY192*VLOOKUP('Données projet'!$B$12,Paramètres!$A$1:$I$89,3,0)*VLOOKUP('Données projet'!$B$12,Paramètres!$A$1:$I$89,5,0)</f>
        <v>241.58159999999998</v>
      </c>
      <c r="CA192" s="13">
        <f t="shared" si="170"/>
        <v>58.779689232021951</v>
      </c>
      <c r="CB192" s="20">
        <f t="shared" si="171"/>
        <v>523.12924541243819</v>
      </c>
      <c r="CC192" s="59">
        <f t="shared" si="119"/>
        <v>816.46257874577145</v>
      </c>
      <c r="CD192" s="59">
        <f ca="1">AVERAGE(OFFSET($CC$3,0,0,'Données projet'!$E$12+1,1))-AVERAGE(OFFSET($H$3,0,0,'Données projet'!$E$12+1,1))</f>
        <v>216.16148211123436</v>
      </c>
      <c r="CE192" s="59">
        <f t="shared" si="148"/>
        <v>132.59131750490178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17.457439609380383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17.457439609380383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171.91199999999944</v>
      </c>
      <c r="D193" s="11">
        <f t="shared" si="140"/>
        <v>43.517968841037174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1662.9681805273001</v>
      </c>
      <c r="H193" s="66">
        <f t="shared" si="110"/>
        <v>668.54052906480536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763.00000000000057</v>
      </c>
      <c r="O193" s="13">
        <f>N193*VLOOKUP('Données projet'!$B$9,Paramètres!$A$1:$I$89,3,0)*VLOOKUP('Données projet'!$B$9,Paramètres!$A$1:$I$89,5,0)</f>
        <v>456.2740000000004</v>
      </c>
      <c r="P193" s="13">
        <f t="shared" si="141"/>
        <v>103.09649786611838</v>
      </c>
      <c r="Q193" s="20">
        <f t="shared" si="162"/>
        <v>974.23695045015677</v>
      </c>
      <c r="R193" s="59">
        <f t="shared" si="109"/>
        <v>1267.5702837834901</v>
      </c>
      <c r="S193" s="59">
        <f ca="1">AVERAGE(OFFSET($R$3,0,0,'Données projet'!$E$9+1,1))-AVERAGE(OFFSET($H$3,0,0,'Données projet'!$E$9+1,1))</f>
        <v>443.63756287217456</v>
      </c>
      <c r="T193" s="59">
        <f t="shared" si="142"/>
        <v>384.990641425788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12.048582444562756</v>
      </c>
      <c r="AA193" s="21">
        <f>EXP(-LN(2)/25)*AA192+(1-EXP(-LN(2)/25))/(LN(2)/25)*Calculateur!V193*Calculateur!X193*VLOOKUP('Données projet'!$B$9,Paramètres!$A$1:$I$89,3,0)*0.475*44/12</f>
        <v>0.77468952570210203</v>
      </c>
      <c r="AB193" s="21">
        <f>EXP(-LN(2)/2)*AB192+(1-EXP(-LN(2)/2))/(LN(2)/2)*V193*Y193*VLOOKUP('Données projet'!$B$9,Paramètres!$A$1:$I$89,3,0)*0.475*44/12</f>
        <v>6.4972772212152508E-26</v>
      </c>
      <c r="AC193" s="22">
        <f t="shared" si="163"/>
        <v>12.823271970264859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137.97244371990928</v>
      </c>
      <c r="AO193" s="59">
        <f t="shared" si="144"/>
        <v>340.50331317844757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5.1947483762360509</v>
      </c>
      <c r="AV193" s="21">
        <f>EXP(-LN(2)/25)*AV192+(1-EXP(-LN(2)/25))/(LN(2)/25)*Calculateur!AQ193*Calculateur!AS193*VLOOKUP('Données projet'!$B$10,Paramètres!$A$1:$I$89,3,0)*0.475*44/12</f>
        <v>0.17024942452751282</v>
      </c>
      <c r="AW193" s="21">
        <f>EXP(-LN(2)/2)*AW192+(1-EXP(-LN(2)/2))/(LN(2)/2)*AQ193*AT193*VLOOKUP('Données projet'!$B$10,Paramètres!$A$1:$I$89,3,0)*0.475*44/12</f>
        <v>3.7191699666806263E-26</v>
      </c>
      <c r="AX193" s="21">
        <f t="shared" si="166"/>
        <v>5.3649978007635637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137.97244371990928</v>
      </c>
      <c r="BJ193" s="59">
        <f t="shared" si="146"/>
        <v>340.50331317844757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5.1947483762360509</v>
      </c>
      <c r="BQ193" s="21">
        <f>EXP(-LN(2)/25)*BQ192+(1-EXP(-LN(2)/25))/(LN(2)/25)*Calculateur!BL193*Calculateur!BN193*VLOOKUP('Données projet'!$B$11,Paramètres!$A$1:$I$89,3,0)*0.475*44/12</f>
        <v>0.17024942452751282</v>
      </c>
      <c r="BR193" s="21">
        <f>EXP(-LN(2)/2)*BR192+(1-EXP(-LN(2)/2))/(LN(2)/2)*BL193*BO193*VLOOKUP('Données projet'!$B$11,Paramètres!$A$1:$I$89,3,0)*0.475*44/12</f>
        <v>3.7191699666806263E-26</v>
      </c>
      <c r="BS193" s="22">
        <f t="shared" si="169"/>
        <v>5.3649978007635637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267</v>
      </c>
      <c r="BZ193" s="13">
        <f>BY193*VLOOKUP('Données projet'!$B$12,Paramètres!$A$1:$I$89,3,0)*VLOOKUP('Données projet'!$B$12,Paramètres!$A$1:$I$89,5,0)</f>
        <v>241.58159999999998</v>
      </c>
      <c r="CA193" s="13">
        <f t="shared" si="170"/>
        <v>58.779689232021951</v>
      </c>
      <c r="CB193" s="20">
        <f t="shared" si="171"/>
        <v>523.12924541243819</v>
      </c>
      <c r="CC193" s="59">
        <f t="shared" si="119"/>
        <v>816.46257874577145</v>
      </c>
      <c r="CD193" s="59">
        <f ca="1">AVERAGE(OFFSET($CC$3,0,0,'Données projet'!$E$12+1,1))-AVERAGE(OFFSET($H$3,0,0,'Données projet'!$E$12+1,1))</f>
        <v>216.16148211123436</v>
      </c>
      <c r="CE193" s="59">
        <f t="shared" si="148"/>
        <v>132.59131750490178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17.115109866627193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17.115109866627193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172.81679999999943</v>
      </c>
      <c r="D194" s="11">
        <f t="shared" si="140"/>
        <v>43.720288428787171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1671.5143668187038</v>
      </c>
      <c r="H194" s="66">
        <f t="shared" si="110"/>
        <v>670.46876234680326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763.00000000000057</v>
      </c>
      <c r="O194" s="13">
        <f>N194*VLOOKUP('Données projet'!$B$9,Paramètres!$A$1:$I$89,3,0)*VLOOKUP('Données projet'!$B$9,Paramètres!$A$1:$I$89,5,0)</f>
        <v>456.2740000000004</v>
      </c>
      <c r="P194" s="13">
        <f t="shared" si="141"/>
        <v>103.09649786611838</v>
      </c>
      <c r="Q194" s="20">
        <f t="shared" si="162"/>
        <v>974.23695045015677</v>
      </c>
      <c r="R194" s="59">
        <f t="shared" si="109"/>
        <v>1267.5702837834901</v>
      </c>
      <c r="S194" s="59">
        <f ca="1">AVERAGE(OFFSET($R$3,0,0,'Données projet'!$E$9+1,1))-AVERAGE(OFFSET($H$3,0,0,'Données projet'!$E$9+1,1))</f>
        <v>443.63756287217456</v>
      </c>
      <c r="T194" s="59">
        <f t="shared" si="142"/>
        <v>384.990641425788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11.812317091734528</v>
      </c>
      <c r="AA194" s="21">
        <f>EXP(-LN(2)/25)*AA193+(1-EXP(-LN(2)/25))/(LN(2)/25)*Calculateur!V194*Calculateur!X194*VLOOKUP('Données projet'!$B$9,Paramètres!$A$1:$I$89,3,0)*0.475*44/12</f>
        <v>0.75350559988262644</v>
      </c>
      <c r="AB194" s="21">
        <f>EXP(-LN(2)/2)*AB193+(1-EXP(-LN(2)/2))/(LN(2)/2)*V194*Y194*VLOOKUP('Données projet'!$B$9,Paramètres!$A$1:$I$89,3,0)*0.475*44/12</f>
        <v>4.5942687823701919E-26</v>
      </c>
      <c r="AC194" s="22">
        <f t="shared" si="163"/>
        <v>12.565822691617154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137.97244371990928</v>
      </c>
      <c r="AO194" s="59">
        <f t="shared" si="144"/>
        <v>340.50331317844757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5.0928825290617095</v>
      </c>
      <c r="AV194" s="21">
        <f>EXP(-LN(2)/25)*AV193+(1-EXP(-LN(2)/25))/(LN(2)/25)*Calculateur!AQ194*Calculateur!AS194*VLOOKUP('Données projet'!$B$10,Paramètres!$A$1:$I$89,3,0)*0.475*44/12</f>
        <v>0.16559394506077985</v>
      </c>
      <c r="AW194" s="21">
        <f>EXP(-LN(2)/2)*AW193+(1-EXP(-LN(2)/2))/(LN(2)/2)*AQ194*AT194*VLOOKUP('Données projet'!$B$10,Paramètres!$A$1:$I$89,3,0)*0.475*44/12</f>
        <v>2.6298503038252169E-26</v>
      </c>
      <c r="AX194" s="21">
        <f t="shared" si="166"/>
        <v>5.2584764741224896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137.97244371990928</v>
      </c>
      <c r="BJ194" s="59">
        <f t="shared" si="146"/>
        <v>340.50331317844757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5.0928825290617095</v>
      </c>
      <c r="BQ194" s="21">
        <f>EXP(-LN(2)/25)*BQ193+(1-EXP(-LN(2)/25))/(LN(2)/25)*Calculateur!BL194*Calculateur!BN194*VLOOKUP('Données projet'!$B$11,Paramètres!$A$1:$I$89,3,0)*0.475*44/12</f>
        <v>0.16559394506077985</v>
      </c>
      <c r="BR194" s="21">
        <f>EXP(-LN(2)/2)*BR193+(1-EXP(-LN(2)/2))/(LN(2)/2)*BL194*BO194*VLOOKUP('Données projet'!$B$11,Paramètres!$A$1:$I$89,3,0)*0.475*44/12</f>
        <v>2.6298503038252169E-26</v>
      </c>
      <c r="BS194" s="22">
        <f t="shared" si="169"/>
        <v>5.2584764741224896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267</v>
      </c>
      <c r="BZ194" s="13">
        <f>BY194*VLOOKUP('Données projet'!$B$12,Paramètres!$A$1:$I$89,3,0)*VLOOKUP('Données projet'!$B$12,Paramètres!$A$1:$I$89,5,0)</f>
        <v>241.58159999999998</v>
      </c>
      <c r="CA194" s="13">
        <f t="shared" si="170"/>
        <v>58.779689232021951</v>
      </c>
      <c r="CB194" s="20">
        <f t="shared" si="171"/>
        <v>523.12924541243819</v>
      </c>
      <c r="CC194" s="59">
        <f t="shared" si="119"/>
        <v>816.46257874577145</v>
      </c>
      <c r="CD194" s="59">
        <f ca="1">AVERAGE(OFFSET($CC$3,0,0,'Données projet'!$E$12+1,1))-AVERAGE(OFFSET($H$3,0,0,'Données projet'!$E$12+1,1))</f>
        <v>216.16148211123436</v>
      </c>
      <c r="CE194" s="59">
        <f t="shared" si="148"/>
        <v>132.59131750490178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16.77949300132887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16.77949300132887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173.72159999999943</v>
      </c>
      <c r="D195" s="11">
        <f t="shared" si="140"/>
        <v>43.92248475507499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1680.0596016181182</v>
      </c>
      <c r="H195" s="66">
        <f t="shared" si="110"/>
        <v>672.39678094842111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763.00000000000057</v>
      </c>
      <c r="O195" s="13">
        <f>N195*VLOOKUP('Données projet'!$B$9,Paramètres!$A$1:$I$89,3,0)*VLOOKUP('Données projet'!$B$9,Paramètres!$A$1:$I$89,5,0)</f>
        <v>456.2740000000004</v>
      </c>
      <c r="P195" s="13">
        <f t="shared" si="141"/>
        <v>103.09649786611838</v>
      </c>
      <c r="Q195" s="20">
        <f t="shared" si="162"/>
        <v>974.23695045015677</v>
      </c>
      <c r="R195" s="59">
        <f t="shared" ref="R195:R203" si="191">Q195+(I195+J195)*44/12</f>
        <v>1267.5702837834901</v>
      </c>
      <c r="S195" s="59">
        <f ca="1">AVERAGE(OFFSET($R$3,0,0,'Données projet'!$E$9+1,1))-AVERAGE(OFFSET($H$3,0,0,'Données projet'!$E$9+1,1))</f>
        <v>443.63756287217456</v>
      </c>
      <c r="T195" s="59">
        <f t="shared" si="142"/>
        <v>384.990641425788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11.580684758367624</v>
      </c>
      <c r="AA195" s="21">
        <f>EXP(-LN(2)/25)*AA194+(1-EXP(-LN(2)/25))/(LN(2)/25)*Calculateur!V195*Calculateur!X195*VLOOKUP('Données projet'!$B$9,Paramètres!$A$1:$I$89,3,0)*0.475*44/12</f>
        <v>0.73290094962869867</v>
      </c>
      <c r="AB195" s="21">
        <f>EXP(-LN(2)/2)*AB194+(1-EXP(-LN(2)/2))/(LN(2)/2)*V195*Y195*VLOOKUP('Données projet'!$B$9,Paramètres!$A$1:$I$89,3,0)*0.475*44/12</f>
        <v>3.2486386106076254E-26</v>
      </c>
      <c r="AC195" s="22">
        <f t="shared" si="163"/>
        <v>12.313585707996323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137.97244371990928</v>
      </c>
      <c r="AO195" s="59">
        <f t="shared" si="144"/>
        <v>340.50331317844757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4.9930142090184253</v>
      </c>
      <c r="AV195" s="21">
        <f>EXP(-LN(2)/25)*AV194+(1-EXP(-LN(2)/25))/(LN(2)/25)*Calculateur!AQ195*Calculateur!AS195*VLOOKUP('Données projet'!$B$10,Paramètres!$A$1:$I$89,3,0)*0.475*44/12</f>
        <v>0.16106576992488572</v>
      </c>
      <c r="AW195" s="21">
        <f>EXP(-LN(2)/2)*AW194+(1-EXP(-LN(2)/2))/(LN(2)/2)*AQ195*AT195*VLOOKUP('Données projet'!$B$10,Paramètres!$A$1:$I$89,3,0)*0.475*44/12</f>
        <v>1.8595849833403132E-26</v>
      </c>
      <c r="AX195" s="21">
        <f t="shared" si="166"/>
        <v>5.1540799789433107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137.97244371990928</v>
      </c>
      <c r="BJ195" s="59">
        <f t="shared" si="146"/>
        <v>340.50331317844757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4.9930142090184253</v>
      </c>
      <c r="BQ195" s="21">
        <f>EXP(-LN(2)/25)*BQ194+(1-EXP(-LN(2)/25))/(LN(2)/25)*Calculateur!BL195*Calculateur!BN195*VLOOKUP('Données projet'!$B$11,Paramètres!$A$1:$I$89,3,0)*0.475*44/12</f>
        <v>0.16106576992488572</v>
      </c>
      <c r="BR195" s="21">
        <f>EXP(-LN(2)/2)*BR194+(1-EXP(-LN(2)/2))/(LN(2)/2)*BL195*BO195*VLOOKUP('Données projet'!$B$11,Paramètres!$A$1:$I$89,3,0)*0.475*44/12</f>
        <v>1.8595849833403132E-26</v>
      </c>
      <c r="BS195" s="22">
        <f t="shared" si="169"/>
        <v>5.1540799789433107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267</v>
      </c>
      <c r="BZ195" s="13">
        <f>BY195*VLOOKUP('Données projet'!$B$12,Paramètres!$A$1:$I$89,3,0)*VLOOKUP('Données projet'!$B$12,Paramètres!$A$1:$I$89,5,0)</f>
        <v>241.58159999999998</v>
      </c>
      <c r="CA195" s="13">
        <f t="shared" si="170"/>
        <v>58.779689232021951</v>
      </c>
      <c r="CB195" s="20">
        <f t="shared" si="171"/>
        <v>523.12924541243819</v>
      </c>
      <c r="CC195" s="59">
        <f t="shared" si="119"/>
        <v>816.46257874577145</v>
      </c>
      <c r="CD195" s="59">
        <f ca="1">AVERAGE(OFFSET($CC$3,0,0,'Données projet'!$E$12+1,1))-AVERAGE(OFFSET($H$3,0,0,'Données projet'!$E$12+1,1))</f>
        <v>216.16148211123436</v>
      </c>
      <c r="CE195" s="59">
        <f t="shared" si="148"/>
        <v>132.59131750490178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16.45045737805297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16.45045737805297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174.62639999999942</v>
      </c>
      <c r="D196" s="11">
        <f t="shared" si="140"/>
        <v>44.124558536403818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1688.6038904564459</v>
      </c>
      <c r="H196" s="66">
        <f t="shared" ref="H196:H203" si="192">(B196+E196+F196)*44/12+(C196+D196)*0.475*44/12</f>
        <v>674.32458611756897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763.00000000000057</v>
      </c>
      <c r="O196" s="13">
        <f>N196*VLOOKUP('Données projet'!$B$9,Paramètres!$A$1:$I$89,3,0)*VLOOKUP('Données projet'!$B$9,Paramètres!$A$1:$I$89,5,0)</f>
        <v>456.2740000000004</v>
      </c>
      <c r="P196" s="13">
        <f t="shared" si="141"/>
        <v>103.09649786611838</v>
      </c>
      <c r="Q196" s="20">
        <f t="shared" si="162"/>
        <v>974.23695045015677</v>
      </c>
      <c r="R196" s="59">
        <f t="shared" si="191"/>
        <v>1267.5702837834901</v>
      </c>
      <c r="S196" s="59">
        <f ca="1">AVERAGE(OFFSET($R$3,0,0,'Données projet'!$E$9+1,1))-AVERAGE(OFFSET($H$3,0,0,'Données projet'!$E$9+1,1))</f>
        <v>443.63756287217456</v>
      </c>
      <c r="T196" s="59">
        <f t="shared" si="142"/>
        <v>384.990641425788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11.353594593776274</v>
      </c>
      <c r="AA196" s="21">
        <f>EXP(-LN(2)/25)*AA195+(1-EXP(-LN(2)/25))/(LN(2)/25)*Calculateur!V196*Calculateur!X196*VLOOKUP('Données projet'!$B$9,Paramètres!$A$1:$I$89,3,0)*0.475*44/12</f>
        <v>0.71285973461951602</v>
      </c>
      <c r="AB196" s="21">
        <f>EXP(-LN(2)/2)*AB195+(1-EXP(-LN(2)/2))/(LN(2)/2)*V196*Y196*VLOOKUP('Données projet'!$B$9,Paramètres!$A$1:$I$89,3,0)*0.475*44/12</f>
        <v>2.297134391185096E-26</v>
      </c>
      <c r="AC196" s="22">
        <f t="shared" si="163"/>
        <v>12.066454328395789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137.97244371990928</v>
      </c>
      <c r="AO196" s="59">
        <f t="shared" si="144"/>
        <v>340.50331317844757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4.8951042458175298</v>
      </c>
      <c r="AV196" s="21">
        <f>EXP(-LN(2)/25)*AV195+(1-EXP(-LN(2)/25))/(LN(2)/25)*Calculateur!AQ196*Calculateur!AS196*VLOOKUP('Données projet'!$B$10,Paramètres!$A$1:$I$89,3,0)*0.475*44/12</f>
        <v>0.156661417976209</v>
      </c>
      <c r="AW196" s="21">
        <f>EXP(-LN(2)/2)*AW195+(1-EXP(-LN(2)/2))/(LN(2)/2)*AQ196*AT196*VLOOKUP('Données projet'!$B$10,Paramètres!$A$1:$I$89,3,0)*0.475*44/12</f>
        <v>1.3149251519126084E-26</v>
      </c>
      <c r="AX196" s="21">
        <f t="shared" si="166"/>
        <v>5.0517656637937387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137.97244371990928</v>
      </c>
      <c r="BJ196" s="59">
        <f t="shared" si="146"/>
        <v>340.50331317844757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4.8951042458175298</v>
      </c>
      <c r="BQ196" s="21">
        <f>EXP(-LN(2)/25)*BQ195+(1-EXP(-LN(2)/25))/(LN(2)/25)*Calculateur!BL196*Calculateur!BN196*VLOOKUP('Données projet'!$B$11,Paramètres!$A$1:$I$89,3,0)*0.475*44/12</f>
        <v>0.156661417976209</v>
      </c>
      <c r="BR196" s="21">
        <f>EXP(-LN(2)/2)*BR195+(1-EXP(-LN(2)/2))/(LN(2)/2)*BL196*BO196*VLOOKUP('Données projet'!$B$11,Paramètres!$A$1:$I$89,3,0)*0.475*44/12</f>
        <v>1.3149251519126084E-26</v>
      </c>
      <c r="BS196" s="22">
        <f t="shared" si="169"/>
        <v>5.0517656637937387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267</v>
      </c>
      <c r="BZ196" s="13">
        <f>BY196*VLOOKUP('Données projet'!$B$12,Paramètres!$A$1:$I$89,3,0)*VLOOKUP('Données projet'!$B$12,Paramètres!$A$1:$I$89,5,0)</f>
        <v>241.58159999999998</v>
      </c>
      <c r="CA196" s="13">
        <f t="shared" si="170"/>
        <v>58.779689232021951</v>
      </c>
      <c r="CB196" s="20">
        <f t="shared" si="171"/>
        <v>523.12924541243819</v>
      </c>
      <c r="CC196" s="59">
        <f t="shared" ref="CC196:CC203" si="195">CB196+(BT196+BU196)*44/12</f>
        <v>816.46257874577145</v>
      </c>
      <c r="CD196" s="59">
        <f ca="1">AVERAGE(OFFSET($CC$3,0,0,'Données projet'!$E$12+1,1))-AVERAGE(OFFSET($H$3,0,0,'Données projet'!$E$12+1,1))</f>
        <v>216.16148211123436</v>
      </c>
      <c r="CE196" s="59">
        <f t="shared" si="148"/>
        <v>132.59131750490178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16.127873942657597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16.127873942657597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175.53119999999942</v>
      </c>
      <c r="D197" s="11">
        <f t="shared" ref="D197:D203" si="202">IFERROR(EXP(-1.0587+0.8836*LN(C197)+0.284),0)</f>
        <v>44.326510481422375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1697.1472388039581</v>
      </c>
      <c r="H197" s="66">
        <f t="shared" si="192"/>
        <v>676.25217908847617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763.00000000000057</v>
      </c>
      <c r="O197" s="13">
        <f>N197*VLOOKUP('Données projet'!$B$9,Paramètres!$A$1:$I$89,3,0)*VLOOKUP('Données projet'!$B$9,Paramètres!$A$1:$I$89,5,0)</f>
        <v>456.2740000000004</v>
      </c>
      <c r="P197" s="13">
        <f t="shared" ref="P197:P203" si="203">EXP(-1.0587+0.8836*LN(O197)+0.284)</f>
        <v>103.09649786611838</v>
      </c>
      <c r="Q197" s="20">
        <f t="shared" si="162"/>
        <v>974.23695045015677</v>
      </c>
      <c r="R197" s="59">
        <f t="shared" si="191"/>
        <v>1267.5702837834901</v>
      </c>
      <c r="S197" s="59">
        <f ca="1">AVERAGE(OFFSET($R$3,0,0,'Données projet'!$E$9+1,1))-AVERAGE(OFFSET($H$3,0,0,'Données projet'!$E$9+1,1))</f>
        <v>443.63756287217456</v>
      </c>
      <c r="T197" s="59">
        <f t="shared" ref="T197:T203" si="204">$T$3</f>
        <v>384.990641425788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11.130957528801236</v>
      </c>
      <c r="AA197" s="21">
        <f>EXP(-LN(2)/25)*AA196+(1-EXP(-LN(2)/25))/(LN(2)/25)*Calculateur!V197*Calculateur!X197*VLOOKUP('Données projet'!$B$9,Paramètres!$A$1:$I$89,3,0)*0.475*44/12</f>
        <v>0.69336654768868122</v>
      </c>
      <c r="AB197" s="21">
        <f>EXP(-LN(2)/2)*AB196+(1-EXP(-LN(2)/2))/(LN(2)/2)*V197*Y197*VLOOKUP('Données projet'!$B$9,Paramètres!$A$1:$I$89,3,0)*0.475*44/12</f>
        <v>1.6243193053038127E-26</v>
      </c>
      <c r="AC197" s="22">
        <f t="shared" si="163"/>
        <v>11.824324076489917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137.97244371990928</v>
      </c>
      <c r="AO197" s="59">
        <f t="shared" ref="AO197:AO203" si="205">$AO$3</f>
        <v>340.50331317844757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4.7991142372758224</v>
      </c>
      <c r="AV197" s="21">
        <f>EXP(-LN(2)/25)*AV196+(1-EXP(-LN(2)/25))/(LN(2)/25)*Calculateur!AQ197*Calculateur!AS197*VLOOKUP('Données projet'!$B$10,Paramètres!$A$1:$I$89,3,0)*0.475*44/12</f>
        <v>0.15237750326318364</v>
      </c>
      <c r="AW197" s="21">
        <f>EXP(-LN(2)/2)*AW196+(1-EXP(-LN(2)/2))/(LN(2)/2)*AQ197*AT197*VLOOKUP('Données projet'!$B$10,Paramètres!$A$1:$I$89,3,0)*0.475*44/12</f>
        <v>9.2979249167015658E-27</v>
      </c>
      <c r="AX197" s="21">
        <f t="shared" si="166"/>
        <v>4.951491740539006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137.97244371990928</v>
      </c>
      <c r="BJ197" s="59">
        <f t="shared" ref="BJ197:BJ203" si="206">$BJ$3</f>
        <v>340.50331317844757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4.7991142372758224</v>
      </c>
      <c r="BQ197" s="21">
        <f>EXP(-LN(2)/25)*BQ196+(1-EXP(-LN(2)/25))/(LN(2)/25)*Calculateur!BL197*Calculateur!BN197*VLOOKUP('Données projet'!$B$11,Paramètres!$A$1:$I$89,3,0)*0.475*44/12</f>
        <v>0.15237750326318364</v>
      </c>
      <c r="BR197" s="21">
        <f>EXP(-LN(2)/2)*BR196+(1-EXP(-LN(2)/2))/(LN(2)/2)*BL197*BO197*VLOOKUP('Données projet'!$B$11,Paramètres!$A$1:$I$89,3,0)*0.475*44/12</f>
        <v>9.2979249167015658E-27</v>
      </c>
      <c r="BS197" s="22">
        <f t="shared" si="169"/>
        <v>4.951491740539006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267</v>
      </c>
      <c r="BZ197" s="13">
        <f>BY197*VLOOKUP('Données projet'!$B$12,Paramètres!$A$1:$I$89,3,0)*VLOOKUP('Données projet'!$B$12,Paramètres!$A$1:$I$89,5,0)</f>
        <v>241.58159999999998</v>
      </c>
      <c r="CA197" s="13">
        <f t="shared" si="170"/>
        <v>58.779689232021951</v>
      </c>
      <c r="CB197" s="20">
        <f t="shared" si="171"/>
        <v>523.12924541243819</v>
      </c>
      <c r="CC197" s="59">
        <f t="shared" si="195"/>
        <v>816.46257874577145</v>
      </c>
      <c r="CD197" s="59">
        <f ca="1">AVERAGE(OFFSET($CC$3,0,0,'Données projet'!$E$12+1,1))-AVERAGE(OFFSET($H$3,0,0,'Données projet'!$E$12+1,1))</f>
        <v>216.16148211123436</v>
      </c>
      <c r="CE197" s="59">
        <f t="shared" ref="CE197:CE203" si="207">$CE$3</f>
        <v>132.59131750490178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15.81161617167386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15.81161617167386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176.43599999999941</v>
      </c>
      <c r="D198" s="11">
        <f t="shared" si="202"/>
        <v>44.528341291050459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1705.6896520712623</v>
      </c>
      <c r="H198" s="66">
        <f t="shared" si="192"/>
        <v>678.17956108191174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763.00000000000057</v>
      </c>
      <c r="O198" s="13">
        <f>N198*VLOOKUP('Données projet'!$B$9,Paramètres!$A$1:$I$89,3,0)*VLOOKUP('Données projet'!$B$9,Paramètres!$A$1:$I$89,5,0)</f>
        <v>456.2740000000004</v>
      </c>
      <c r="P198" s="13">
        <f t="shared" si="203"/>
        <v>103.09649786611838</v>
      </c>
      <c r="Q198" s="20">
        <f t="shared" si="162"/>
        <v>974.23695045015677</v>
      </c>
      <c r="R198" s="59">
        <f t="shared" si="191"/>
        <v>1267.5702837834901</v>
      </c>
      <c r="S198" s="59">
        <f ca="1">AVERAGE(OFFSET($R$3,0,0,'Données projet'!$E$9+1,1))-AVERAGE(OFFSET($H$3,0,0,'Données projet'!$E$9+1,1))</f>
        <v>443.63756287217456</v>
      </c>
      <c r="T198" s="59">
        <f t="shared" si="204"/>
        <v>384.990641425788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10.912686240875157</v>
      </c>
      <c r="AA198" s="21">
        <f>EXP(-LN(2)/25)*AA197+(1-EXP(-LN(2)/25))/(LN(2)/25)*Calculateur!V198*Calculateur!X198*VLOOKUP('Données projet'!$B$9,Paramètres!$A$1:$I$89,3,0)*0.475*44/12</f>
        <v>0.67440640297957222</v>
      </c>
      <c r="AB198" s="21">
        <f>EXP(-LN(2)/2)*AB197+(1-EXP(-LN(2)/2))/(LN(2)/2)*V198*Y198*VLOOKUP('Données projet'!$B$9,Paramètres!$A$1:$I$89,3,0)*0.475*44/12</f>
        <v>1.148567195592548E-26</v>
      </c>
      <c r="AC198" s="22">
        <f t="shared" si="163"/>
        <v>11.58709264385473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137.97244371990928</v>
      </c>
      <c r="AO198" s="59">
        <f t="shared" si="205"/>
        <v>340.50331317844757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4.7050065342534939</v>
      </c>
      <c r="AV198" s="21">
        <f>EXP(-LN(2)/25)*AV197+(1-EXP(-LN(2)/25))/(LN(2)/25)*Calculateur!AQ198*Calculateur!AS198*VLOOKUP('Données projet'!$B$10,Paramètres!$A$1:$I$89,3,0)*0.475*44/12</f>
        <v>0.14821073242326724</v>
      </c>
      <c r="AW198" s="21">
        <f>EXP(-LN(2)/2)*AW197+(1-EXP(-LN(2)/2))/(LN(2)/2)*AQ198*AT198*VLOOKUP('Données projet'!$B$10,Paramètres!$A$1:$I$89,3,0)*0.475*44/12</f>
        <v>6.5746257595630422E-27</v>
      </c>
      <c r="AX198" s="21">
        <f t="shared" si="166"/>
        <v>4.8532172666767615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137.97244371990928</v>
      </c>
      <c r="BJ198" s="59">
        <f t="shared" si="206"/>
        <v>340.50331317844757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4.7050065342534939</v>
      </c>
      <c r="BQ198" s="21">
        <f>EXP(-LN(2)/25)*BQ197+(1-EXP(-LN(2)/25))/(LN(2)/25)*Calculateur!BL198*Calculateur!BN198*VLOOKUP('Données projet'!$B$11,Paramètres!$A$1:$I$89,3,0)*0.475*44/12</f>
        <v>0.14821073242326724</v>
      </c>
      <c r="BR198" s="21">
        <f>EXP(-LN(2)/2)*BR197+(1-EXP(-LN(2)/2))/(LN(2)/2)*BL198*BO198*VLOOKUP('Données projet'!$B$11,Paramètres!$A$1:$I$89,3,0)*0.475*44/12</f>
        <v>6.5746257595630422E-27</v>
      </c>
      <c r="BS198" s="22">
        <f t="shared" si="169"/>
        <v>4.8532172666767615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267</v>
      </c>
      <c r="BZ198" s="13">
        <f>BY198*VLOOKUP('Données projet'!$B$12,Paramètres!$A$1:$I$89,3,0)*VLOOKUP('Données projet'!$B$12,Paramètres!$A$1:$I$89,5,0)</f>
        <v>241.58159999999998</v>
      </c>
      <c r="CA198" s="13">
        <f t="shared" si="170"/>
        <v>58.779689232021951</v>
      </c>
      <c r="CB198" s="20">
        <f t="shared" si="171"/>
        <v>523.12924541243819</v>
      </c>
      <c r="CC198" s="59">
        <f t="shared" si="195"/>
        <v>816.46257874577145</v>
      </c>
      <c r="CD198" s="59">
        <f ca="1">AVERAGE(OFFSET($CC$3,0,0,'Données projet'!$E$12+1,1))-AVERAGE(OFFSET($H$3,0,0,'Données projet'!$E$12+1,1))</f>
        <v>216.16148211123436</v>
      </c>
      <c r="CE198" s="59">
        <f t="shared" si="207"/>
        <v>132.59131750490178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15.501560022680922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15.501560022680922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177.3407999999994</v>
      </c>
      <c r="D199" s="11">
        <f t="shared" si="202"/>
        <v>44.730051658602939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1714.2311356102639</v>
      </c>
      <c r="H199" s="66">
        <f t="shared" si="192"/>
        <v>680.10673330539908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763.00000000000057</v>
      </c>
      <c r="O199" s="13">
        <f>N199*VLOOKUP('Données projet'!$B$9,Paramètres!$A$1:$I$89,3,0)*VLOOKUP('Données projet'!$B$9,Paramètres!$A$1:$I$89,5,0)</f>
        <v>456.2740000000004</v>
      </c>
      <c r="P199" s="13">
        <f t="shared" si="203"/>
        <v>103.09649786611838</v>
      </c>
      <c r="Q199" s="20">
        <f t="shared" si="162"/>
        <v>974.23695045015677</v>
      </c>
      <c r="R199" s="59">
        <f t="shared" si="191"/>
        <v>1267.5702837834901</v>
      </c>
      <c r="S199" s="59">
        <f ca="1">AVERAGE(OFFSET($R$3,0,0,'Données projet'!$E$9+1,1))-AVERAGE(OFFSET($H$3,0,0,'Données projet'!$E$9+1,1))</f>
        <v>443.63756287217456</v>
      </c>
      <c r="T199" s="59">
        <f t="shared" si="204"/>
        <v>384.990641425788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10.698695119772969</v>
      </c>
      <c r="AA199" s="21">
        <f>EXP(-LN(2)/25)*AA198+(1-EXP(-LN(2)/25))/(LN(2)/25)*Calculateur!V199*Calculateur!X199*VLOOKUP('Données projet'!$B$9,Paramètres!$A$1:$I$89,3,0)*0.475*44/12</f>
        <v>0.65596472442460441</v>
      </c>
      <c r="AB199" s="21">
        <f>EXP(-LN(2)/2)*AB198+(1-EXP(-LN(2)/2))/(LN(2)/2)*V199*Y199*VLOOKUP('Données projet'!$B$9,Paramètres!$A$1:$I$89,3,0)*0.475*44/12</f>
        <v>8.1215965265190635E-27</v>
      </c>
      <c r="AC199" s="22">
        <f t="shared" si="163"/>
        <v>11.354659844197574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137.97244371990928</v>
      </c>
      <c r="AO199" s="59">
        <f t="shared" si="205"/>
        <v>340.50331317844757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4.6127442258874023</v>
      </c>
      <c r="AV199" s="21">
        <f>EXP(-LN(2)/25)*AV198+(1-EXP(-LN(2)/25))/(LN(2)/25)*Calculateur!AQ199*Calculateur!AS199*VLOOKUP('Données projet'!$B$10,Paramètres!$A$1:$I$89,3,0)*0.475*44/12</f>
        <v>0.14415790215108931</v>
      </c>
      <c r="AW199" s="21">
        <f>EXP(-LN(2)/2)*AW198+(1-EXP(-LN(2)/2))/(LN(2)/2)*AQ199*AT199*VLOOKUP('Données projet'!$B$10,Paramètres!$A$1:$I$89,3,0)*0.475*44/12</f>
        <v>4.6489624583507829E-27</v>
      </c>
      <c r="AX199" s="21">
        <f t="shared" si="166"/>
        <v>4.756902128038492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137.97244371990928</v>
      </c>
      <c r="BJ199" s="59">
        <f t="shared" si="206"/>
        <v>340.50331317844757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4.6127442258874023</v>
      </c>
      <c r="BQ199" s="21">
        <f>EXP(-LN(2)/25)*BQ198+(1-EXP(-LN(2)/25))/(LN(2)/25)*Calculateur!BL199*Calculateur!BN199*VLOOKUP('Données projet'!$B$11,Paramètres!$A$1:$I$89,3,0)*0.475*44/12</f>
        <v>0.14415790215108931</v>
      </c>
      <c r="BR199" s="21">
        <f>EXP(-LN(2)/2)*BR198+(1-EXP(-LN(2)/2))/(LN(2)/2)*BL199*BO199*VLOOKUP('Données projet'!$B$11,Paramètres!$A$1:$I$89,3,0)*0.475*44/12</f>
        <v>4.6489624583507829E-27</v>
      </c>
      <c r="BS199" s="22">
        <f t="shared" si="169"/>
        <v>4.756902128038492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267</v>
      </c>
      <c r="BZ199" s="13">
        <f>BY199*VLOOKUP('Données projet'!$B$12,Paramètres!$A$1:$I$89,3,0)*VLOOKUP('Données projet'!$B$12,Paramètres!$A$1:$I$89,5,0)</f>
        <v>241.58159999999998</v>
      </c>
      <c r="CA199" s="13">
        <f t="shared" si="170"/>
        <v>58.779689232021951</v>
      </c>
      <c r="CB199" s="20">
        <f t="shared" si="171"/>
        <v>523.12924541243819</v>
      </c>
      <c r="CC199" s="59">
        <f t="shared" si="195"/>
        <v>816.46257874577145</v>
      </c>
      <c r="CD199" s="59">
        <f ca="1">AVERAGE(OFFSET($CC$3,0,0,'Données projet'!$E$12+1,1))-AVERAGE(OFFSET($H$3,0,0,'Données projet'!$E$12+1,1))</f>
        <v>216.16148211123436</v>
      </c>
      <c r="CE199" s="59">
        <f t="shared" si="207"/>
        <v>132.59131750490178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15.197583885654158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15.197583885654158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178.2455999999994</v>
      </c>
      <c r="D200" s="11">
        <f t="shared" si="202"/>
        <v>44.931642269910306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1722.7716947150923</v>
      </c>
      <c r="H200" s="66">
        <f t="shared" si="192"/>
        <v>682.03369695342599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763.00000000000057</v>
      </c>
      <c r="O200" s="13">
        <f>N200*VLOOKUP('Données projet'!$B$9,Paramètres!$A$1:$I$89,3,0)*VLOOKUP('Données projet'!$B$9,Paramètres!$A$1:$I$89,5,0)</f>
        <v>456.2740000000004</v>
      </c>
      <c r="P200" s="13">
        <f t="shared" si="203"/>
        <v>103.09649786611838</v>
      </c>
      <c r="Q200" s="20">
        <f t="shared" si="162"/>
        <v>974.23695045015677</v>
      </c>
      <c r="R200" s="59">
        <f t="shared" si="191"/>
        <v>1267.5702837834901</v>
      </c>
      <c r="S200" s="59">
        <f ca="1">AVERAGE(OFFSET($R$3,0,0,'Données projet'!$E$9+1,1))-AVERAGE(OFFSET($H$3,0,0,'Données projet'!$E$9+1,1))</f>
        <v>443.63756287217456</v>
      </c>
      <c r="T200" s="59">
        <f t="shared" si="204"/>
        <v>384.990641425788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10.488900234033899</v>
      </c>
      <c r="AA200" s="21">
        <f>EXP(-LN(2)/25)*AA199+(1-EXP(-LN(2)/25))/(LN(2)/25)*Calculateur!V200*Calculateur!X200*VLOOKUP('Données projet'!$B$9,Paramètres!$A$1:$I$89,3,0)*0.475*44/12</f>
        <v>0.63802733453952798</v>
      </c>
      <c r="AB200" s="21">
        <f>EXP(-LN(2)/2)*AB199+(1-EXP(-LN(2)/2))/(LN(2)/2)*V200*Y200*VLOOKUP('Données projet'!$B$9,Paramètres!$A$1:$I$89,3,0)*0.475*44/12</f>
        <v>5.7428359779627399E-27</v>
      </c>
      <c r="AC200" s="22">
        <f t="shared" si="163"/>
        <v>11.126927568573427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137.97244371990928</v>
      </c>
      <c r="AO200" s="59">
        <f t="shared" si="205"/>
        <v>340.50331317844757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4.5222911251139184</v>
      </c>
      <c r="AV200" s="21">
        <f>EXP(-LN(2)/25)*AV199+(1-EXP(-LN(2)/25))/(LN(2)/25)*Calculateur!AQ200*Calculateur!AS200*VLOOKUP('Données projet'!$B$10,Paramètres!$A$1:$I$89,3,0)*0.475*44/12</f>
        <v>0.14021589673583318</v>
      </c>
      <c r="AW200" s="21">
        <f>EXP(-LN(2)/2)*AW199+(1-EXP(-LN(2)/2))/(LN(2)/2)*AQ200*AT200*VLOOKUP('Données projet'!$B$10,Paramètres!$A$1:$I$89,3,0)*0.475*44/12</f>
        <v>3.2873128797815211E-27</v>
      </c>
      <c r="AX200" s="21">
        <f t="shared" si="166"/>
        <v>4.662507021849752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137.97244371990928</v>
      </c>
      <c r="BJ200" s="59">
        <f t="shared" si="206"/>
        <v>340.50331317844757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4.5222911251139184</v>
      </c>
      <c r="BQ200" s="21">
        <f>EXP(-LN(2)/25)*BQ199+(1-EXP(-LN(2)/25))/(LN(2)/25)*Calculateur!BL200*Calculateur!BN200*VLOOKUP('Données projet'!$B$11,Paramètres!$A$1:$I$89,3,0)*0.475*44/12</f>
        <v>0.14021589673583318</v>
      </c>
      <c r="BR200" s="21">
        <f>EXP(-LN(2)/2)*BR199+(1-EXP(-LN(2)/2))/(LN(2)/2)*BL200*BO200*VLOOKUP('Données projet'!$B$11,Paramètres!$A$1:$I$89,3,0)*0.475*44/12</f>
        <v>3.2873128797815211E-27</v>
      </c>
      <c r="BS200" s="22">
        <f t="shared" si="169"/>
        <v>4.662507021849752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267</v>
      </c>
      <c r="BZ200" s="13">
        <f>BY200*VLOOKUP('Données projet'!$B$12,Paramètres!$A$1:$I$89,3,0)*VLOOKUP('Données projet'!$B$12,Paramètres!$A$1:$I$89,5,0)</f>
        <v>241.58159999999998</v>
      </c>
      <c r="CA200" s="13">
        <f t="shared" si="170"/>
        <v>58.779689232021951</v>
      </c>
      <c r="CB200" s="20">
        <f t="shared" si="171"/>
        <v>523.12924541243819</v>
      </c>
      <c r="CC200" s="59">
        <f t="shared" si="195"/>
        <v>816.46257874577145</v>
      </c>
      <c r="CD200" s="59">
        <f ca="1">AVERAGE(OFFSET($CC$3,0,0,'Données projet'!$E$12+1,1))-AVERAGE(OFFSET($H$3,0,0,'Données projet'!$E$12+1,1))</f>
        <v>216.16148211123436</v>
      </c>
      <c r="CE200" s="59">
        <f t="shared" si="207"/>
        <v>132.59131750490178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14.899568535267353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14.899568535267353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179.15039999999939</v>
      </c>
      <c r="D201" s="11">
        <f t="shared" si="202"/>
        <v>45.133113803437183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1731.3113346230191</v>
      </c>
      <c r="H201" s="66">
        <f t="shared" si="192"/>
        <v>683.96045320765199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763.00000000000057</v>
      </c>
      <c r="O201" s="13">
        <f>N201*VLOOKUP('Données projet'!$B$9,Paramètres!$A$1:$I$89,3,0)*VLOOKUP('Données projet'!$B$9,Paramètres!$A$1:$I$89,5,0)</f>
        <v>456.2740000000004</v>
      </c>
      <c r="P201" s="13">
        <f t="shared" si="203"/>
        <v>103.09649786611838</v>
      </c>
      <c r="Q201" s="20">
        <f t="shared" si="162"/>
        <v>974.23695045015677</v>
      </c>
      <c r="R201" s="59">
        <f t="shared" si="191"/>
        <v>1267.5702837834901</v>
      </c>
      <c r="S201" s="59">
        <f ca="1">AVERAGE(OFFSET($R$3,0,0,'Données projet'!$E$9+1,1))-AVERAGE(OFFSET($H$3,0,0,'Données projet'!$E$9+1,1))</f>
        <v>443.63756287217456</v>
      </c>
      <c r="T201" s="59">
        <f t="shared" si="204"/>
        <v>384.990641425788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10.283219298041926</v>
      </c>
      <c r="AA201" s="21">
        <f>EXP(-LN(2)/25)*AA200+(1-EXP(-LN(2)/25))/(LN(2)/25)*Calculateur!V201*Calculateur!X201*VLOOKUP('Données projet'!$B$9,Paramètres!$A$1:$I$89,3,0)*0.475*44/12</f>
        <v>0.62058044352414532</v>
      </c>
      <c r="AB201" s="21">
        <f>EXP(-LN(2)/2)*AB200+(1-EXP(-LN(2)/2))/(LN(2)/2)*V201*Y201*VLOOKUP('Données projet'!$B$9,Paramètres!$A$1:$I$89,3,0)*0.475*44/12</f>
        <v>4.0607982632595317E-27</v>
      </c>
      <c r="AC201" s="22">
        <f t="shared" si="163"/>
        <v>10.903799741566072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137.97244371990928</v>
      </c>
      <c r="AO201" s="59">
        <f t="shared" si="205"/>
        <v>340.50331317844757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4.4336117544756588</v>
      </c>
      <c r="AV201" s="21">
        <f>EXP(-LN(2)/25)*AV200+(1-EXP(-LN(2)/25))/(LN(2)/25)*Calculateur!AQ201*Calculateur!AS201*VLOOKUP('Données projet'!$B$10,Paramètres!$A$1:$I$89,3,0)*0.475*44/12</f>
        <v>0.13638168566595829</v>
      </c>
      <c r="AW201" s="21">
        <f>EXP(-LN(2)/2)*AW200+(1-EXP(-LN(2)/2))/(LN(2)/2)*AQ201*AT201*VLOOKUP('Données projet'!$B$10,Paramètres!$A$1:$I$89,3,0)*0.475*44/12</f>
        <v>2.3244812291753915E-27</v>
      </c>
      <c r="AX201" s="21">
        <f t="shared" si="166"/>
        <v>4.5699934401416167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137.97244371990928</v>
      </c>
      <c r="BJ201" s="59">
        <f t="shared" si="206"/>
        <v>340.50331317844757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4.4336117544756588</v>
      </c>
      <c r="BQ201" s="21">
        <f>EXP(-LN(2)/25)*BQ200+(1-EXP(-LN(2)/25))/(LN(2)/25)*Calculateur!BL201*Calculateur!BN201*VLOOKUP('Données projet'!$B$11,Paramètres!$A$1:$I$89,3,0)*0.475*44/12</f>
        <v>0.13638168566595829</v>
      </c>
      <c r="BR201" s="21">
        <f>EXP(-LN(2)/2)*BR200+(1-EXP(-LN(2)/2))/(LN(2)/2)*BL201*BO201*VLOOKUP('Données projet'!$B$11,Paramètres!$A$1:$I$89,3,0)*0.475*44/12</f>
        <v>2.3244812291753915E-27</v>
      </c>
      <c r="BS201" s="22">
        <f t="shared" si="169"/>
        <v>4.5699934401416167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267</v>
      </c>
      <c r="BZ201" s="13">
        <f>BY201*VLOOKUP('Données projet'!$B$12,Paramètres!$A$1:$I$89,3,0)*VLOOKUP('Données projet'!$B$12,Paramètres!$A$1:$I$89,5,0)</f>
        <v>241.58159999999998</v>
      </c>
      <c r="CA201" s="13">
        <f t="shared" si="170"/>
        <v>58.779689232021951</v>
      </c>
      <c r="CB201" s="20">
        <f t="shared" si="171"/>
        <v>523.12924541243819</v>
      </c>
      <c r="CC201" s="59">
        <f t="shared" si="195"/>
        <v>816.46257874577145</v>
      </c>
      <c r="CD201" s="59">
        <f ca="1">AVERAGE(OFFSET($CC$3,0,0,'Données projet'!$E$12+1,1))-AVERAGE(OFFSET($H$3,0,0,'Données projet'!$E$12+1,1))</f>
        <v>216.16148211123436</v>
      </c>
      <c r="CE201" s="59">
        <f t="shared" si="207"/>
        <v>132.59131750490178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14.607397084130216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14.607397084130216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180.05519999999939</v>
      </c>
      <c r="D202" s="11">
        <f t="shared" si="202"/>
        <v>45.334466930398278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1739.8500605153504</v>
      </c>
      <c r="H202" s="66">
        <f t="shared" si="192"/>
        <v>685.88700323710918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763.00000000000057</v>
      </c>
      <c r="O202" s="13">
        <f>N202*VLOOKUP('Données projet'!$B$9,Paramètres!$A$1:$I$89,3,0)*VLOOKUP('Données projet'!$B$9,Paramètres!$A$1:$I$89,5,0)</f>
        <v>456.2740000000004</v>
      </c>
      <c r="P202" s="13">
        <f t="shared" si="203"/>
        <v>103.09649786611838</v>
      </c>
      <c r="Q202" s="20">
        <f t="shared" si="162"/>
        <v>974.23695045015677</v>
      </c>
      <c r="R202" s="59">
        <f t="shared" si="191"/>
        <v>1267.5702837834901</v>
      </c>
      <c r="S202" s="59">
        <f ca="1">AVERAGE(OFFSET($R$3,0,0,'Données projet'!$E$9+1,1))-AVERAGE(OFFSET($H$3,0,0,'Données projet'!$E$9+1,1))</f>
        <v>443.63756287217456</v>
      </c>
      <c r="T202" s="59">
        <f t="shared" si="204"/>
        <v>384.990641425788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10.081571639751774</v>
      </c>
      <c r="AA202" s="21">
        <f>EXP(-LN(2)/25)*AA201+(1-EXP(-LN(2)/25))/(LN(2)/25)*Calculateur!V202*Calculateur!X202*VLOOKUP('Données projet'!$B$9,Paramètres!$A$1:$I$89,3,0)*0.475*44/12</f>
        <v>0.60361063866107034</v>
      </c>
      <c r="AB202" s="21">
        <f>EXP(-LN(2)/2)*AB201+(1-EXP(-LN(2)/2))/(LN(2)/2)*V202*Y202*VLOOKUP('Données projet'!$B$9,Paramètres!$A$1:$I$89,3,0)*0.475*44/12</f>
        <v>2.87141798898137E-27</v>
      </c>
      <c r="AC202" s="22">
        <f t="shared" si="163"/>
        <v>10.685182278412844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137.97244371990928</v>
      </c>
      <c r="AO202" s="59">
        <f t="shared" si="205"/>
        <v>340.50331317844757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4.3466713322065402</v>
      </c>
      <c r="AV202" s="21">
        <f>EXP(-LN(2)/25)*AV201+(1-EXP(-LN(2)/25))/(LN(2)/25)*Calculateur!AQ202*Calculateur!AS202*VLOOKUP('Données projet'!$B$10,Paramètres!$A$1:$I$89,3,0)*0.475*44/12</f>
        <v>0.13265232129942151</v>
      </c>
      <c r="AW202" s="21">
        <f>EXP(-LN(2)/2)*AW201+(1-EXP(-LN(2)/2))/(LN(2)/2)*AQ202*AT202*VLOOKUP('Données projet'!$B$10,Paramètres!$A$1:$I$89,3,0)*0.475*44/12</f>
        <v>1.6436564398907605E-27</v>
      </c>
      <c r="AX202" s="21">
        <f t="shared" si="166"/>
        <v>4.4793236535059613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137.97244371990928</v>
      </c>
      <c r="BJ202" s="59">
        <f t="shared" si="206"/>
        <v>340.50331317844757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4.3466713322065402</v>
      </c>
      <c r="BQ202" s="21">
        <f>EXP(-LN(2)/25)*BQ201+(1-EXP(-LN(2)/25))/(LN(2)/25)*Calculateur!BL202*Calculateur!BN202*VLOOKUP('Données projet'!$B$11,Paramètres!$A$1:$I$89,3,0)*0.475*44/12</f>
        <v>0.13265232129942151</v>
      </c>
      <c r="BR202" s="21">
        <f>EXP(-LN(2)/2)*BR201+(1-EXP(-LN(2)/2))/(LN(2)/2)*BL202*BO202*VLOOKUP('Données projet'!$B$11,Paramètres!$A$1:$I$89,3,0)*0.475*44/12</f>
        <v>1.6436564398907605E-27</v>
      </c>
      <c r="BS202" s="22">
        <f t="shared" si="169"/>
        <v>4.4793236535059613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267</v>
      </c>
      <c r="BZ202" s="13">
        <f>BY202*VLOOKUP('Données projet'!$B$12,Paramètres!$A$1:$I$89,3,0)*VLOOKUP('Données projet'!$B$12,Paramètres!$A$1:$I$89,5,0)</f>
        <v>241.58159999999998</v>
      </c>
      <c r="CA202" s="13">
        <f t="shared" si="170"/>
        <v>58.779689232021951</v>
      </c>
      <c r="CB202" s="20">
        <f t="shared" si="171"/>
        <v>523.12924541243819</v>
      </c>
      <c r="CC202" s="59">
        <f t="shared" si="195"/>
        <v>816.46257874577145</v>
      </c>
      <c r="CD202" s="59">
        <f ca="1">AVERAGE(OFFSET($CC$3,0,0,'Données projet'!$E$12+1,1))-AVERAGE(OFFSET($H$3,0,0,'Données projet'!$E$12+1,1))</f>
        <v>216.16148211123436</v>
      </c>
      <c r="CE202" s="59">
        <f t="shared" si="207"/>
        <v>132.59131750490178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14.320954936942892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14.320954936942892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180.95999999999938</v>
      </c>
      <c r="D203" s="11">
        <f t="shared" si="202"/>
        <v>45.535702314871642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1748.387877518303</v>
      </c>
      <c r="H203" s="66">
        <f t="shared" si="192"/>
        <v>687.81334819840026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763.00000000000057</v>
      </c>
      <c r="O203" s="13">
        <f>N203*VLOOKUP('Données projet'!$B$9,Paramètres!$A$1:$I$89,3,0)*VLOOKUP('Données projet'!$B$9,Paramètres!$A$1:$I$89,5,0)</f>
        <v>456.2740000000004</v>
      </c>
      <c r="P203" s="13">
        <f t="shared" si="203"/>
        <v>103.09649786611838</v>
      </c>
      <c r="Q203" s="20">
        <f t="shared" si="162"/>
        <v>974.23695045015677</v>
      </c>
      <c r="R203" s="59">
        <f t="shared" si="191"/>
        <v>1267.5702837834901</v>
      </c>
      <c r="S203" s="59">
        <f ca="1">AVERAGE(OFFSET($R$3,0,0,'Données projet'!$E$9+1,1))-AVERAGE(OFFSET($H$3,0,0,'Données projet'!$E$9+1,1))</f>
        <v>443.63756287217456</v>
      </c>
      <c r="T203" s="59">
        <f t="shared" si="204"/>
        <v>384.990641425788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9.8838781690477635</v>
      </c>
      <c r="AA203" s="21">
        <f>EXP(-LN(2)/25)*AA202+(1-EXP(-LN(2)/25))/(LN(2)/25)*Calculateur!V203*Calculateur!X203*VLOOKUP('Données projet'!$B$9,Paramètres!$A$1:$I$89,3,0)*0.475*44/12</f>
        <v>0.5871048740043795</v>
      </c>
      <c r="AB203" s="21">
        <f>EXP(-LN(2)/2)*AB202+(1-EXP(-LN(2)/2))/(LN(2)/2)*V203*Y203*VLOOKUP('Données projet'!$B$9,Paramètres!$A$1:$I$89,3,0)*0.475*44/12</f>
        <v>2.0303991316297659E-27</v>
      </c>
      <c r="AC203" s="22">
        <f t="shared" si="163"/>
        <v>10.470983043052144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137.97244371990928</v>
      </c>
      <c r="AO203" s="59">
        <f t="shared" si="205"/>
        <v>340.50331317844757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4.2614357585896974</v>
      </c>
      <c r="AV203" s="21">
        <f>EXP(-LN(2)/25)*AV202+(1-EXP(-LN(2)/25))/(LN(2)/25)*Calculateur!AQ203*Calculateur!AS203*VLOOKUP('Données projet'!$B$10,Paramètres!$A$1:$I$89,3,0)*0.475*44/12</f>
        <v>0.12902493659760642</v>
      </c>
      <c r="AW203" s="21">
        <f>EXP(-LN(2)/2)*AW202+(1-EXP(-LN(2)/2))/(LN(2)/2)*AQ203*AT203*VLOOKUP('Données projet'!$B$10,Paramètres!$A$1:$I$89,3,0)*0.475*44/12</f>
        <v>1.1622406145876957E-27</v>
      </c>
      <c r="AX203" s="21">
        <f t="shared" si="166"/>
        <v>4.3904606951873042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137.97244371990928</v>
      </c>
      <c r="BJ203" s="59">
        <f t="shared" si="206"/>
        <v>340.50331317844757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4.2614357585896974</v>
      </c>
      <c r="BQ203" s="21">
        <f>EXP(-LN(2)/25)*BQ202+(1-EXP(-LN(2)/25))/(LN(2)/25)*Calculateur!BL203*Calculateur!BN203*VLOOKUP('Données projet'!$B$11,Paramètres!$A$1:$I$89,3,0)*0.475*44/12</f>
        <v>0.12902493659760642</v>
      </c>
      <c r="BR203" s="21">
        <f>EXP(-LN(2)/2)*BR202+(1-EXP(-LN(2)/2))/(LN(2)/2)*BL203*BO203*VLOOKUP('Données projet'!$B$11,Paramètres!$A$1:$I$89,3,0)*0.475*44/12</f>
        <v>1.1622406145876957E-27</v>
      </c>
      <c r="BS203" s="22">
        <f t="shared" si="169"/>
        <v>4.3904606951873042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267</v>
      </c>
      <c r="BZ203" s="13">
        <f>BY203*VLOOKUP('Données projet'!$B$12,Paramètres!$A$1:$I$89,3,0)*VLOOKUP('Données projet'!$B$12,Paramètres!$A$1:$I$89,5,0)</f>
        <v>241.58159999999998</v>
      </c>
      <c r="CA203" s="13">
        <f t="shared" si="170"/>
        <v>58.779689232021951</v>
      </c>
      <c r="CB203" s="20">
        <f t="shared" si="171"/>
        <v>523.12924541243819</v>
      </c>
      <c r="CC203" s="59">
        <f t="shared" si="195"/>
        <v>816.46257874577145</v>
      </c>
      <c r="CD203" s="59">
        <f ca="1">AVERAGE(OFFSET($CC$3,0,0,'Données projet'!$E$12+1,1))-AVERAGE(OFFSET($H$3,0,0,'Données projet'!$E$12+1,1))</f>
        <v>216.16148211123436</v>
      </c>
      <c r="CE203" s="59">
        <f t="shared" si="207"/>
        <v>132.59131750490178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14.040129745549452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14.040129745549452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1.3826300153206645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1.4943820583928935</v>
      </c>
      <c r="BA205" s="81">
        <f>EXP(LN('Données projet'!B88)/'Données projet'!A88)</f>
        <v>1.4943820583928935</v>
      </c>
      <c r="BV205" s="81">
        <f>EXP(LN('Données projet'!B114)/'Données projet'!A114)</f>
        <v>1.2054868146447177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7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8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7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9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9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8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7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8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L6" sqref="L6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8" t="s">
        <v>271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80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laricio</v>
      </c>
      <c r="B6" s="144">
        <f>'Données projet'!D9</f>
        <v>0.97</v>
      </c>
      <c r="C6" s="145">
        <f ca="1">IF(OR('Données projet'!B9="",'Données projet'!C9="",'Données projet'!C9=0%),0,Calculateur!S3)</f>
        <v>443.63756287217456</v>
      </c>
      <c r="D6" s="145">
        <f>IF(OR('Données projet'!B9="",'Données projet'!C9="",'Données projet'!C9=0%),0,Calculateur!T3)</f>
        <v>384.990641425788</v>
      </c>
      <c r="E6" s="145">
        <f ca="1">MIN(C6,D6)</f>
        <v>384.990641425788</v>
      </c>
      <c r="F6" s="145">
        <f ca="1">E6*B6</f>
        <v>373.44092218301432</v>
      </c>
      <c r="G6" s="145">
        <f ca="1">F6*(100%-'Données projet'!$C$24)*(100%-'Données projet'!$C$25)*(100%-'Données projet'!$C$26)*(100%-'Données projet'!$C$27)</f>
        <v>336.09682996471292</v>
      </c>
      <c r="H6" s="146">
        <f>IF(OR('Données projet'!B9="",'Données projet'!C9="",'Données projet'!C9=0%),0,AVERAGE(Calculateur!$AC$3:$AC$33)*B6)</f>
        <v>14.143474065484082</v>
      </c>
      <c r="I6" s="147">
        <f>H6*(100%-'Données projet'!$C$24)*(100%-'Données projet'!$C$25)*(100%-'Données projet'!$C$26)*(100%-'Données projet'!$C$27)</f>
        <v>12.729126658935673</v>
      </c>
      <c r="J6" s="148">
        <f>IF(OR('Données projet'!B9="",'Données projet'!C9="",'Données projet'!C9=0%),0,SUM(Calculateur!$V$3:$V$33)*VLOOKUP('Données projet'!$B$9,Paramètres!$A$1:$I$89,9,0)*B6)</f>
        <v>96.350099999999998</v>
      </c>
      <c r="K6" s="149">
        <f>J6*(100%-'Données projet'!$C$24)*(100%-'Données projet'!$C$25)*(100%-'Données projet'!$C$26)*(100%-'Données projet'!$C$27)</f>
        <v>86.715090000000004</v>
      </c>
      <c r="L6" s="150">
        <f ca="1">G6+I6+K6</f>
        <v>435.54104662364864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maritime</v>
      </c>
      <c r="B7" s="152">
        <f>'Données projet'!D10</f>
        <v>0.97</v>
      </c>
      <c r="C7" s="145">
        <f ca="1">IF(OR('Données projet'!B10="",'Données projet'!C10="",'Données projet'!C10=0%),0,Calculateur!AN3)</f>
        <v>137.97244371990928</v>
      </c>
      <c r="D7" s="145">
        <f>IF(OR('Données projet'!B10="",'Données projet'!C10="",'Données projet'!C10=0%),0,Calculateur!AO3)</f>
        <v>340.50331317844757</v>
      </c>
      <c r="E7" s="145">
        <f t="shared" ref="E7:E15" ca="1" si="0">MIN(C7,D7)</f>
        <v>137.97244371990928</v>
      </c>
      <c r="F7" s="145">
        <f t="shared" ref="F7:F15" ca="1" si="1">E7*B7</f>
        <v>133.83327040831199</v>
      </c>
      <c r="G7" s="145">
        <f ca="1">F7*(100%-'Données projet'!$C$24)*(100%-'Données projet'!$C$25)*(100%-'Données projet'!$C$26)*(100%-'Données projet'!$C$27)</f>
        <v>120.4499433674808</v>
      </c>
      <c r="H7" s="153">
        <f>IF(OR('Données projet'!B10="",'Données projet'!C10="",'Données projet'!C10=0%),0,AVERAGE(Calculateur!$AX$3:$AX$33)*B7)</f>
        <v>16.748730122328801</v>
      </c>
      <c r="I7" s="147">
        <f>H7*(100%-'Données projet'!$C$24)*(100%-'Données projet'!$C$25)*(100%-'Données projet'!$C$26)*(100%-'Données projet'!$C$27)</f>
        <v>15.073857110095922</v>
      </c>
      <c r="J7" s="148">
        <f>IF(OR('Données projet'!B10="",'Données projet'!C10="",'Données projet'!C10=0%),0,SUM(Calculateur!$AQ$3:$AQ$33)*VLOOKUP('Données projet'!$B$10,Paramètres!$A$1:$I$89,9,0)*B7)</f>
        <v>252.95659999999998</v>
      </c>
      <c r="K7" s="149">
        <f>J7*(100%-'Données projet'!$C$24)*(100%-'Données projet'!$C$25)*(100%-'Données projet'!$C$26)*(100%-'Données projet'!$C$27)</f>
        <v>227.66093999999998</v>
      </c>
      <c r="L7" s="150">
        <f t="shared" ref="L7:L15" ca="1" si="2">G7+I7+K7</f>
        <v>363.18474047757672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taeda</v>
      </c>
      <c r="B8" s="152">
        <f>'Données projet'!D11</f>
        <v>0.97</v>
      </c>
      <c r="C8" s="145">
        <f ca="1">IF(OR('Données projet'!B11="",'Données projet'!C11="",'Données projet'!C11=0%),0,Calculateur!BI3)</f>
        <v>137.97244371990928</v>
      </c>
      <c r="D8" s="145">
        <f>IF(OR('Données projet'!B11="",'Données projet'!C11="",'Données projet'!C11=0%),0,Calculateur!BJ3)</f>
        <v>340.50331317844757</v>
      </c>
      <c r="E8" s="145">
        <f t="shared" ca="1" si="0"/>
        <v>137.97244371990928</v>
      </c>
      <c r="F8" s="145">
        <f t="shared" ca="1" si="1"/>
        <v>133.83327040831199</v>
      </c>
      <c r="G8" s="145">
        <f ca="1">F8*(100%-'Données projet'!$C$24)*(100%-'Données projet'!$C$25)*(100%-'Données projet'!$C$26)*(100%-'Données projet'!$C$27)</f>
        <v>120.4499433674808</v>
      </c>
      <c r="H8" s="153">
        <f>IF(OR('Données projet'!B11="",'Données projet'!C11="",'Données projet'!C11=0%),0,AVERAGE(Calculateur!$BS$3:$BS$33)*B8)</f>
        <v>16.748730122328801</v>
      </c>
      <c r="I8" s="147">
        <f>H8*(100%-'Données projet'!$C$24)*(100%-'Données projet'!$C$25)*(100%-'Données projet'!$C$26)*(100%-'Données projet'!$C$27)</f>
        <v>15.073857110095922</v>
      </c>
      <c r="J8" s="148">
        <f>IF(OR('Données projet'!B11="",'Données projet'!C11="",'Données projet'!C11=0%),0,SUM(Calculateur!$BL$3:$BL$33)*VLOOKUP('Données projet'!$B$11,Paramètres!$A$1:$I$89,9,0)*B8)</f>
        <v>184.35820000000001</v>
      </c>
      <c r="K8" s="149">
        <f>J8*(100%-'Données projet'!$C$24)*(100%-'Données projet'!$C$25)*(100%-'Données projet'!$C$26)*(100%-'Données projet'!$C$27)</f>
        <v>165.92238</v>
      </c>
      <c r="L8" s="150">
        <f t="shared" ca="1" si="2"/>
        <v>301.44618047757672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sessile</v>
      </c>
      <c r="B9" s="152">
        <f>'Données projet'!D12</f>
        <v>0.97</v>
      </c>
      <c r="C9" s="145">
        <f ca="1">IF(OR('Données projet'!B12="",'Données projet'!C12="",'Données projet'!C12=0%),0,Calculateur!CD3)</f>
        <v>216.16148211123436</v>
      </c>
      <c r="D9" s="145">
        <f>IF(OR('Données projet'!B12="",'Données projet'!C12="",'Données projet'!C12=0%),0,Calculateur!CE3)</f>
        <v>132.59131750490178</v>
      </c>
      <c r="E9" s="145">
        <f t="shared" ca="1" si="0"/>
        <v>132.59131750490178</v>
      </c>
      <c r="F9" s="145">
        <f t="shared" ca="1" si="1"/>
        <v>128.61357797975472</v>
      </c>
      <c r="G9" s="145">
        <f ca="1">F9*(100%-'Données projet'!$C$24)*(100%-'Données projet'!$C$25)*(100%-'Données projet'!$C$26)*(100%-'Données projet'!$C$27)</f>
        <v>115.75222018177925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7.0324999999999998</v>
      </c>
      <c r="K9" s="149">
        <f>J9*(100%-'Données projet'!$C$24)*(100%-'Données projet'!$C$25)*(100%-'Données projet'!$C$26)*(100%-'Données projet'!$C$27)</f>
        <v>6.32925</v>
      </c>
      <c r="L9" s="150">
        <f t="shared" ca="1" si="2"/>
        <v>122.08147018177925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769.72104097939302</v>
      </c>
      <c r="G16" s="164">
        <f t="shared" ca="1" si="3"/>
        <v>692.7489368814538</v>
      </c>
      <c r="H16" s="165">
        <f t="shared" si="3"/>
        <v>47.640934310141688</v>
      </c>
      <c r="I16" s="165">
        <f t="shared" si="3"/>
        <v>42.876840879127514</v>
      </c>
      <c r="J16" s="166">
        <f t="shared" si="3"/>
        <v>540.69740000000002</v>
      </c>
      <c r="K16" s="166">
        <f t="shared" si="3"/>
        <v>486.62765999999999</v>
      </c>
      <c r="L16" s="167">
        <f t="shared" ca="1" si="3"/>
        <v>1222.2534377605814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0" t="s">
        <v>246</v>
      </c>
      <c r="G17" s="291"/>
      <c r="H17" s="291"/>
      <c r="I17" s="291"/>
      <c r="J17" s="291"/>
      <c r="K17" s="291"/>
      <c r="L17" s="291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7"/>
      <c r="G18" s="277"/>
      <c r="H18" s="277"/>
      <c r="I18" s="277"/>
      <c r="J18" s="277"/>
      <c r="K18" s="277"/>
      <c r="L18" s="277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taeda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101" sqref="G10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8" t="s">
        <v>272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8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4" t="s">
        <v>315</v>
      </c>
      <c r="I4" s="264"/>
      <c r="K4" s="306" t="s">
        <v>253</v>
      </c>
      <c r="L4" s="307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laricio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-538.39091520753846</v>
      </c>
      <c r="U10" s="176">
        <f>'Données projet'!D9</f>
        <v>0.97</v>
      </c>
      <c r="V10" s="175">
        <f>U10*T10</f>
        <v>-522.23918775131233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maritime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2771.3125402399132</v>
      </c>
      <c r="U11" s="176">
        <f>'Données projet'!D10</f>
        <v>0.97</v>
      </c>
      <c r="V11" s="175">
        <f t="shared" ref="V11" si="0">U11*T11</f>
        <v>2688.1731640327157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taeda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491.12115553975013</v>
      </c>
      <c r="U12" s="176">
        <f>'Données projet'!D11</f>
        <v>0.97</v>
      </c>
      <c r="V12" s="175">
        <f t="shared" ref="V12:V19" si="1">U12*T12</f>
        <v>476.38752087355761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sessile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-3123.4373235139419</v>
      </c>
      <c r="U13" s="176">
        <f>'Données projet'!D12</f>
        <v>0.97</v>
      </c>
      <c r="V13" s="175">
        <f t="shared" si="1"/>
        <v>-3029.7342038085235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laricio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9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9"/>
      <c r="H16" s="188"/>
      <c r="I16" s="189"/>
      <c r="J16" s="200"/>
      <c r="K16" s="206"/>
      <c r="L16" s="306" t="s">
        <v>254</v>
      </c>
      <c r="M16" s="307"/>
      <c r="N16" s="2">
        <v>90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1766.25</v>
      </c>
      <c r="F17" s="228"/>
      <c r="G17" s="309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89.999999999999986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9"/>
      <c r="J18" s="200"/>
      <c r="K18" s="206"/>
      <c r="L18" s="266" t="s">
        <v>255</v>
      </c>
      <c r="M18" s="268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9"/>
      <c r="H19" s="210" t="s">
        <v>178</v>
      </c>
      <c r="I19" s="210" t="s">
        <v>287</v>
      </c>
      <c r="J19" s="91"/>
      <c r="K19" s="171"/>
      <c r="L19" s="306" t="s">
        <v>288</v>
      </c>
      <c r="M19" s="307"/>
      <c r="N19" s="177">
        <f>N17*N18</f>
        <v>1349.9999999999998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9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15</v>
      </c>
      <c r="B23" s="179">
        <f>'Données projet'!D36</f>
        <v>21</v>
      </c>
      <c r="C23" s="191">
        <v>15</v>
      </c>
      <c r="D23" s="180">
        <f>B23*C23</f>
        <v>315</v>
      </c>
      <c r="E23" s="191"/>
      <c r="F23" s="228"/>
      <c r="H23" s="188">
        <v>3</v>
      </c>
      <c r="I23" s="189"/>
      <c r="K23" s="206"/>
      <c r="L23" s="308" t="s">
        <v>260</v>
      </c>
      <c r="M23" s="308"/>
      <c r="N23" s="308"/>
      <c r="O23" s="23"/>
      <c r="P23" s="23"/>
      <c r="Q23" s="232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-387.41270665356251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20</v>
      </c>
      <c r="B24" s="179">
        <f>'Données projet'!D37</f>
        <v>70</v>
      </c>
      <c r="C24" s="191">
        <v>15</v>
      </c>
      <c r="D24" s="180">
        <f t="shared" ref="D24:D42" si="2">B24*C24</f>
        <v>1050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99.700963165493889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25</v>
      </c>
      <c r="B25" s="179">
        <f>'Données projet'!D38</f>
        <v>70</v>
      </c>
      <c r="C25" s="191">
        <v>15</v>
      </c>
      <c r="D25" s="180">
        <f t="shared" si="2"/>
        <v>1050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5">
        <f ca="1">T23-T24</f>
        <v>-487.11366981905638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70</v>
      </c>
      <c r="C26" s="191">
        <v>15</v>
      </c>
      <c r="D26" s="180">
        <f t="shared" si="2"/>
        <v>1050</v>
      </c>
      <c r="E26" s="191"/>
      <c r="F26" s="231"/>
      <c r="G26" s="227"/>
      <c r="H26" s="188"/>
      <c r="I26" s="189"/>
      <c r="K26" s="206"/>
      <c r="L26" s="292" t="s">
        <v>258</v>
      </c>
      <c r="M26" s="293"/>
      <c r="N26" s="293"/>
      <c r="O26" s="293"/>
      <c r="P26" s="294"/>
      <c r="Q26" s="232"/>
      <c r="R26" s="23"/>
      <c r="S26" s="184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35</v>
      </c>
      <c r="B27" s="179">
        <f>'Données projet'!D40</f>
        <v>70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5"/>
      <c r="M27" s="296"/>
      <c r="N27" s="296"/>
      <c r="O27" s="296"/>
      <c r="P27" s="297"/>
      <c r="Q27" s="232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40</v>
      </c>
      <c r="B28" s="179">
        <f>'Données projet'!D41</f>
        <v>70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45</v>
      </c>
      <c r="B29" s="179">
        <f>'Données projet'!D42</f>
        <v>64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50</v>
      </c>
      <c r="B30" s="179">
        <f>'Données projet'!D43</f>
        <v>56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55</v>
      </c>
      <c r="B31" s="179">
        <f>'Données projet'!D44</f>
        <v>48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60</v>
      </c>
      <c r="B32" s="179">
        <f>'Données projet'!D45</f>
        <v>42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65</v>
      </c>
      <c r="B33" s="179">
        <f>'Données projet'!D46</f>
        <v>37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70</v>
      </c>
      <c r="B34" s="179">
        <f>'Données projet'!D47</f>
        <v>34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75</v>
      </c>
      <c r="B35" s="179">
        <f>'Données projet'!D48</f>
        <v>33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80</v>
      </c>
      <c r="B36" s="179">
        <f>'Données projet'!D49</f>
        <v>32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maritime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1614.33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11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12</v>
      </c>
      <c r="B55" s="179">
        <f>'Données projet'!D63</f>
        <v>34</v>
      </c>
      <c r="C55" s="189">
        <v>15</v>
      </c>
      <c r="D55" s="177">
        <f t="shared" ref="D55:D73" si="4">B55*C55</f>
        <v>510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13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14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15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16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17</v>
      </c>
      <c r="B60" s="179">
        <f>'Données projet'!D68</f>
        <v>43</v>
      </c>
      <c r="C60" s="189">
        <v>22</v>
      </c>
      <c r="D60" s="177">
        <f t="shared" si="4"/>
        <v>946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18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19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20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21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22</v>
      </c>
      <c r="B65" s="179">
        <f>'Données projet'!D73</f>
        <v>56</v>
      </c>
      <c r="C65" s="189">
        <v>30</v>
      </c>
      <c r="D65" s="177">
        <f t="shared" si="4"/>
        <v>1680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23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24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25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26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27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28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29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30</v>
      </c>
      <c r="B73" s="179">
        <f>'Données projet'!D81</f>
        <v>309</v>
      </c>
      <c r="C73" s="189">
        <v>40</v>
      </c>
      <c r="D73" s="177">
        <f t="shared" si="4"/>
        <v>12360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taeda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1671.3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11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12</v>
      </c>
      <c r="B86" s="179">
        <f>'Données projet'!D89</f>
        <v>34</v>
      </c>
      <c r="C86" s="189">
        <v>15</v>
      </c>
      <c r="D86" s="177">
        <f t="shared" ref="D86:D104" si="6">B86*C86</f>
        <v>510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13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14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15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16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17</v>
      </c>
      <c r="B91" s="179">
        <f>'Données projet'!D94</f>
        <v>43</v>
      </c>
      <c r="C91" s="189">
        <v>15</v>
      </c>
      <c r="D91" s="177">
        <f t="shared" si="6"/>
        <v>645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18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19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20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21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22</v>
      </c>
      <c r="B96" s="179">
        <f>'Données projet'!D99</f>
        <v>56</v>
      </c>
      <c r="C96" s="189">
        <v>15</v>
      </c>
      <c r="D96" s="177">
        <f t="shared" si="6"/>
        <v>840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23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24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25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26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27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28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29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30</v>
      </c>
      <c r="B104" s="179">
        <f>'Données projet'!D107</f>
        <v>309</v>
      </c>
      <c r="C104" s="189">
        <v>15</v>
      </c>
      <c r="D104" s="177">
        <f t="shared" si="6"/>
        <v>4635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sessile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3247.47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25</v>
      </c>
      <c r="B117" s="179">
        <f>'Données projet'!D115</f>
        <v>8</v>
      </c>
      <c r="C117" s="189">
        <v>15</v>
      </c>
      <c r="D117" s="177">
        <f t="shared" ref="D117:D135" si="8">B117*C117</f>
        <v>120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30</v>
      </c>
      <c r="B118" s="179">
        <f>'Données projet'!D116</f>
        <v>21</v>
      </c>
      <c r="C118" s="189">
        <v>15</v>
      </c>
      <c r="D118" s="177">
        <f t="shared" si="8"/>
        <v>315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35</v>
      </c>
      <c r="B119" s="179">
        <f>'Données projet'!D117</f>
        <v>21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40</v>
      </c>
      <c r="B120" s="179">
        <f>'Données projet'!D118</f>
        <v>21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45</v>
      </c>
      <c r="B121" s="179">
        <f>'Données projet'!D119</f>
        <v>21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50</v>
      </c>
      <c r="B122" s="179">
        <f>'Données projet'!D120</f>
        <v>21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55</v>
      </c>
      <c r="B123" s="179">
        <f>'Données projet'!D121</f>
        <v>21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60</v>
      </c>
      <c r="B124" s="179">
        <f>'Données projet'!D122</f>
        <v>21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65</v>
      </c>
      <c r="B125" s="179">
        <f>'Données projet'!D123</f>
        <v>21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70</v>
      </c>
      <c r="B126" s="179">
        <f>'Données projet'!D124</f>
        <v>21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75</v>
      </c>
      <c r="B127" s="179">
        <f>'Données projet'!D125</f>
        <v>21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80</v>
      </c>
      <c r="B128" s="179">
        <f>'Données projet'!D126</f>
        <v>21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85</v>
      </c>
      <c r="B129" s="179">
        <f>'Données projet'!D127</f>
        <v>21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90</v>
      </c>
      <c r="B130" s="179">
        <f>'Données projet'!D128</f>
        <v>21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95</v>
      </c>
      <c r="B131" s="179">
        <f>'Données projet'!D129</f>
        <v>21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100</v>
      </c>
      <c r="B132" s="179">
        <f>'Données projet'!D130</f>
        <v>21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105</v>
      </c>
      <c r="B133" s="179">
        <f>'Données projet'!D131</f>
        <v>20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110</v>
      </c>
      <c r="B134" s="179">
        <f>'Données projet'!D132</f>
        <v>19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115</v>
      </c>
      <c r="B135" s="179">
        <f>'Données projet'!D133</f>
        <v>18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2023-11-29T10:56:11Z</dcterms:modified>
</cp:coreProperties>
</file>