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codeName="ThisWorkbook"/>
  <mc:AlternateContent xmlns:mc="http://schemas.openxmlformats.org/markup-compatibility/2006">
    <mc:Choice Requires="x15">
      <x15ac:absPath xmlns:x15ac="http://schemas.microsoft.com/office/spreadsheetml/2010/11/ac" url="P:\Bureau\PARTAGE\Label Bas Carbone\04_Auxerre\2024\EPERON R1\"/>
    </mc:Choice>
  </mc:AlternateContent>
  <xr:revisionPtr revIDLastSave="0" documentId="13_ncr:1_{5F9297BB-9207-4C63-94BA-49D90E90210E}" xr6:coauthVersionLast="47" xr6:coauthVersionMax="47" xr10:uidLastSave="{00000000-0000-0000-0000-000000000000}"/>
  <bookViews>
    <workbookView xWindow="-120" yWindow="-120" windowWidth="29040" windowHeight="15840" tabRatio="866" activeTab="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0" i="6" l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FQ4" i="2" s="1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FR4" i="2" l="1"/>
  <c r="BR4" i="2"/>
  <c r="BQ4" i="2"/>
  <c r="EA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B7" i="2"/>
  <c r="EV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B10" i="2" l="1"/>
  <c r="HG10" i="2"/>
  <c r="EA10" i="2"/>
  <c r="HH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B14" i="2" l="1"/>
  <c r="HH14" i="2"/>
  <c r="EX14" i="2"/>
  <c r="HG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HH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EX18" i="2" s="1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V18" i="2" l="1"/>
  <c r="EW18" i="2"/>
  <c r="HG18" i="2"/>
  <c r="EA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EC20" i="2" s="1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EV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EV21" i="2"/>
  <c r="EB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A22" i="2" l="1"/>
  <c r="EB22" i="2"/>
  <c r="EW22" i="2"/>
  <c r="HG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FR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HH26" i="2" s="1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FS26" i="2" l="1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FS28" i="2" l="1"/>
  <c r="EC28" i="2"/>
  <c r="EB28" i="2"/>
  <c r="HG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S29" i="2" s="1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V33" i="2" l="1"/>
  <c r="EW33" i="2"/>
  <c r="EB33" i="2"/>
  <c r="HG33" i="2"/>
  <c r="HH33" i="2"/>
  <c r="EA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FQ35" i="2" l="1"/>
  <c r="HH35" i="2"/>
  <c r="EB35" i="2"/>
  <c r="EA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G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S38" i="2" s="1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A38" i="2" l="1"/>
  <c r="HH38" i="2"/>
  <c r="EX38" i="2"/>
  <c r="HI38" i="2"/>
  <c r="EW38" i="2"/>
  <c r="HG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HH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HG42" i="2"/>
  <c r="EV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DG43" i="2" l="1"/>
  <c r="EA43" i="2"/>
  <c r="HI43" i="2"/>
  <c r="H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H44" i="2" l="1"/>
  <c r="EC44" i="2"/>
  <c r="EW44" i="2"/>
  <c r="HG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W46" i="2" l="1"/>
  <c r="HG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A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EV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FS55" i="2" l="1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I57" i="2" l="1"/>
  <c r="EB57" i="2"/>
  <c r="HG57" i="2"/>
  <c r="FS57" i="2"/>
  <c r="EV57" i="2"/>
  <c r="HH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A59" i="2" l="1"/>
  <c r="EC59" i="2"/>
  <c r="EB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HG60" i="2"/>
  <c r="EW60" i="2"/>
  <c r="EV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X61" i="2"/>
  <c r="EA61" i="2"/>
  <c r="EV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EB62" i="2"/>
  <c r="HH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C63" i="2" l="1"/>
  <c r="EB63" i="2"/>
  <c r="HG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A64" i="2" l="1"/>
  <c r="HH64" i="2"/>
  <c r="EC64" i="2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EV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EC69" i="2" s="1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HI69" i="2" l="1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I70" i="2" l="1"/>
  <c r="EW70" i="2"/>
  <c r="HG70" i="2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FS75" i="2" l="1"/>
  <c r="HG75" i="2"/>
  <c r="EA75" i="2"/>
  <c r="EB75" i="2"/>
  <c r="HH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HI77" i="2" l="1"/>
  <c r="EB77" i="2"/>
  <c r="EA77" i="2"/>
  <c r="EW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G79" i="2" l="1"/>
  <c r="EB79" i="2"/>
  <c r="HH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HH82" i="2" s="1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G82" i="2" l="1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V83" i="2" l="1"/>
  <c r="EW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C85" i="2" l="1"/>
  <c r="EV85" i="2"/>
  <c r="EW85" i="2"/>
  <c r="HG85" i="2"/>
  <c r="HH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EA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EA91" i="2" s="1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X91" i="2" l="1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X95" i="2" l="1"/>
  <c r="FQ95" i="2"/>
  <c r="HG95" i="2"/>
  <c r="EB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S98" i="2" s="1"/>
  <c r="FP98" i="2"/>
  <c r="FX98" i="2"/>
  <c r="DZ98" i="2"/>
  <c r="DL98" i="2"/>
  <c r="DE98" i="2"/>
  <c r="GG98" i="2"/>
  <c r="EQ98" i="2"/>
  <c r="EH98" i="2"/>
  <c r="CJ98" i="2"/>
  <c r="CR98" i="2"/>
  <c r="FB98" i="2"/>
  <c r="ER98" i="2"/>
  <c r="EX98" i="2" s="1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HI98" i="2" l="1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W100" i="2" l="1"/>
  <c r="EX100" i="2"/>
  <c r="EV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EX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HH105" i="2"/>
  <c r="FS105" i="2"/>
  <c r="EV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X107" i="2" l="1"/>
  <c r="EA107" i="2"/>
  <c r="HG107" i="2"/>
  <c r="EC107" i="2"/>
  <c r="EB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W108" i="2" l="1"/>
  <c r="EB108" i="2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X109" i="2" l="1"/>
  <c r="EB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G110" i="2"/>
  <c r="HH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X112" i="2" l="1"/>
  <c r="EB112" i="2"/>
  <c r="FQ112" i="2"/>
  <c r="EC112" i="2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C113" i="2" l="1"/>
  <c r="EW113" i="2"/>
  <c r="EX113" i="2"/>
  <c r="FS113" i="2"/>
  <c r="HI113" i="2"/>
  <c r="EB113" i="2"/>
  <c r="HG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HG114" i="2"/>
  <c r="EV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FS115" i="2" s="1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HI115" i="2" l="1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EC116" i="2"/>
  <c r="EV116" i="2"/>
  <c r="HG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H118" i="2" l="1"/>
  <c r="EX118" i="2"/>
  <c r="FS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FR119" i="2" l="1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X120" i="2" l="1"/>
  <c r="FQ120" i="2"/>
  <c r="FR120" i="2"/>
  <c r="HI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EB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FS122" i="2"/>
  <c r="HI122" i="2"/>
  <c r="EW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W124" i="2" l="1"/>
  <c r="HH124" i="2"/>
  <c r="EX124" i="2"/>
  <c r="HG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HI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EA126" i="2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I127" i="2" s="1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HG128" i="2" l="1"/>
  <c r="FS128" i="2"/>
  <c r="EX128" i="2"/>
  <c r="EB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EB130" i="2" s="1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X130" i="2" l="1"/>
  <c r="EW130" i="2"/>
  <c r="HG130" i="2"/>
  <c r="FS130" i="2"/>
  <c r="HH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EC132" i="2" s="1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HG132" i="2" l="1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H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EV134" i="2" s="1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EW134" i="2"/>
  <c r="HG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HH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B138" i="2" l="1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W139" i="2"/>
  <c r="HH139" i="2"/>
  <c r="EA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EC140" i="2" s="1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HH140" i="2" l="1"/>
  <c r="EX140" i="2"/>
  <c r="EB140" i="2"/>
  <c r="FR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H141" i="2" l="1"/>
  <c r="EA141" i="2"/>
  <c r="EB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A144" i="2" l="1"/>
  <c r="FR144" i="2"/>
  <c r="HG144" i="2"/>
  <c r="EX144" i="2"/>
  <c r="EB144" i="2"/>
  <c r="HH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FR145" i="2"/>
  <c r="HG145" i="2"/>
  <c r="EA145" i="2"/>
  <c r="EB145" i="2"/>
  <c r="HH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HH146" i="2" s="1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S146" i="2" s="1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HI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EX147" i="2" s="1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EC149" i="2" s="1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FS150" i="2"/>
  <c r="HI150" i="2"/>
  <c r="HG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EV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AC154" i="2" s="1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DW155" i="2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EX155" i="2" l="1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EY155" i="2"/>
  <c r="ED155" i="2"/>
  <c r="AX152" i="2"/>
  <c r="HI156" i="2" l="1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EX157" i="2" s="1"/>
  <c r="DM157" i="2"/>
  <c r="ES157" i="2"/>
  <c r="ET157" i="2"/>
  <c r="DW157" i="2"/>
  <c r="EC157" i="2" s="1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EW158" i="2" s="1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EV158" i="2" s="1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AU158" i="2" l="1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C159" i="2" l="1"/>
  <c r="HI159" i="2"/>
  <c r="HH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H160" i="2" l="1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EB161" i="2"/>
  <c r="EX161" i="2"/>
  <c r="FS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V163" i="2" l="1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EA164" i="2" l="1"/>
  <c r="EX164" i="2"/>
  <c r="EV164" i="2"/>
  <c r="FR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B165" i="2" l="1"/>
  <c r="HG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FS166" i="2" l="1"/>
  <c r="HG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HI167" i="2" s="1"/>
  <c r="GI167" i="2"/>
  <c r="FP167" i="2"/>
  <c r="EG167" i="2"/>
  <c r="FL167" i="2"/>
  <c r="EQ167" i="2"/>
  <c r="FW167" i="2"/>
  <c r="EU167" i="2"/>
  <c r="DW167" i="2"/>
  <c r="EC167" i="2" s="1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B167" i="2" l="1"/>
  <c r="HH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EW168" i="2" s="1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HH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B169" i="2" l="1"/>
  <c r="FS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W172" i="2" s="1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W173" i="2" l="1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C174" i="2" s="1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HG174" i="2" l="1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EA175" i="2" s="1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EB175" i="2" l="1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C177" i="2" l="1"/>
  <c r="EW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EA178" i="2" s="1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HH178" i="2"/>
  <c r="HG178" i="2"/>
  <c r="FS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DF179" i="2" s="1"/>
  <c r="CG179" i="2"/>
  <c r="W179" i="2"/>
  <c r="AX176" i="2"/>
  <c r="ED178" i="2"/>
  <c r="EV179" i="2" l="1"/>
  <c r="HI179" i="2"/>
  <c r="HH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I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HG181" i="2" l="1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EC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B183" i="2" l="1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/>
  <c r="EV185" i="2" l="1"/>
  <c r="HH185" i="2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S186" i="2" l="1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EB187" i="2" l="1"/>
  <c r="HH187" i="2"/>
  <c r="HG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EY188" i="2"/>
  <c r="AX186" i="2"/>
  <c r="EC189" i="2" l="1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EW190" i="2" s="1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HG192" i="2" s="1"/>
  <c r="GJ192" i="2"/>
  <c r="EH192" i="2"/>
  <c r="FM192" i="2"/>
  <c r="EG192" i="2"/>
  <c r="FN192" i="2"/>
  <c r="FX192" i="2"/>
  <c r="FO192" i="2"/>
  <c r="ET192" i="2"/>
  <c r="EW192" i="2" s="1"/>
  <c r="FB192" i="2"/>
  <c r="FC192" i="2"/>
  <c r="DZ192" i="2"/>
  <c r="DB192" i="2"/>
  <c r="FL192" i="2"/>
  <c r="DC192" i="2"/>
  <c r="DM192" i="2"/>
  <c r="FP192" i="2"/>
  <c r="DV192" i="2"/>
  <c r="DW192" i="2"/>
  <c r="EC192" i="2" s="1"/>
  <c r="CQ192" i="2"/>
  <c r="CI192" i="2"/>
  <c r="BN192" i="2"/>
  <c r="EQ192" i="2"/>
  <c r="DX192" i="2"/>
  <c r="CR192" i="2"/>
  <c r="CJ192" i="2"/>
  <c r="BO192" i="2"/>
  <c r="ER192" i="2"/>
  <c r="DY192" i="2"/>
  <c r="EB192" i="2" s="1"/>
  <c r="ES192" i="2"/>
  <c r="EV192" i="2" s="1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A192" i="2" l="1"/>
  <c r="HH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B193" i="2" l="1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A195" i="2" s="1"/>
  <c r="AX192" i="2"/>
  <c r="EA195" i="2" l="1"/>
  <c r="HI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HH196" i="2" s="1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W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EA197" i="2" s="1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C197" i="2" l="1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EW198" i="2" s="1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HI198" i="2" l="1"/>
  <c r="EV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W199" i="2" l="1"/>
  <c r="HH199" i="2"/>
  <c r="HG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EX200" i="2" s="1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W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EA201" i="2" s="1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ED200" i="2"/>
  <c r="DI200" i="2"/>
  <c r="FS201" i="2" l="1"/>
  <c r="EB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FR202" i="2" s="1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BP203" i="2" l="1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<sst xmlns="http://schemas.openxmlformats.org/spreadsheetml/2006/main" count="1172" uniqueCount="324">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</sst>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2.5056460090303925</c:v>
                </c:pt>
                <c:pt idx="2">
                  <c:v>3.327732738846354</c:v>
                </c:pt>
                <c:pt idx="3">
                  <c:v>4.4206485604712045</c:v>
                </c:pt>
                <c:pt idx="4">
                  <c:v>5.8739591407388465</c:v>
                </c:pt>
                <c:pt idx="5">
                  <c:v>7.8069564008888577</c:v>
                </c:pt>
                <c:pt idx="6">
                  <c:v>10.378557094398952</c:v>
                </c:pt>
                <c:pt idx="7">
                  <c:v>13.800507525415135</c:v>
                </c:pt>
                <c:pt idx="8">
                  <c:v>18.355001719973249</c:v>
                </c:pt>
                <c:pt idx="9">
                  <c:v>24.418192160645134</c:v>
                </c:pt>
                <c:pt idx="10">
                  <c:v>32.491569113944941</c:v>
                </c:pt>
                <c:pt idx="11">
                  <c:v>46.196812848008648</c:v>
                </c:pt>
                <c:pt idx="12">
                  <c:v>71.194541231497439</c:v>
                </c:pt>
                <c:pt idx="13">
                  <c:v>95.96345784929629</c:v>
                </c:pt>
                <c:pt idx="14">
                  <c:v>120.57194719408416</c:v>
                </c:pt>
                <c:pt idx="15">
                  <c:v>145.05761634546045</c:v>
                </c:pt>
                <c:pt idx="16">
                  <c:v>169.44419476765631</c:v>
                </c:pt>
                <c:pt idx="17">
                  <c:v>193.74797749245658</c:v>
                </c:pt>
                <c:pt idx="18">
                  <c:v>217.98082037329849</c:v>
                </c:pt>
                <c:pt idx="19">
                  <c:v>242.15172097259355</c:v>
                </c:pt>
                <c:pt idx="20">
                  <c:v>266.26773098057942</c:v>
                </c:pt>
                <c:pt idx="21">
                  <c:v>159.57282621344496</c:v>
                </c:pt>
                <c:pt idx="22">
                  <c:v>185.97263404285067</c:v>
                </c:pt>
                <c:pt idx="23">
                  <c:v>212.28484399685968</c:v>
                </c:pt>
                <c:pt idx="24">
                  <c:v>238.52184729375207</c:v>
                </c:pt>
                <c:pt idx="25">
                  <c:v>264.69308010810488</c:v>
                </c:pt>
                <c:pt idx="26">
                  <c:v>290.80595767435881</c:v>
                </c:pt>
                <c:pt idx="27">
                  <c:v>316.86645381713618</c:v>
                </c:pt>
                <c:pt idx="28">
                  <c:v>342.87947924141321</c:v>
                </c:pt>
                <c:pt idx="29">
                  <c:v>368.84913875699363</c:v>
                </c:pt>
                <c:pt idx="30">
                  <c:v>394.77891215703016</c:v>
                </c:pt>
                <c:pt idx="31">
                  <c:v>285.46198036941058</c:v>
                </c:pt>
                <c:pt idx="32">
                  <c:v>307.76660666579414</c:v>
                </c:pt>
                <c:pt idx="33">
                  <c:v>330.03533047043965</c:v>
                </c:pt>
                <c:pt idx="34">
                  <c:v>352.27091350599159</c:v>
                </c:pt>
                <c:pt idx="35">
                  <c:v>374.47574048007573</c:v>
                </c:pt>
                <c:pt idx="36">
                  <c:v>396.65189032068633</c:v>
                </c:pt>
                <c:pt idx="37">
                  <c:v>418.80119064069623</c:v>
                </c:pt>
                <c:pt idx="38">
                  <c:v>440.92526007564766</c:v>
                </c:pt>
                <c:pt idx="39">
                  <c:v>463.02554167991076</c:v>
                </c:pt>
                <c:pt idx="40">
                  <c:v>485.10332961470596</c:v>
                </c:pt>
                <c:pt idx="41">
                  <c:v>373.85065404864326</c:v>
                </c:pt>
                <c:pt idx="42">
                  <c:v>390.40787872062606</c:v>
                </c:pt>
                <c:pt idx="43">
                  <c:v>406.94987233545248</c:v>
                </c:pt>
                <c:pt idx="44">
                  <c:v>423.47734098430942</c:v>
                </c:pt>
                <c:pt idx="45">
                  <c:v>439.9909311636232</c:v>
                </c:pt>
                <c:pt idx="46">
                  <c:v>456.49123689912636</c:v>
                </c:pt>
                <c:pt idx="47">
                  <c:v>472.97880578635403</c:v>
                </c:pt>
                <c:pt idx="48">
                  <c:v>489.45414414515534</c:v>
                </c:pt>
                <c:pt idx="49">
                  <c:v>505.91772144421634</c:v>
                </c:pt>
                <c:pt idx="50">
                  <c:v>522.36997411983327</c:v>
                </c:pt>
                <c:pt idx="51">
                  <c:v>461.62550018117787</c:v>
                </c:pt>
                <c:pt idx="52">
                  <c:v>473.91169408691849</c:v>
                </c:pt>
                <c:pt idx="53">
                  <c:v>486.19111062259668</c:v>
                </c:pt>
                <c:pt idx="54">
                  <c:v>498.4639450680906</c:v>
                </c:pt>
                <c:pt idx="55">
                  <c:v>510.73038230388005</c:v>
                </c:pt>
                <c:pt idx="56">
                  <c:v>522.99059760658679</c:v>
                </c:pt>
                <c:pt idx="57">
                  <c:v>535.24475736604916</c:v>
                </c:pt>
                <c:pt idx="58">
                  <c:v>547.49301973332513</c:v>
                </c:pt>
                <c:pt idx="59">
                  <c:v>559.73553520770236</c:v>
                </c:pt>
                <c:pt idx="60">
                  <c:v>571.97244716969522</c:v>
                </c:pt>
                <c:pt idx="61">
                  <c:v>526.40374987607504</c:v>
                </c:pt>
                <c:pt idx="62">
                  <c:v>535.08967859786583</c:v>
                </c:pt>
                <c:pt idx="63">
                  <c:v>543.77264315505511</c:v>
                </c:pt>
                <c:pt idx="64">
                  <c:v>552.45269756028654</c:v>
                </c:pt>
                <c:pt idx="65">
                  <c:v>561.12989399028811</c:v>
                </c:pt>
                <c:pt idx="66">
                  <c:v>569.80428287631264</c:v>
                </c:pt>
                <c:pt idx="67">
                  <c:v>578.4759129887849</c:v>
                </c:pt>
                <c:pt idx="68">
                  <c:v>587.14483151660897</c:v>
                </c:pt>
                <c:pt idx="69">
                  <c:v>595.8110841415488</c:v>
                </c:pt>
                <c:pt idx="70">
                  <c:v>604.47471510805769</c:v>
                </c:pt>
                <c:pt idx="71">
                  <c:v>563.29875248619226</c:v>
                </c:pt>
                <c:pt idx="72">
                  <c:v>570.11403117109592</c:v>
                </c:pt>
                <c:pt idx="73">
                  <c:v>576.92760782361734</c:v>
                </c:pt>
                <c:pt idx="74">
                  <c:v>583.73950538496536</c:v>
                </c:pt>
                <c:pt idx="75">
                  <c:v>590.54974621713302</c:v>
                </c:pt>
                <c:pt idx="76">
                  <c:v>597.35835212417749</c:v>
                </c:pt>
                <c:pt idx="77">
                  <c:v>604.16534437248072</c:v>
                </c:pt>
                <c:pt idx="78">
                  <c:v>610.97074371004783</c:v>
                </c:pt>
                <c:pt idx="79">
                  <c:v>617.77457038490138</c:v>
                </c:pt>
                <c:pt idx="80">
                  <c:v>624.57684416262452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2.8409897721730037</c:v>
                </c:pt>
                <c:pt idx="2">
                  <c:v>3.4936137767656628</c:v>
                </c:pt>
                <c:pt idx="3">
                  <c:v>4.2967268910058536</c:v>
                </c:pt>
                <c:pt idx="4">
                  <c:v>5.2851544779514645</c:v>
                </c:pt>
                <c:pt idx="5">
                  <c:v>6.5018078390654601</c:v>
                </c:pt>
                <c:pt idx="6">
                  <c:v>7.9995674433027766</c:v>
                </c:pt>
                <c:pt idx="7">
                  <c:v>9.8436060094228282</c:v>
                </c:pt>
                <c:pt idx="8">
                  <c:v>12.11425444224588</c:v>
                </c:pt>
                <c:pt idx="9">
                  <c:v>14.910537800434229</c:v>
                </c:pt>
                <c:pt idx="10">
                  <c:v>18.354538337341264</c:v>
                </c:pt>
                <c:pt idx="11">
                  <c:v>22.596779547894098</c:v>
                </c:pt>
                <c:pt idx="12">
                  <c:v>27.822870730174767</c:v>
                </c:pt>
                <c:pt idx="13">
                  <c:v>34.261707878436859</c:v>
                </c:pt>
                <c:pt idx="14">
                  <c:v>42.195596296668306</c:v>
                </c:pt>
                <c:pt idx="15">
                  <c:v>51.972746288714539</c:v>
                </c:pt>
                <c:pt idx="16">
                  <c:v>64.022699512524582</c:v>
                </c:pt>
                <c:pt idx="17">
                  <c:v>78.875374867413711</c:v>
                </c:pt>
                <c:pt idx="18">
                  <c:v>97.184585031159045</c:v>
                </c:pt>
                <c:pt idx="19">
                  <c:v>119.75707529474329</c:v>
                </c:pt>
                <c:pt idx="20">
                  <c:v>147.58838420434714</c:v>
                </c:pt>
                <c:pt idx="21">
                  <c:v>151.92056403664665</c:v>
                </c:pt>
                <c:pt idx="22">
                  <c:v>168.04258893965877</c:v>
                </c:pt>
                <c:pt idx="23">
                  <c:v>184.12813820679631</c:v>
                </c:pt>
                <c:pt idx="24">
                  <c:v>200.18084844254145</c:v>
                </c:pt>
                <c:pt idx="25">
                  <c:v>216.20372460175975</c:v>
                </c:pt>
                <c:pt idx="26">
                  <c:v>232.19928942325339</c:v>
                </c:pt>
                <c:pt idx="27">
                  <c:v>248.16968942779488</c:v>
                </c:pt>
                <c:pt idx="28">
                  <c:v>264.1167721479751</c:v>
                </c:pt>
                <c:pt idx="29">
                  <c:v>280.04214369956082</c:v>
                </c:pt>
                <c:pt idx="30">
                  <c:v>295.94721255485501</c:v>
                </c:pt>
                <c:pt idx="31">
                  <c:v>208.39124575488827</c:v>
                </c:pt>
                <c:pt idx="32">
                  <c:v>229.86009453547467</c:v>
                </c:pt>
                <c:pt idx="33">
                  <c:v>251.28309296155342</c:v>
                </c:pt>
                <c:pt idx="34">
                  <c:v>272.6646989766358</c:v>
                </c:pt>
                <c:pt idx="35">
                  <c:v>294.00861390700948</c:v>
                </c:pt>
                <c:pt idx="36">
                  <c:v>315.31795766675845</c:v>
                </c:pt>
                <c:pt idx="37">
                  <c:v>336.59539404232538</c:v>
                </c:pt>
                <c:pt idx="38">
                  <c:v>357.84322260194625</c:v>
                </c:pt>
                <c:pt idx="39">
                  <c:v>379.06344761508916</c:v>
                </c:pt>
                <c:pt idx="40">
                  <c:v>400.25783072357081</c:v>
                </c:pt>
                <c:pt idx="41">
                  <c:v>313.76929290842912</c:v>
                </c:pt>
                <c:pt idx="42">
                  <c:v>335.43558947776097</c:v>
                </c:pt>
                <c:pt idx="43">
                  <c:v>357.07106927741569</c:v>
                </c:pt>
                <c:pt idx="44">
                  <c:v>378.6778610090978</c:v>
                </c:pt>
                <c:pt idx="45">
                  <c:v>400.25783072357075</c:v>
                </c:pt>
                <c:pt idx="46">
                  <c:v>421.81262693312578</c:v>
                </c:pt>
                <c:pt idx="47">
                  <c:v>443.3437160197393</c:v>
                </c:pt>
                <c:pt idx="48">
                  <c:v>464.85241040566939</c:v>
                </c:pt>
                <c:pt idx="49">
                  <c:v>486.33989123889143</c:v>
                </c:pt>
                <c:pt idx="50">
                  <c:v>507.80722686130594</c:v>
                </c:pt>
                <c:pt idx="51">
                  <c:v>419.11960237942048</c:v>
                </c:pt>
                <c:pt idx="52">
                  <c:v>437.96309211649071</c:v>
                </c:pt>
                <c:pt idx="53">
                  <c:v>456.78919677852781</c:v>
                </c:pt>
                <c:pt idx="54">
                  <c:v>475.59873329316815</c:v>
                </c:pt>
                <c:pt idx="55">
                  <c:v>494.3924487367961</c:v>
                </c:pt>
                <c:pt idx="56">
                  <c:v>513.17102878971104</c:v>
                </c:pt>
                <c:pt idx="57">
                  <c:v>531.93510488968684</c:v>
                </c:pt>
                <c:pt idx="58">
                  <c:v>550.68526032404009</c:v>
                </c:pt>
                <c:pt idx="59">
                  <c:v>569.42203544921153</c:v>
                </c:pt>
                <c:pt idx="60">
                  <c:v>588.14593218796983</c:v>
                </c:pt>
                <c:pt idx="61">
                  <c:v>497.26768589837212</c:v>
                </c:pt>
                <c:pt idx="62">
                  <c:v>513.55411203705933</c:v>
                </c:pt>
                <c:pt idx="63">
                  <c:v>529.82963703400833</c:v>
                </c:pt>
                <c:pt idx="64">
                  <c:v>546.09464274073571</c:v>
                </c:pt>
                <c:pt idx="65">
                  <c:v>562.34948641975654</c:v>
                </c:pt>
                <c:pt idx="66">
                  <c:v>578.59450300758772</c:v>
                </c:pt>
                <c:pt idx="67">
                  <c:v>594.83000711050624</c:v>
                </c:pt>
                <c:pt idx="68">
                  <c:v>611.05629477119896</c:v>
                </c:pt>
                <c:pt idx="69">
                  <c:v>627.27364503811202</c:v>
                </c:pt>
                <c:pt idx="70">
                  <c:v>643.48232136416652</c:v>
                </c:pt>
                <c:pt idx="71">
                  <c:v>550.68526032404009</c:v>
                </c:pt>
                <c:pt idx="72">
                  <c:v>564.83464686291791</c:v>
                </c:pt>
                <c:pt idx="73">
                  <c:v>578.97662295224802</c:v>
                </c:pt>
                <c:pt idx="74">
                  <c:v>593.11139502123308</c:v>
                </c:pt>
                <c:pt idx="75">
                  <c:v>607.23915886223847</c:v>
                </c:pt>
                <c:pt idx="76">
                  <c:v>621.36010041874761</c:v>
                </c:pt>
                <c:pt idx="77">
                  <c:v>635.47439649799799</c:v>
                </c:pt>
                <c:pt idx="78">
                  <c:v>649.58221541705041</c:v>
                </c:pt>
                <c:pt idx="79">
                  <c:v>663.6837175898421</c:v>
                </c:pt>
                <c:pt idx="80">
                  <c:v>677.7790560617857</c:v>
                </c:pt>
                <c:pt idx="81">
                  <c:v>583.56165301259591</c:v>
                </c:pt>
                <c:pt idx="82">
                  <c:v>596.16663396016543</c:v>
                </c:pt>
                <c:pt idx="83">
                  <c:v>608.76607282046416</c:v>
                </c:pt>
                <c:pt idx="84">
                  <c:v>621.36010041874761</c:v>
                </c:pt>
                <c:pt idx="85">
                  <c:v>633.94884184663999</c:v>
                </c:pt>
                <c:pt idx="86">
                  <c:v>646.53241682467001</c:v>
                </c:pt>
                <c:pt idx="87">
                  <c:v>659.11094003512596</c:v>
                </c:pt>
                <c:pt idx="88">
                  <c:v>671.68452142819649</c:v>
                </c:pt>
                <c:pt idx="89">
                  <c:v>684.253266504007</c:v>
                </c:pt>
                <c:pt idx="90">
                  <c:v>696.81727657286876</c:v>
                </c:pt>
                <c:pt idx="91">
                  <c:v>601.32161215624558</c:v>
                </c:pt>
                <c:pt idx="92">
                  <c:v>612.58301041135337</c:v>
                </c:pt>
                <c:pt idx="93">
                  <c:v>623.84011521480909</c:v>
                </c:pt>
                <c:pt idx="94">
                  <c:v>635.09301493951546</c:v>
                </c:pt>
                <c:pt idx="95">
                  <c:v>646.3417945722922</c:v>
                </c:pt>
                <c:pt idx="96">
                  <c:v>657.58653590152937</c:v>
                </c:pt>
                <c:pt idx="97">
                  <c:v>668.82731769134693</c:v>
                </c:pt>
                <c:pt idx="98">
                  <c:v>680.06421584344059</c:v>
                </c:pt>
                <c:pt idx="99">
                  <c:v>691.29730354767969</c:v>
                </c:pt>
                <c:pt idx="100">
                  <c:v>702.52665142241415</c:v>
                </c:pt>
                <c:pt idx="101">
                  <c:v>607.62089481714133</c:v>
                </c:pt>
                <c:pt idx="102">
                  <c:v>617.54429227660387</c:v>
                </c:pt>
                <c:pt idx="103">
                  <c:v>627.46438526884356</c:v>
                </c:pt>
                <c:pt idx="104">
                  <c:v>637.38123339273795</c:v>
                </c:pt>
                <c:pt idx="105">
                  <c:v>647.29489424172436</c:v>
                </c:pt>
                <c:pt idx="106">
                  <c:v>657.20542350161338</c:v>
                </c:pt>
                <c:pt idx="107">
                  <c:v>667.11287504220002</c:v>
                </c:pt>
                <c:pt idx="108">
                  <c:v>677.01730100314978</c:v>
                </c:pt>
                <c:pt idx="109">
                  <c:v>686.91875187459846</c:v>
                </c:pt>
                <c:pt idx="110">
                  <c:v>696.8172765728682</c:v>
                </c:pt>
                <c:pt idx="111">
                  <c:v>608.19348941446708</c:v>
                </c:pt>
                <c:pt idx="112">
                  <c:v>616.7810721021084</c:v>
                </c:pt>
                <c:pt idx="113">
                  <c:v>625.36617664098787</c:v>
                </c:pt>
                <c:pt idx="114">
                  <c:v>633.94884184663977</c:v>
                </c:pt>
                <c:pt idx="115">
                  <c:v>642.52910539795425</c:v>
                </c:pt>
                <c:pt idx="116">
                  <c:v>651.1070038855247</c:v>
                </c:pt>
                <c:pt idx="117">
                  <c:v>659.68257285730897</c:v>
                </c:pt>
                <c:pt idx="118">
                  <c:v>668.25584686179923</c:v>
                </c:pt>
                <c:pt idx="119">
                  <c:v>676.82685948885705</c:v>
                </c:pt>
                <c:pt idx="120">
                  <c:v>685.39564340837785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1.9960712331870976</c:v>
                </c:pt>
                <c:pt idx="2">
                  <c:v>2.7416990049638525</c:v>
                </c:pt>
                <c:pt idx="3">
                  <c:v>3.7670473110861704</c:v>
                </c:pt>
                <c:pt idx="4">
                  <c:v>5.1774741551981576</c:v>
                </c:pt>
                <c:pt idx="5">
                  <c:v>7.1181693875211574</c:v>
                </c:pt>
                <c:pt idx="6">
                  <c:v>9.7892655629651237</c:v>
                </c:pt>
                <c:pt idx="7">
                  <c:v>13.466699485205766</c:v>
                </c:pt>
                <c:pt idx="8">
                  <c:v>18.531019264339804</c:v>
                </c:pt>
                <c:pt idx="9">
                  <c:v>25.507171589561072</c:v>
                </c:pt>
                <c:pt idx="10">
                  <c:v>35.11946593524749</c:v>
                </c:pt>
                <c:pt idx="11">
                  <c:v>60.297639146616369</c:v>
                </c:pt>
                <c:pt idx="12">
                  <c:v>85.194768164020218</c:v>
                </c:pt>
                <c:pt idx="13">
                  <c:v>109.90665396759691</c:v>
                </c:pt>
                <c:pt idx="14">
                  <c:v>134.48126302738513</c:v>
                </c:pt>
                <c:pt idx="15">
                  <c:v>158.94734253479243</c:v>
                </c:pt>
                <c:pt idx="16">
                  <c:v>183.32399225800421</c:v>
                </c:pt>
                <c:pt idx="17">
                  <c:v>207.62479146984003</c:v>
                </c:pt>
                <c:pt idx="18">
                  <c:v>231.85987083514178</c:v>
                </c:pt>
                <c:pt idx="19">
                  <c:v>256.03706594115926</c:v>
                </c:pt>
                <c:pt idx="20">
                  <c:v>280.16260989796973</c:v>
                </c:pt>
                <c:pt idx="21">
                  <c:v>188.04464873361908</c:v>
                </c:pt>
                <c:pt idx="22">
                  <c:v>221.25703044371778</c:v>
                </c:pt>
                <c:pt idx="23">
                  <c:v>254.35482042421077</c:v>
                </c:pt>
                <c:pt idx="24">
                  <c:v>287.35503217179325</c:v>
                </c:pt>
                <c:pt idx="25">
                  <c:v>320.27044348252321</c:v>
                </c:pt>
                <c:pt idx="26">
                  <c:v>353.11098821334605</c:v>
                </c:pt>
                <c:pt idx="27">
                  <c:v>385.88460083872718</c:v>
                </c:pt>
                <c:pt idx="28">
                  <c:v>418.59775818754741</c:v>
                </c:pt>
                <c:pt idx="29">
                  <c:v>451.25584262505646</c:v>
                </c:pt>
                <c:pt idx="30">
                  <c:v>483.86339446304572</c:v>
                </c:pt>
                <c:pt idx="31">
                  <c:v>349.29312109132542</c:v>
                </c:pt>
                <c:pt idx="32">
                  <c:v>381.24052241560281</c:v>
                </c:pt>
                <c:pt idx="33">
                  <c:v>413.12970902158912</c:v>
                </c:pt>
                <c:pt idx="34">
                  <c:v>444.96580033395298</c:v>
                </c:pt>
                <c:pt idx="35">
                  <c:v>476.75312396624321</c:v>
                </c:pt>
                <c:pt idx="36">
                  <c:v>508.4953838956676</c:v>
                </c:pt>
                <c:pt idx="37">
                  <c:v>540.19578443936393</c:v>
                </c:pt>
                <c:pt idx="38">
                  <c:v>571.8571236111394</c:v>
                </c:pt>
                <c:pt idx="39">
                  <c:v>603.48186473059241</c:v>
                </c:pt>
                <c:pt idx="40">
                  <c:v>635.07219224690084</c:v>
                </c:pt>
                <c:pt idx="41">
                  <c:v>496.65631445060126</c:v>
                </c:pt>
                <c:pt idx="42">
                  <c:v>523.64091513728647</c:v>
                </c:pt>
                <c:pt idx="43">
                  <c:v>550.59622582737018</c:v>
                </c:pt>
                <c:pt idx="44">
                  <c:v>577.52388027951656</c:v>
                </c:pt>
                <c:pt idx="45">
                  <c:v>604.42534765809012</c:v>
                </c:pt>
                <c:pt idx="46">
                  <c:v>631.30195584847183</c:v>
                </c:pt>
                <c:pt idx="47">
                  <c:v>658.15491059834255</c:v>
                </c:pt>
                <c:pt idx="48">
                  <c:v>684.98531137525208</c:v>
                </c:pt>
                <c:pt idx="49">
                  <c:v>711.79416461281119</c:v>
                </c:pt>
                <c:pt idx="50">
                  <c:v>738.58239485956028</c:v>
                </c:pt>
                <c:pt idx="51">
                  <c:v>609.49604560795967</c:v>
                </c:pt>
                <c:pt idx="52">
                  <c:v>632.2445584894391</c:v>
                </c:pt>
                <c:pt idx="53">
                  <c:v>654.97615321685669</c:v>
                </c:pt>
                <c:pt idx="54">
                  <c:v>677.69149890374536</c:v>
                </c:pt>
                <c:pt idx="55">
                  <c:v>700.39121620344451</c:v>
                </c:pt>
                <c:pt idx="56">
                  <c:v>723.07588230699582</c:v>
                </c:pt>
                <c:pt idx="57">
                  <c:v>745.74603528189357</c:v>
                </c:pt>
                <c:pt idx="58">
                  <c:v>768.40217785639322</c:v>
                </c:pt>
                <c:pt idx="59">
                  <c:v>791.04478073480857</c:v>
                </c:pt>
                <c:pt idx="60">
                  <c:v>813.67428551393857</c:v>
                </c:pt>
                <c:pt idx="61">
                  <c:v>719.55073421012912</c:v>
                </c:pt>
                <c:pt idx="62">
                  <c:v>738.11259868718491</c:v>
                </c:pt>
                <c:pt idx="63">
                  <c:v>756.66496313732296</c:v>
                </c:pt>
                <c:pt idx="64">
                  <c:v>775.20809304811462</c:v>
                </c:pt>
                <c:pt idx="65">
                  <c:v>793.74224018427151</c:v>
                </c:pt>
                <c:pt idx="66">
                  <c:v>812.26764360731715</c:v>
                </c:pt>
                <c:pt idx="67">
                  <c:v>830.78453059749984</c:v>
                </c:pt>
                <c:pt idx="68">
                  <c:v>849.29311748933662</c:v>
                </c:pt>
                <c:pt idx="69">
                  <c:v>867.79361043061851</c:v>
                </c:pt>
                <c:pt idx="70">
                  <c:v>886.28620607340656</c:v>
                </c:pt>
                <c:pt idx="71">
                  <c:v>807.69571767022671</c:v>
                </c:pt>
                <c:pt idx="72">
                  <c:v>822.81626726121738</c:v>
                </c:pt>
                <c:pt idx="73">
                  <c:v>837.93122299822573</c:v>
                </c:pt>
                <c:pt idx="74">
                  <c:v>853.04069990631922</c:v>
                </c:pt>
                <c:pt idx="75">
                  <c:v>868.14480860757533</c:v>
                </c:pt>
                <c:pt idx="76">
                  <c:v>883.24365556486009</c:v>
                </c:pt>
                <c:pt idx="77">
                  <c:v>898.33734330808841</c:v>
                </c:pt>
                <c:pt idx="78">
                  <c:v>913.42597064450467</c:v>
                </c:pt>
                <c:pt idx="79">
                  <c:v>928.50963285436319</c:v>
                </c:pt>
                <c:pt idx="80">
                  <c:v>943.58842187324615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57" t="s">
        <v>291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 x14ac:dyDescent="0.25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 x14ac:dyDescent="0.25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 x14ac:dyDescent="0.25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 x14ac:dyDescent="0.25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 x14ac:dyDescent="0.25">
      <c r="B18" s="257" t="s">
        <v>292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 x14ac:dyDescent="0.25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 x14ac:dyDescent="0.25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 x14ac:dyDescent="0.25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 x14ac:dyDescent="0.25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 x14ac:dyDescent="0.25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 x14ac:dyDescent="0.25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 x14ac:dyDescent="0.25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 x14ac:dyDescent="0.25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 x14ac:dyDescent="0.25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 x14ac:dyDescent="0.25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 x14ac:dyDescent="0.25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 x14ac:dyDescent="0.25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 x14ac:dyDescent="0.25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12" zoomScale="80" zoomScaleNormal="80" workbookViewId="0">
      <selection activeCell="C12" sqref="C12"/>
    </sheetView>
  </sheetViews>
  <sheetFormatPr baseColWidth="10" defaultColWidth="11.42578125" defaultRowHeight="15" x14ac:dyDescent="0.25"/>
  <cols>
    <col min="1" max="1" width="13.7109375" style="23" customWidth="1"/>
    <col min="2" max="2" width="36.140625" style="23" customWidth="1"/>
    <col min="3" max="3" width="14.85546875" style="23" bestFit="1" customWidth="1"/>
    <col min="4" max="4" width="16.42578125" style="23" customWidth="1"/>
    <col min="5" max="5" width="23.28515625" style="23" customWidth="1"/>
    <col min="6" max="6" width="28.85546875" style="23" bestFit="1" customWidth="1"/>
    <col min="7" max="8" width="14.7109375" style="23" customWidth="1"/>
    <col min="9" max="9" width="17" style="23" customWidth="1"/>
    <col min="10" max="10" width="13.85546875" style="23" customWidth="1"/>
    <col min="11" max="16384" width="11.42578125" style="23"/>
  </cols>
  <sheetData>
    <row r="1" spans="1:38" x14ac:dyDescent="0.25">
      <c r="A1" s="4"/>
      <c r="B1" s="4"/>
      <c r="C1" s="258" t="s">
        <v>190</v>
      </c>
      <c r="D1" s="258"/>
      <c r="E1" s="258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.75" thickBot="1" x14ac:dyDescent="0.3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7" thickBot="1" x14ac:dyDescent="0.3">
      <c r="A3" s="4"/>
      <c r="B3" s="263" t="s">
        <v>192</v>
      </c>
      <c r="C3" s="264"/>
      <c r="D3" s="264"/>
      <c r="E3" s="264"/>
      <c r="F3" s="265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.25" x14ac:dyDescent="0.25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.25" x14ac:dyDescent="0.25">
      <c r="A5" s="268" t="s">
        <v>231</v>
      </c>
      <c r="B5" s="268"/>
      <c r="C5" s="24">
        <v>6.4</v>
      </c>
      <c r="D5" s="269" t="s">
        <v>229</v>
      </c>
      <c r="E5" s="270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25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.25" x14ac:dyDescent="0.25">
      <c r="A7" s="267" t="s">
        <v>226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25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25">
      <c r="A9" s="30" t="s">
        <v>165</v>
      </c>
      <c r="B9" s="31" t="s">
        <v>8</v>
      </c>
      <c r="C9" s="32">
        <v>0.26</v>
      </c>
      <c r="D9" s="33">
        <f t="shared" ref="D9:D18" si="0">C9*$C$5</f>
        <v>1.6640000000000001</v>
      </c>
      <c r="E9" s="34">
        <v>80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25">
      <c r="A10" s="30" t="s">
        <v>166</v>
      </c>
      <c r="B10" s="31" t="s">
        <v>14</v>
      </c>
      <c r="C10" s="32">
        <v>0.26</v>
      </c>
      <c r="D10" s="33">
        <f t="shared" si="0"/>
        <v>1.6640000000000001</v>
      </c>
      <c r="E10" s="34">
        <v>120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25">
      <c r="A11" s="30" t="s">
        <v>167</v>
      </c>
      <c r="B11" s="31" t="s">
        <v>18</v>
      </c>
      <c r="C11" s="32">
        <v>0.48</v>
      </c>
      <c r="D11" s="33">
        <f t="shared" si="0"/>
        <v>3.0720000000000001</v>
      </c>
      <c r="E11" s="34">
        <v>80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25">
      <c r="A12" s="30" t="s">
        <v>168</v>
      </c>
      <c r="B12" s="31"/>
      <c r="C12" s="32"/>
      <c r="D12" s="33">
        <f t="shared" si="0"/>
        <v>0</v>
      </c>
      <c r="E12" s="34"/>
      <c r="F12" s="35" t="str">
        <f t="array" ref="F12">IF(E12="","",IF(INDEX(A:A,MAX(IF(ISNUMBER($A$114:$A$133),ROW($A$114:$A$133),"")))&lt;&gt;E12,"Corrigez : révolution incorrecte","OK"))</f>
        <v/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25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25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25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25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25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25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25">
      <c r="A19" s="78"/>
      <c r="B19" s="36" t="s">
        <v>175</v>
      </c>
      <c r="C19" s="37">
        <f>SUM(C9:C18)</f>
        <v>1</v>
      </c>
      <c r="D19" s="38">
        <f>SUM(D9:D18)</f>
        <v>6.4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25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25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35">
      <c r="A22" s="266" t="s">
        <v>232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2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25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25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25">
      <c r="A26" s="41" t="s">
        <v>222</v>
      </c>
      <c r="B26" s="42" t="s">
        <v>221</v>
      </c>
      <c r="C26" s="43">
        <v>0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25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2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2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25">
      <c r="A30" s="267" t="s">
        <v>227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25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25">
      <c r="A32" s="46" t="s">
        <v>165</v>
      </c>
      <c r="B32" s="47" t="str">
        <f>IF(B9="","",B9)</f>
        <v>Châtaignier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25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25">
      <c r="A34" s="4"/>
      <c r="B34" s="85" t="s">
        <v>185</v>
      </c>
      <c r="C34" s="259" t="s">
        <v>186</v>
      </c>
      <c r="D34" s="259"/>
      <c r="E34" s="260" t="s">
        <v>187</v>
      </c>
      <c r="F34" s="261"/>
      <c r="G34" s="261"/>
      <c r="H34" s="262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5" x14ac:dyDescent="0.25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25">
      <c r="A36" s="50">
        <v>10</v>
      </c>
      <c r="B36" s="60">
        <v>19</v>
      </c>
      <c r="C36" s="60">
        <v>1</v>
      </c>
      <c r="D36" s="60">
        <v>7</v>
      </c>
      <c r="E36" s="51"/>
      <c r="F36" s="51">
        <v>0.25</v>
      </c>
      <c r="G36" s="51">
        <v>0.25</v>
      </c>
      <c r="H36" s="51">
        <v>0.5</v>
      </c>
      <c r="I36" s="49">
        <f>IFERROR(B36/A36,"")</f>
        <v>1.9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25">
      <c r="A37" s="50">
        <v>20</v>
      </c>
      <c r="B37" s="60">
        <v>165</v>
      </c>
      <c r="C37" s="60">
        <v>2</v>
      </c>
      <c r="D37" s="60">
        <v>84</v>
      </c>
      <c r="E37" s="51"/>
      <c r="F37" s="51">
        <v>0.25</v>
      </c>
      <c r="G37" s="51">
        <v>0.25</v>
      </c>
      <c r="H37" s="51">
        <v>0.5</v>
      </c>
      <c r="I37" s="53">
        <f t="shared" ref="I37:I55" si="1">IF(A37&lt;&gt;0,(B37-(B36-D36))/(A37-A36),"")</f>
        <v>15.3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25">
      <c r="A38" s="50">
        <v>30</v>
      </c>
      <c r="B38" s="60">
        <v>247</v>
      </c>
      <c r="C38" s="60">
        <v>3</v>
      </c>
      <c r="D38" s="60">
        <v>84</v>
      </c>
      <c r="E38" s="51">
        <v>0.1</v>
      </c>
      <c r="F38" s="51">
        <v>0.45</v>
      </c>
      <c r="G38" s="51">
        <v>0.45</v>
      </c>
      <c r="H38" s="51"/>
      <c r="I38" s="53">
        <f t="shared" si="1"/>
        <v>16.600000000000001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25">
      <c r="A39" s="50">
        <v>40</v>
      </c>
      <c r="B39" s="60">
        <v>305</v>
      </c>
      <c r="C39" s="60">
        <v>4</v>
      </c>
      <c r="D39" s="60">
        <v>82</v>
      </c>
      <c r="E39" s="51"/>
      <c r="F39" s="51"/>
      <c r="G39" s="51"/>
      <c r="H39" s="51"/>
      <c r="I39" s="49">
        <f t="shared" si="1"/>
        <v>14.2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25">
      <c r="A40" s="50">
        <v>50</v>
      </c>
      <c r="B40" s="60">
        <v>329</v>
      </c>
      <c r="C40" s="60">
        <v>5</v>
      </c>
      <c r="D40" s="60">
        <v>47</v>
      </c>
      <c r="E40" s="51"/>
      <c r="F40" s="51"/>
      <c r="G40" s="51"/>
      <c r="H40" s="51"/>
      <c r="I40" s="49">
        <f t="shared" si="1"/>
        <v>10.6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25">
      <c r="A41" s="50">
        <v>60</v>
      </c>
      <c r="B41" s="60">
        <v>361</v>
      </c>
      <c r="C41" s="60">
        <v>6</v>
      </c>
      <c r="D41" s="60">
        <v>35</v>
      </c>
      <c r="E41" s="51"/>
      <c r="F41" s="51"/>
      <c r="G41" s="51"/>
      <c r="H41" s="51"/>
      <c r="I41" s="53">
        <f t="shared" si="1"/>
        <v>7.9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25">
      <c r="A42" s="50">
        <v>70</v>
      </c>
      <c r="B42" s="60">
        <v>382</v>
      </c>
      <c r="C42" s="60">
        <v>7</v>
      </c>
      <c r="D42" s="60">
        <v>31</v>
      </c>
      <c r="E42" s="51"/>
      <c r="F42" s="51"/>
      <c r="G42" s="51"/>
      <c r="H42" s="51"/>
      <c r="I42" s="53">
        <f t="shared" si="1"/>
        <v>5.6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25">
      <c r="A43" s="50">
        <v>80</v>
      </c>
      <c r="B43" s="60">
        <v>395</v>
      </c>
      <c r="C43" s="60">
        <v>8</v>
      </c>
      <c r="D43" s="60">
        <v>395</v>
      </c>
      <c r="E43" s="51"/>
      <c r="F43" s="51"/>
      <c r="G43" s="51"/>
      <c r="H43" s="51"/>
      <c r="I43" s="49">
        <f t="shared" si="1"/>
        <v>4.4000000000000004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25">
      <c r="A44" s="50"/>
      <c r="B44" s="60"/>
      <c r="C44" s="60"/>
      <c r="D44" s="60"/>
      <c r="E44" s="51"/>
      <c r="F44" s="51"/>
      <c r="G44" s="51"/>
      <c r="H44" s="51"/>
      <c r="I44" s="49" t="str">
        <f t="shared" si="1"/>
        <v/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25">
      <c r="A45" s="50"/>
      <c r="B45" s="60"/>
      <c r="C45" s="60"/>
      <c r="D45" s="60"/>
      <c r="E45" s="51"/>
      <c r="F45" s="51"/>
      <c r="G45" s="51"/>
      <c r="H45" s="51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25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25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25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25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25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25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25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25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25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25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2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25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25">
      <c r="A58" s="46" t="s">
        <v>166</v>
      </c>
      <c r="B58" s="52" t="str">
        <f>IF(B10="","",B10)</f>
        <v>Chêne sessile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25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25">
      <c r="A60" s="4"/>
      <c r="B60" s="85" t="s">
        <v>185</v>
      </c>
      <c r="C60" s="259" t="s">
        <v>186</v>
      </c>
      <c r="D60" s="259"/>
      <c r="E60" s="260" t="s">
        <v>187</v>
      </c>
      <c r="F60" s="261"/>
      <c r="G60" s="261"/>
      <c r="H60" s="262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5" x14ac:dyDescent="0.25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25">
      <c r="A62" s="50">
        <v>20</v>
      </c>
      <c r="B62" s="60">
        <v>73</v>
      </c>
      <c r="C62" s="60">
        <v>1</v>
      </c>
      <c r="D62" s="60">
        <v>6</v>
      </c>
      <c r="E62" s="51"/>
      <c r="F62" s="51">
        <v>0.25</v>
      </c>
      <c r="G62" s="51">
        <v>0.25</v>
      </c>
      <c r="H62" s="51">
        <v>0.5</v>
      </c>
      <c r="I62" s="53">
        <f>IFERROR(B62/A62,"")</f>
        <v>3.65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25">
      <c r="A63" s="50">
        <v>30</v>
      </c>
      <c r="B63" s="60">
        <v>149</v>
      </c>
      <c r="C63" s="60">
        <v>2</v>
      </c>
      <c r="D63" s="60">
        <v>56</v>
      </c>
      <c r="E63" s="51">
        <v>0.1</v>
      </c>
      <c r="F63" s="51">
        <v>0.45</v>
      </c>
      <c r="G63" s="51">
        <v>0.45</v>
      </c>
      <c r="H63" s="51"/>
      <c r="I63" s="49">
        <f>IF(A63&lt;&gt;0,(B63-(B62-D62))/(A63-A62),"")</f>
        <v>8.1999999999999993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25">
      <c r="A64" s="50">
        <v>40</v>
      </c>
      <c r="B64" s="60">
        <v>203</v>
      </c>
      <c r="C64" s="60">
        <v>3</v>
      </c>
      <c r="D64" s="60">
        <v>56</v>
      </c>
      <c r="E64" s="51"/>
      <c r="F64" s="51"/>
      <c r="G64" s="51"/>
      <c r="H64" s="51"/>
      <c r="I64" s="49">
        <f>IF(A64&lt;&gt;0,(B64-(B63-D63))/(A64-A63),"")</f>
        <v>11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25">
      <c r="A65" s="50">
        <v>50</v>
      </c>
      <c r="B65" s="60">
        <v>259</v>
      </c>
      <c r="C65" s="60">
        <v>4</v>
      </c>
      <c r="D65" s="60">
        <v>56</v>
      </c>
      <c r="E65" s="51"/>
      <c r="F65" s="51"/>
      <c r="G65" s="51"/>
      <c r="H65" s="51"/>
      <c r="I65" s="49">
        <f>IF(A65&lt;&gt;0,(B65-(B64-D64))/(A65-A64),"")</f>
        <v>11.2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25">
      <c r="A66" s="50">
        <v>60</v>
      </c>
      <c r="B66" s="60">
        <v>301</v>
      </c>
      <c r="C66" s="60">
        <v>5</v>
      </c>
      <c r="D66" s="60">
        <v>56</v>
      </c>
      <c r="E66" s="51"/>
      <c r="F66" s="51"/>
      <c r="G66" s="51"/>
      <c r="H66" s="51"/>
      <c r="I66" s="49">
        <f t="shared" ref="I66:I81" si="2">IF(A66&lt;&gt;0,(B66-(B65-D65))/(A66-A65),"")</f>
        <v>9.8000000000000007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25">
      <c r="A67" s="50">
        <v>70</v>
      </c>
      <c r="B67" s="60">
        <v>330</v>
      </c>
      <c r="C67" s="60">
        <v>6</v>
      </c>
      <c r="D67" s="60">
        <v>56</v>
      </c>
      <c r="E67" s="51"/>
      <c r="F67" s="51"/>
      <c r="G67" s="51"/>
      <c r="H67" s="51"/>
      <c r="I67" s="49">
        <f t="shared" si="2"/>
        <v>8.5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25">
      <c r="A68" s="50">
        <v>80</v>
      </c>
      <c r="B68" s="60">
        <v>348</v>
      </c>
      <c r="C68" s="60">
        <v>7</v>
      </c>
      <c r="D68" s="60">
        <v>56</v>
      </c>
      <c r="E68" s="51"/>
      <c r="F68" s="51"/>
      <c r="G68" s="51"/>
      <c r="H68" s="51"/>
      <c r="I68" s="49">
        <f t="shared" si="2"/>
        <v>7.4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25">
      <c r="A69" s="50">
        <v>90</v>
      </c>
      <c r="B69" s="50">
        <v>358</v>
      </c>
      <c r="C69" s="50">
        <v>8</v>
      </c>
      <c r="D69" s="50">
        <v>56</v>
      </c>
      <c r="E69" s="51"/>
      <c r="F69" s="51"/>
      <c r="G69" s="51"/>
      <c r="H69" s="51"/>
      <c r="I69" s="49">
        <f t="shared" si="2"/>
        <v>6.6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25">
      <c r="A70" s="50">
        <v>100</v>
      </c>
      <c r="B70" s="50">
        <v>361</v>
      </c>
      <c r="C70" s="50">
        <v>9</v>
      </c>
      <c r="D70" s="50">
        <v>55</v>
      </c>
      <c r="E70" s="51"/>
      <c r="F70" s="51"/>
      <c r="G70" s="51"/>
      <c r="H70" s="51"/>
      <c r="I70" s="49">
        <f t="shared" si="2"/>
        <v>5.9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25">
      <c r="A71" s="50">
        <v>110</v>
      </c>
      <c r="B71" s="50">
        <v>358</v>
      </c>
      <c r="C71" s="50">
        <v>10</v>
      </c>
      <c r="D71" s="50">
        <v>51</v>
      </c>
      <c r="E71" s="51"/>
      <c r="F71" s="51"/>
      <c r="G71" s="51"/>
      <c r="H71" s="51"/>
      <c r="I71" s="49">
        <f t="shared" si="2"/>
        <v>5.2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25">
      <c r="A72" s="50">
        <v>120</v>
      </c>
      <c r="B72" s="50">
        <v>352</v>
      </c>
      <c r="C72" s="50">
        <v>11</v>
      </c>
      <c r="D72" s="50">
        <v>352</v>
      </c>
      <c r="E72" s="51"/>
      <c r="F72" s="51"/>
      <c r="G72" s="51"/>
      <c r="H72" s="51"/>
      <c r="I72" s="49">
        <f t="shared" si="2"/>
        <v>4.5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25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25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25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25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25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25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25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25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25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2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25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25">
      <c r="A84" s="46" t="s">
        <v>167</v>
      </c>
      <c r="B84" s="52" t="str">
        <f>IF(B11="","",B11)</f>
        <v>Douglas</v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25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25">
      <c r="A86" s="4"/>
      <c r="B86" s="85" t="s">
        <v>185</v>
      </c>
      <c r="C86" s="259" t="s">
        <v>186</v>
      </c>
      <c r="D86" s="259"/>
      <c r="E86" s="260" t="s">
        <v>187</v>
      </c>
      <c r="F86" s="261"/>
      <c r="G86" s="261"/>
      <c r="H86" s="262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5" x14ac:dyDescent="0.25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25">
      <c r="A88" s="50">
        <v>10</v>
      </c>
      <c r="B88" s="60">
        <v>27</v>
      </c>
      <c r="C88" s="60"/>
      <c r="D88" s="60">
        <v>0</v>
      </c>
      <c r="E88" s="51"/>
      <c r="F88" s="51"/>
      <c r="G88" s="51"/>
      <c r="H88" s="87"/>
      <c r="I88" s="53">
        <f>IFERROR(B88/A88,"")</f>
        <v>2.7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25">
      <c r="A89" s="50">
        <v>20</v>
      </c>
      <c r="B89" s="60">
        <v>228</v>
      </c>
      <c r="C89" s="60">
        <v>1</v>
      </c>
      <c r="D89" s="60">
        <v>104</v>
      </c>
      <c r="E89" s="51"/>
      <c r="F89" s="51">
        <v>0.5</v>
      </c>
      <c r="G89" s="51">
        <v>0.5</v>
      </c>
      <c r="H89" s="87"/>
      <c r="I89" s="53">
        <f t="shared" ref="I89:I107" si="3">IF(A89&lt;&gt;0,(B89-(B88-D88))/(A89-A88),"")</f>
        <v>20.100000000000001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25">
      <c r="A90" s="50">
        <v>30</v>
      </c>
      <c r="B90" s="60">
        <v>399</v>
      </c>
      <c r="C90" s="60">
        <v>2</v>
      </c>
      <c r="D90" s="60">
        <v>140</v>
      </c>
      <c r="E90" s="87">
        <v>0.2</v>
      </c>
      <c r="F90" s="87">
        <v>0.4</v>
      </c>
      <c r="G90" s="87">
        <v>0.4</v>
      </c>
      <c r="H90" s="87"/>
      <c r="I90" s="53">
        <f t="shared" si="3"/>
        <v>27.5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25">
      <c r="A91" s="50">
        <v>40</v>
      </c>
      <c r="B91" s="60">
        <v>527</v>
      </c>
      <c r="C91" s="60">
        <v>3</v>
      </c>
      <c r="D91" s="60">
        <v>140</v>
      </c>
      <c r="E91" s="87"/>
      <c r="F91" s="87"/>
      <c r="G91" s="87"/>
      <c r="H91" s="87"/>
      <c r="I91" s="53">
        <f t="shared" si="3"/>
        <v>26.8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25">
      <c r="A92" s="50">
        <v>50</v>
      </c>
      <c r="B92" s="60">
        <v>615</v>
      </c>
      <c r="C92" s="60">
        <v>4</v>
      </c>
      <c r="D92" s="60">
        <v>129</v>
      </c>
      <c r="E92" s="87"/>
      <c r="F92" s="87"/>
      <c r="G92" s="87"/>
      <c r="H92" s="87"/>
      <c r="I92" s="53">
        <f t="shared" si="3"/>
        <v>22.8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25">
      <c r="A93" s="50">
        <v>60</v>
      </c>
      <c r="B93" s="60">
        <v>679</v>
      </c>
      <c r="C93" s="60">
        <v>5</v>
      </c>
      <c r="D93" s="60">
        <v>96</v>
      </c>
      <c r="E93" s="87"/>
      <c r="F93" s="87"/>
      <c r="G93" s="87"/>
      <c r="H93" s="87"/>
      <c r="I93" s="53">
        <f t="shared" si="3"/>
        <v>19.3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25">
      <c r="A94" s="50">
        <v>70</v>
      </c>
      <c r="B94" s="60">
        <v>741</v>
      </c>
      <c r="C94" s="60">
        <v>6</v>
      </c>
      <c r="D94" s="60">
        <v>80</v>
      </c>
      <c r="E94" s="87"/>
      <c r="F94" s="87"/>
      <c r="G94" s="87"/>
      <c r="H94" s="87"/>
      <c r="I94" s="53">
        <f t="shared" si="3"/>
        <v>15.8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25">
      <c r="A95" s="60">
        <v>80</v>
      </c>
      <c r="B95" s="60">
        <v>790</v>
      </c>
      <c r="C95" s="60">
        <v>7</v>
      </c>
      <c r="D95" s="60">
        <v>790</v>
      </c>
      <c r="E95" s="87"/>
      <c r="F95" s="87"/>
      <c r="G95" s="87"/>
      <c r="H95" s="87"/>
      <c r="I95" s="53">
        <f t="shared" si="3"/>
        <v>12.9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25">
      <c r="A96" s="60"/>
      <c r="B96" s="60"/>
      <c r="C96" s="60"/>
      <c r="D96" s="60"/>
      <c r="E96" s="87"/>
      <c r="F96" s="87"/>
      <c r="G96" s="87"/>
      <c r="H96" s="87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25">
      <c r="A97" s="60"/>
      <c r="B97" s="60"/>
      <c r="C97" s="60"/>
      <c r="D97" s="60"/>
      <c r="E97" s="87"/>
      <c r="F97" s="87"/>
      <c r="G97" s="87"/>
      <c r="H97" s="87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25">
      <c r="A98" s="60"/>
      <c r="B98" s="60"/>
      <c r="C98" s="60"/>
      <c r="D98" s="60"/>
      <c r="E98" s="87"/>
      <c r="F98" s="87"/>
      <c r="G98" s="87"/>
      <c r="H98" s="87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25">
      <c r="A99" s="6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25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25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25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25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25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25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25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25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2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2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25">
      <c r="A110" s="46" t="s">
        <v>168</v>
      </c>
      <c r="B110" s="52" t="str">
        <f>IF(B12="","",B12)</f>
        <v/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25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25">
      <c r="A112" s="4"/>
      <c r="B112" s="85" t="s">
        <v>185</v>
      </c>
      <c r="C112" s="259" t="s">
        <v>186</v>
      </c>
      <c r="D112" s="259"/>
      <c r="E112" s="260" t="s">
        <v>187</v>
      </c>
      <c r="F112" s="261"/>
      <c r="G112" s="261"/>
      <c r="H112" s="262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5" x14ac:dyDescent="0.25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25">
      <c r="A114" s="50"/>
      <c r="B114" s="60"/>
      <c r="C114" s="50"/>
      <c r="D114" s="60"/>
      <c r="E114" s="51"/>
      <c r="F114" s="51"/>
      <c r="G114" s="51"/>
      <c r="H114" s="51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25">
      <c r="A115" s="50"/>
      <c r="B115" s="60"/>
      <c r="C115" s="50"/>
      <c r="D115" s="60"/>
      <c r="E115" s="51"/>
      <c r="F115" s="51"/>
      <c r="G115" s="51"/>
      <c r="H115" s="51"/>
      <c r="I115" s="53" t="str">
        <f t="shared" ref="I115:I133" si="4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25">
      <c r="A116" s="50"/>
      <c r="B116" s="60"/>
      <c r="C116" s="50"/>
      <c r="D116" s="60"/>
      <c r="E116" s="51"/>
      <c r="F116" s="51"/>
      <c r="G116" s="51"/>
      <c r="H116" s="51"/>
      <c r="I116" s="53" t="str">
        <f t="shared" si="4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25">
      <c r="A117" s="50"/>
      <c r="B117" s="60"/>
      <c r="C117" s="50"/>
      <c r="D117" s="60"/>
      <c r="E117" s="51"/>
      <c r="F117" s="51"/>
      <c r="G117" s="51"/>
      <c r="H117" s="51"/>
      <c r="I117" s="53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25">
      <c r="A118" s="50"/>
      <c r="B118" s="60"/>
      <c r="C118" s="50"/>
      <c r="D118" s="60"/>
      <c r="E118" s="51"/>
      <c r="F118" s="51"/>
      <c r="G118" s="51"/>
      <c r="H118" s="51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25">
      <c r="A119" s="50"/>
      <c r="B119" s="60"/>
      <c r="C119" s="50"/>
      <c r="D119" s="60"/>
      <c r="E119" s="51"/>
      <c r="F119" s="51"/>
      <c r="G119" s="51"/>
      <c r="H119" s="51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25">
      <c r="A120" s="60"/>
      <c r="B120" s="60"/>
      <c r="C120" s="60"/>
      <c r="D120" s="60"/>
      <c r="E120" s="87"/>
      <c r="F120" s="87"/>
      <c r="G120" s="87"/>
      <c r="H120" s="87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25">
      <c r="A121" s="60"/>
      <c r="B121" s="60"/>
      <c r="C121" s="60"/>
      <c r="D121" s="60"/>
      <c r="E121" s="87"/>
      <c r="F121" s="87"/>
      <c r="G121" s="87"/>
      <c r="H121" s="87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25">
      <c r="A122" s="60"/>
      <c r="B122" s="60"/>
      <c r="C122" s="60"/>
      <c r="D122" s="60"/>
      <c r="E122" s="87"/>
      <c r="F122" s="87"/>
      <c r="G122" s="87"/>
      <c r="H122" s="87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25">
      <c r="A123" s="60"/>
      <c r="B123" s="60"/>
      <c r="C123" s="60"/>
      <c r="D123" s="60"/>
      <c r="E123" s="87"/>
      <c r="F123" s="87"/>
      <c r="G123" s="87"/>
      <c r="H123" s="87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25">
      <c r="A124" s="60"/>
      <c r="B124" s="60"/>
      <c r="C124" s="60"/>
      <c r="D124" s="60"/>
      <c r="E124" s="87"/>
      <c r="F124" s="87"/>
      <c r="G124" s="87"/>
      <c r="H124" s="87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25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25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25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25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25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25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25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25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25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2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2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25">
      <c r="A136" s="46" t="s">
        <v>169</v>
      </c>
      <c r="B136" s="52" t="str">
        <f>IF(B13="","",B13)</f>
        <v/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25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25">
      <c r="A138" s="4"/>
      <c r="B138" s="85" t="s">
        <v>185</v>
      </c>
      <c r="C138" s="259" t="s">
        <v>186</v>
      </c>
      <c r="D138" s="259"/>
      <c r="E138" s="260" t="s">
        <v>187</v>
      </c>
      <c r="F138" s="261"/>
      <c r="G138" s="261"/>
      <c r="H138" s="262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5" x14ac:dyDescent="0.25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25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25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25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25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25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25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25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25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25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25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25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25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25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25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25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25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2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2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2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2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2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2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25">
      <c r="A162" s="46" t="s">
        <v>170</v>
      </c>
      <c r="B162" s="52" t="str">
        <f>IF(B14="","",B14)</f>
        <v/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25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25">
      <c r="A164" s="4"/>
      <c r="B164" s="85" t="s">
        <v>185</v>
      </c>
      <c r="C164" s="259" t="s">
        <v>186</v>
      </c>
      <c r="D164" s="259"/>
      <c r="E164" s="260" t="s">
        <v>187</v>
      </c>
      <c r="F164" s="261"/>
      <c r="G164" s="261"/>
      <c r="H164" s="262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5" x14ac:dyDescent="0.25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25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25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25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25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25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25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25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25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25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25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25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25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25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25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25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2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2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2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2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2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2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2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25">
      <c r="A188" s="46" t="s">
        <v>171</v>
      </c>
      <c r="B188" s="52" t="str">
        <f>IF(B15="","",B15)</f>
        <v/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25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25">
      <c r="A190" s="4"/>
      <c r="B190" s="85" t="s">
        <v>185</v>
      </c>
      <c r="C190" s="259" t="s">
        <v>186</v>
      </c>
      <c r="D190" s="259"/>
      <c r="E190" s="260" t="s">
        <v>187</v>
      </c>
      <c r="F190" s="261"/>
      <c r="G190" s="261"/>
      <c r="H190" s="262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5" x14ac:dyDescent="0.25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25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25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25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25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25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25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25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25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25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25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25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25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25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25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25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2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2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2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2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2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2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2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25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25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25">
      <c r="A216" s="4"/>
      <c r="B216" s="85" t="s">
        <v>185</v>
      </c>
      <c r="C216" s="259" t="s">
        <v>186</v>
      </c>
      <c r="D216" s="259"/>
      <c r="E216" s="260" t="s">
        <v>187</v>
      </c>
      <c r="F216" s="261"/>
      <c r="G216" s="261"/>
      <c r="H216" s="262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5" x14ac:dyDescent="0.25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25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25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25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25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25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25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25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25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25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25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25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25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25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25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2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2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2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2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2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2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2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2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25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25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25">
      <c r="A242" s="4"/>
      <c r="B242" s="85" t="s">
        <v>185</v>
      </c>
      <c r="C242" s="259" t="s">
        <v>186</v>
      </c>
      <c r="D242" s="259"/>
      <c r="E242" s="260" t="s">
        <v>187</v>
      </c>
      <c r="F242" s="261"/>
      <c r="G242" s="261"/>
      <c r="H242" s="262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5" x14ac:dyDescent="0.25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25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25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25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25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25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25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25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25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25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25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25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25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25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25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2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2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2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2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2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2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2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2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25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25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25">
      <c r="A268" s="4"/>
      <c r="B268" s="85" t="s">
        <v>185</v>
      </c>
      <c r="C268" s="259" t="s">
        <v>186</v>
      </c>
      <c r="D268" s="259"/>
      <c r="E268" s="260" t="s">
        <v>187</v>
      </c>
      <c r="F268" s="261"/>
      <c r="G268" s="261"/>
      <c r="H268" s="262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5" x14ac:dyDescent="0.25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2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25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25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2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2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2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2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2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2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2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2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2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2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25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2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2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2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2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2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2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2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2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2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2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2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2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2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2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2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2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2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2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2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2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2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2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2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2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2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2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2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2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2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2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2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2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2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2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2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2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2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2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2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2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2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2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2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2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2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2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2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2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2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2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2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2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2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2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2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2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2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2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2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2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2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2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2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2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2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2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2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2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2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2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2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2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2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2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2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2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2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2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2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2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2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2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2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2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2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2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2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2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2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2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2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2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2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2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2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2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2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2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2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2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2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2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2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2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2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2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2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2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2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2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2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2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2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2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2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2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2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2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2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2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2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2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2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2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2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2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2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2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2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2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2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2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2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2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2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2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2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2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2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2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2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2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2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2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G25" sqref="G25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7" thickBot="1" x14ac:dyDescent="0.45">
      <c r="A2" s="4"/>
      <c r="B2" s="272" t="s">
        <v>191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2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25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25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25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25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25">
      <c r="A8" s="105">
        <v>1</v>
      </c>
      <c r="B8" s="61">
        <v>0</v>
      </c>
      <c r="C8" s="49" t="s">
        <v>177</v>
      </c>
      <c r="D8" s="23"/>
      <c r="E8" s="105">
        <v>4</v>
      </c>
      <c r="F8" s="61">
        <v>1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25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25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1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25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2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25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25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25">
      <c r="A15" s="23"/>
      <c r="B15" s="26" t="s">
        <v>295</v>
      </c>
      <c r="C15" s="4"/>
      <c r="D15" s="23"/>
      <c r="E15" s="4"/>
      <c r="F15" s="4"/>
      <c r="G15" s="2" t="s">
        <v>149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25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25">
      <c r="A17" s="23"/>
      <c r="B17" s="61">
        <v>0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25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25">
      <c r="A19" s="23"/>
      <c r="B19" s="106">
        <f>SUM(B16:B18)</f>
        <v>0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2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2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2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2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2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2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2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2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2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2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2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2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2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2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2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2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2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2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2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2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2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2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2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2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2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2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2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2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2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2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2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2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2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2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2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2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2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2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2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2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2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25">
      <c r="C104" s="4"/>
      <c r="F104" s="4"/>
    </row>
    <row r="105" spans="3:35" x14ac:dyDescent="0.25">
      <c r="C105" s="4"/>
      <c r="F105" s="4"/>
    </row>
    <row r="106" spans="3:35" x14ac:dyDescent="0.25">
      <c r="C106" s="4"/>
      <c r="F106" s="4"/>
    </row>
    <row r="107" spans="3:35" x14ac:dyDescent="0.25">
      <c r="C107" s="4"/>
      <c r="F107" s="4"/>
    </row>
    <row r="108" spans="3:35" x14ac:dyDescent="0.25">
      <c r="C108" s="4"/>
      <c r="F108" s="4"/>
    </row>
    <row r="109" spans="3:35" x14ac:dyDescent="0.25">
      <c r="C109" s="4"/>
      <c r="F109" s="4"/>
    </row>
    <row r="110" spans="3:35" x14ac:dyDescent="0.25">
      <c r="C110" s="4"/>
      <c r="F110" s="4"/>
    </row>
    <row r="111" spans="3:35" x14ac:dyDescent="0.25">
      <c r="C111" s="4"/>
      <c r="F111" s="4"/>
    </row>
    <row r="112" spans="3:35" x14ac:dyDescent="0.25">
      <c r="C112" s="4"/>
      <c r="F112" s="4"/>
    </row>
    <row r="113" spans="3:6" x14ac:dyDescent="0.25">
      <c r="C113" s="4"/>
      <c r="F113" s="4"/>
    </row>
    <row r="114" spans="3:6" x14ac:dyDescent="0.25">
      <c r="C114" s="4"/>
      <c r="F114" s="4"/>
    </row>
    <row r="115" spans="3:6" x14ac:dyDescent="0.25">
      <c r="C115" s="4"/>
      <c r="F115" s="4"/>
    </row>
    <row r="116" spans="3:6" x14ac:dyDescent="0.25">
      <c r="C116" s="4"/>
      <c r="F116" s="4"/>
    </row>
    <row r="117" spans="3:6" x14ac:dyDescent="0.25">
      <c r="C117" s="4"/>
      <c r="F117" s="4"/>
    </row>
    <row r="118" spans="3:6" x14ac:dyDescent="0.25">
      <c r="C118" s="4"/>
      <c r="F118" s="4"/>
    </row>
    <row r="119" spans="3:6" x14ac:dyDescent="0.25">
      <c r="C119" s="4"/>
      <c r="F119" s="4"/>
    </row>
    <row r="120" spans="3:6" x14ac:dyDescent="0.25">
      <c r="C120" s="4"/>
      <c r="F120" s="4"/>
    </row>
    <row r="121" spans="3:6" x14ac:dyDescent="0.25">
      <c r="C121" s="4"/>
      <c r="F121" s="4"/>
    </row>
    <row r="122" spans="3:6" x14ac:dyDescent="0.25">
      <c r="C122" s="4"/>
      <c r="F122" s="4"/>
    </row>
    <row r="123" spans="3:6" x14ac:dyDescent="0.25">
      <c r="C123" s="4"/>
      <c r="F123" s="4"/>
    </row>
    <row r="124" spans="3:6" x14ac:dyDescent="0.25">
      <c r="C124" s="4"/>
      <c r="F124" s="4"/>
    </row>
    <row r="125" spans="3:6" x14ac:dyDescent="0.25">
      <c r="C125" s="4"/>
      <c r="F125" s="4"/>
    </row>
    <row r="126" spans="3:6" x14ac:dyDescent="0.25">
      <c r="C126" s="4"/>
      <c r="F126" s="4"/>
    </row>
    <row r="127" spans="3:6" x14ac:dyDescent="0.25">
      <c r="C127" s="4"/>
      <c r="F127" s="4"/>
    </row>
    <row r="128" spans="3:6" x14ac:dyDescent="0.25">
      <c r="C128" s="4"/>
      <c r="F128" s="4"/>
    </row>
    <row r="129" spans="3:6" x14ac:dyDescent="0.25">
      <c r="C129" s="4"/>
      <c r="F129" s="4"/>
    </row>
    <row r="130" spans="3:6" x14ac:dyDescent="0.25">
      <c r="C130" s="4"/>
      <c r="F130" s="4"/>
    </row>
    <row r="131" spans="3:6" x14ac:dyDescent="0.25">
      <c r="C131" s="4"/>
      <c r="F131" s="4"/>
    </row>
    <row r="132" spans="3:6" x14ac:dyDescent="0.25">
      <c r="F132" s="4"/>
    </row>
    <row r="133" spans="3:6" x14ac:dyDescent="0.25">
      <c r="F133" s="4"/>
    </row>
    <row r="134" spans="3:6" x14ac:dyDescent="0.25">
      <c r="F134" s="4"/>
    </row>
    <row r="135" spans="3:6" x14ac:dyDescent="0.25">
      <c r="F135" s="4"/>
    </row>
    <row r="136" spans="3:6" x14ac:dyDescent="0.25">
      <c r="F136" s="4"/>
    </row>
    <row r="137" spans="3:6" x14ac:dyDescent="0.25">
      <c r="F137" s="4"/>
    </row>
    <row r="138" spans="3:6" x14ac:dyDescent="0.25">
      <c r="F138" s="4"/>
    </row>
    <row r="139" spans="3:6" x14ac:dyDescent="0.25">
      <c r="F139" s="4"/>
    </row>
    <row r="140" spans="3:6" x14ac:dyDescent="0.25">
      <c r="F140" s="4"/>
    </row>
    <row r="141" spans="3:6" x14ac:dyDescent="0.25">
      <c r="F141" s="4"/>
    </row>
    <row r="142" spans="3:6" x14ac:dyDescent="0.25">
      <c r="F142" s="4"/>
    </row>
    <row r="143" spans="3:6" x14ac:dyDescent="0.25">
      <c r="F143" s="4"/>
    </row>
    <row r="144" spans="3:6" x14ac:dyDescent="0.25">
      <c r="F144" s="4"/>
    </row>
    <row r="145" spans="6:6" x14ac:dyDescent="0.25">
      <c r="F145" s="4"/>
    </row>
    <row r="146" spans="6:6" x14ac:dyDescent="0.25">
      <c r="F146" s="4"/>
    </row>
    <row r="147" spans="6:6" x14ac:dyDescent="0.25">
      <c r="F147" s="4"/>
    </row>
    <row r="148" spans="6:6" x14ac:dyDescent="0.25">
      <c r="F148" s="4"/>
    </row>
    <row r="149" spans="6:6" x14ac:dyDescent="0.25">
      <c r="F149" s="4"/>
    </row>
    <row r="150" spans="6:6" x14ac:dyDescent="0.25">
      <c r="F150" s="4"/>
    </row>
    <row r="151" spans="6:6" x14ac:dyDescent="0.25">
      <c r="F151" s="4"/>
    </row>
    <row r="152" spans="6:6" x14ac:dyDescent="0.25">
      <c r="F152" s="4"/>
    </row>
    <row r="153" spans="6:6" x14ac:dyDescent="0.25">
      <c r="F153" s="4"/>
    </row>
    <row r="154" spans="6:6" x14ac:dyDescent="0.25">
      <c r="F154" s="4"/>
    </row>
    <row r="155" spans="6:6" x14ac:dyDescent="0.25">
      <c r="F155" s="4"/>
    </row>
    <row r="156" spans="6:6" x14ac:dyDescent="0.25">
      <c r="F156" s="4"/>
    </row>
    <row r="157" spans="6:6" x14ac:dyDescent="0.25">
      <c r="F157" s="4"/>
    </row>
    <row r="158" spans="6:6" x14ac:dyDescent="0.25">
      <c r="F158" s="4"/>
    </row>
    <row r="159" spans="6:6" x14ac:dyDescent="0.25">
      <c r="F159" s="4"/>
    </row>
    <row r="160" spans="6:6" x14ac:dyDescent="0.25">
      <c r="F160" s="4"/>
    </row>
    <row r="161" spans="6:6" x14ac:dyDescent="0.25">
      <c r="F161" s="4"/>
    </row>
    <row r="162" spans="6:6" x14ac:dyDescent="0.25">
      <c r="F162" s="4"/>
    </row>
    <row r="163" spans="6:6" x14ac:dyDescent="0.2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4" bestFit="1" customWidth="1"/>
    <col min="2" max="4" width="11.42578125" style="4"/>
    <col min="5" max="5" width="9.5703125" style="4" customWidth="1"/>
    <col min="6" max="7" width="11.42578125" style="4"/>
    <col min="8" max="8" width="10.7109375" style="4" customWidth="1"/>
    <col min="9" max="9" width="9.42578125" style="4" customWidth="1"/>
    <col min="10" max="11" width="10.5703125" style="4" bestFit="1" customWidth="1"/>
    <col min="12" max="12" width="14" style="4" bestFit="1" customWidth="1"/>
    <col min="13" max="13" width="14" style="4" customWidth="1"/>
    <col min="14" max="23" width="11.42578125" style="4"/>
    <col min="24" max="24" width="11.7109375" style="4" bestFit="1" customWidth="1"/>
    <col min="25" max="25" width="14.5703125" style="4" bestFit="1" customWidth="1"/>
    <col min="26" max="26" width="12.42578125" style="4" bestFit="1" customWidth="1"/>
    <col min="27" max="27" width="9.7109375" style="4" bestFit="1" customWidth="1"/>
    <col min="28" max="28" width="11" style="4" bestFit="1" customWidth="1"/>
    <col min="29" max="29" width="9.42578125" style="4" bestFit="1" customWidth="1"/>
    <col min="30" max="31" width="9.42578125" style="4" customWidth="1"/>
    <col min="32" max="32" width="11.42578125" style="4"/>
    <col min="33" max="34" width="14" style="4" bestFit="1" customWidth="1"/>
    <col min="35" max="35" width="10.5703125" style="4" bestFit="1" customWidth="1"/>
    <col min="36" max="36" width="9.42578125" style="4" bestFit="1" customWidth="1"/>
    <col min="37" max="38" width="10.5703125" style="4" bestFit="1" customWidth="1"/>
    <col min="39" max="41" width="10.5703125" style="4" customWidth="1"/>
    <col min="42" max="42" width="9" style="4" bestFit="1" customWidth="1"/>
    <col min="43" max="43" width="10.5703125" style="4" bestFit="1" customWidth="1"/>
    <col min="44" max="44" width="9.28515625" style="4" bestFit="1" customWidth="1"/>
    <col min="45" max="45" width="11.7109375" style="4" bestFit="1" customWidth="1"/>
    <col min="46" max="46" width="8.42578125" style="4" bestFit="1" customWidth="1"/>
    <col min="47" max="47" width="9.42578125" style="4" bestFit="1" customWidth="1"/>
    <col min="48" max="48" width="9.7109375" style="4" bestFit="1" customWidth="1"/>
    <col min="49" max="49" width="11" style="4" bestFit="1" customWidth="1"/>
    <col min="50" max="50" width="9.42578125" style="4" bestFit="1" customWidth="1"/>
    <col min="51" max="52" width="9.42578125" style="4" customWidth="1"/>
    <col min="53" max="53" width="10.5703125" style="4" bestFit="1" customWidth="1"/>
    <col min="54" max="54" width="14.28515625" style="4" customWidth="1"/>
    <col min="55" max="55" width="14" style="4" customWidth="1"/>
    <col min="56" max="56" width="10.5703125" style="4" bestFit="1" customWidth="1"/>
    <col min="57" max="57" width="9.42578125" style="4" bestFit="1" customWidth="1"/>
    <col min="58" max="59" width="10.5703125" style="4" bestFit="1" customWidth="1"/>
    <col min="60" max="62" width="10.5703125" style="4" customWidth="1"/>
    <col min="63" max="63" width="9" style="4" bestFit="1" customWidth="1"/>
    <col min="64" max="64" width="10.5703125" style="4" bestFit="1" customWidth="1"/>
    <col min="65" max="65" width="9.28515625" style="4" bestFit="1" customWidth="1"/>
    <col min="66" max="66" width="11.7109375" style="4" bestFit="1" customWidth="1"/>
    <col min="67" max="67" width="8.42578125" style="4" bestFit="1" customWidth="1"/>
    <col min="68" max="68" width="9.42578125" style="4" bestFit="1" customWidth="1"/>
    <col min="69" max="69" width="9.7109375" style="4" bestFit="1" customWidth="1"/>
    <col min="70" max="70" width="11" style="4" bestFit="1" customWidth="1"/>
    <col min="71" max="71" width="9.42578125" style="4" bestFit="1" customWidth="1"/>
    <col min="72" max="73" width="9.42578125" style="4" customWidth="1"/>
    <col min="74" max="74" width="10.5703125" style="4" bestFit="1" customWidth="1"/>
    <col min="75" max="75" width="14" style="4" bestFit="1" customWidth="1"/>
    <col min="76" max="76" width="13.85546875" style="4" customWidth="1"/>
    <col min="77" max="77" width="10.5703125" style="4" bestFit="1" customWidth="1"/>
    <col min="78" max="78" width="9.42578125" style="4" bestFit="1" customWidth="1"/>
    <col min="79" max="80" width="10.5703125" style="4" bestFit="1" customWidth="1"/>
    <col min="81" max="83" width="10.5703125" style="4" customWidth="1"/>
    <col min="84" max="84" width="11.42578125" style="4"/>
    <col min="85" max="85" width="10.5703125" style="4" bestFit="1" customWidth="1"/>
    <col min="86" max="86" width="9.28515625" style="4" bestFit="1" customWidth="1"/>
    <col min="87" max="87" width="11.7109375" style="4" bestFit="1" customWidth="1"/>
    <col min="88" max="88" width="8.42578125" style="4" bestFit="1" customWidth="1"/>
    <col min="89" max="89" width="9.42578125" style="4" bestFit="1" customWidth="1"/>
    <col min="90" max="90" width="9.7109375" style="4" bestFit="1" customWidth="1"/>
    <col min="91" max="91" width="11" style="4" bestFit="1" customWidth="1"/>
    <col min="92" max="92" width="9.42578125" style="4" bestFit="1" customWidth="1"/>
    <col min="93" max="94" width="9.42578125" style="4" customWidth="1"/>
    <col min="95" max="95" width="11.42578125" style="4"/>
    <col min="96" max="97" width="14" style="4" customWidth="1"/>
    <col min="98" max="98" width="10.5703125" style="4" bestFit="1" customWidth="1"/>
    <col min="99" max="99" width="9.42578125" style="4" bestFit="1" customWidth="1"/>
    <col min="100" max="101" width="10.5703125" style="4" bestFit="1" customWidth="1"/>
    <col min="102" max="104" width="10.5703125" style="4" customWidth="1"/>
    <col min="105" max="105" width="9" style="4" bestFit="1" customWidth="1"/>
    <col min="106" max="106" width="10.5703125" style="4" bestFit="1" customWidth="1"/>
    <col min="107" max="107" width="9.28515625" style="4" bestFit="1" customWidth="1"/>
    <col min="108" max="108" width="11.7109375" style="4" bestFit="1" customWidth="1"/>
    <col min="109" max="109" width="8.42578125" style="4" bestFit="1" customWidth="1"/>
    <col min="110" max="110" width="9.42578125" style="4" bestFit="1" customWidth="1"/>
    <col min="111" max="111" width="9.7109375" style="4" bestFit="1" customWidth="1"/>
    <col min="112" max="112" width="11" style="4" bestFit="1" customWidth="1"/>
    <col min="113" max="113" width="9.42578125" style="4" bestFit="1" customWidth="1"/>
    <col min="114" max="115" width="9.42578125" style="4" customWidth="1"/>
    <col min="116" max="116" width="10.5703125" style="4" bestFit="1" customWidth="1"/>
    <col min="117" max="117" width="14.28515625" style="4" customWidth="1"/>
    <col min="118" max="118" width="14" style="4" bestFit="1" customWidth="1"/>
    <col min="119" max="119" width="10.5703125" style="4" bestFit="1" customWidth="1"/>
    <col min="120" max="120" width="9.42578125" style="4" bestFit="1" customWidth="1"/>
    <col min="121" max="122" width="10.5703125" style="4" bestFit="1" customWidth="1"/>
    <col min="123" max="125" width="10.5703125" style="4" customWidth="1"/>
    <col min="126" max="126" width="9" style="4" bestFit="1" customWidth="1"/>
    <col min="127" max="127" width="10.5703125" style="4" bestFit="1" customWidth="1"/>
    <col min="128" max="128" width="9.28515625" style="4" bestFit="1" customWidth="1"/>
    <col min="129" max="129" width="11.7109375" style="4" bestFit="1" customWidth="1"/>
    <col min="130" max="130" width="8.42578125" style="4" bestFit="1" customWidth="1"/>
    <col min="131" max="131" width="9.42578125" style="4" bestFit="1" customWidth="1"/>
    <col min="132" max="132" width="9.7109375" style="4" bestFit="1" customWidth="1"/>
    <col min="133" max="133" width="11" style="4" bestFit="1" customWidth="1"/>
    <col min="134" max="134" width="9.42578125" style="4" bestFit="1" customWidth="1"/>
    <col min="135" max="136" width="9.42578125" style="4" customWidth="1"/>
    <col min="137" max="137" width="10.5703125" style="4" bestFit="1" customWidth="1"/>
    <col min="138" max="139" width="14" style="4" customWidth="1"/>
    <col min="140" max="140" width="10.5703125" style="4" bestFit="1" customWidth="1"/>
    <col min="141" max="141" width="9.42578125" style="4" bestFit="1" customWidth="1"/>
    <col min="142" max="143" width="10.5703125" style="4" bestFit="1" customWidth="1"/>
    <col min="144" max="146" width="10.5703125" style="4" customWidth="1"/>
    <col min="147" max="147" width="9" style="4" bestFit="1" customWidth="1"/>
    <col min="148" max="148" width="10.5703125" style="4" bestFit="1" customWidth="1"/>
    <col min="149" max="149" width="9.28515625" style="4" bestFit="1" customWidth="1"/>
    <col min="150" max="150" width="11.7109375" style="4" bestFit="1" customWidth="1"/>
    <col min="151" max="151" width="8.42578125" style="4" bestFit="1" customWidth="1"/>
    <col min="152" max="152" width="9.42578125" style="4" bestFit="1" customWidth="1"/>
    <col min="153" max="153" width="9.7109375" style="4" bestFit="1" customWidth="1"/>
    <col min="154" max="154" width="11" style="4" bestFit="1" customWidth="1"/>
    <col min="155" max="155" width="9.42578125" style="4" bestFit="1" customWidth="1"/>
    <col min="156" max="157" width="9.42578125" style="4" customWidth="1"/>
    <col min="158" max="158" width="11.42578125" style="4"/>
    <col min="159" max="160" width="14" style="4" bestFit="1" customWidth="1"/>
    <col min="161" max="161" width="10.5703125" style="4" bestFit="1" customWidth="1"/>
    <col min="162" max="162" width="9.42578125" style="4" bestFit="1" customWidth="1"/>
    <col min="163" max="164" width="10.5703125" style="4" bestFit="1" customWidth="1"/>
    <col min="165" max="167" width="10.5703125" style="4" customWidth="1"/>
    <col min="168" max="168" width="9" style="4" bestFit="1" customWidth="1"/>
    <col min="169" max="169" width="10.5703125" style="4" bestFit="1" customWidth="1"/>
    <col min="170" max="170" width="9.28515625" style="4" bestFit="1" customWidth="1"/>
    <col min="171" max="171" width="11.7109375" style="4" bestFit="1" customWidth="1"/>
    <col min="172" max="172" width="8.140625" style="4" bestFit="1" customWidth="1"/>
    <col min="173" max="173" width="9.42578125" style="4" bestFit="1" customWidth="1"/>
    <col min="174" max="174" width="9.7109375" style="4" bestFit="1" customWidth="1"/>
    <col min="175" max="175" width="11" style="4" bestFit="1" customWidth="1"/>
    <col min="176" max="176" width="9.42578125" style="4" bestFit="1" customWidth="1"/>
    <col min="177" max="178" width="9.42578125" style="4" customWidth="1"/>
    <col min="179" max="179" width="10.5703125" style="4" bestFit="1" customWidth="1"/>
    <col min="180" max="181" width="14" style="4" bestFit="1" customWidth="1"/>
    <col min="182" max="182" width="10.5703125" style="4" bestFit="1" customWidth="1"/>
    <col min="183" max="183" width="9.42578125" style="4" bestFit="1" customWidth="1"/>
    <col min="184" max="185" width="10.5703125" style="4" bestFit="1" customWidth="1"/>
    <col min="186" max="188" width="10.5703125" style="4" customWidth="1"/>
    <col min="189" max="189" width="9" style="4" bestFit="1" customWidth="1"/>
    <col min="190" max="190" width="10.5703125" style="4" bestFit="1" customWidth="1"/>
    <col min="191" max="191" width="9.28515625" style="4" bestFit="1" customWidth="1"/>
    <col min="192" max="192" width="11.42578125" style="4"/>
    <col min="193" max="193" width="8.42578125" style="4" bestFit="1" customWidth="1"/>
    <col min="194" max="194" width="9.42578125" style="4" bestFit="1" customWidth="1"/>
    <col min="195" max="195" width="9.7109375" style="4" bestFit="1" customWidth="1"/>
    <col min="196" max="196" width="11" style="4" bestFit="1" customWidth="1"/>
    <col min="197" max="197" width="9.42578125" style="4" bestFit="1" customWidth="1"/>
    <col min="198" max="199" width="9.42578125" style="4" customWidth="1"/>
    <col min="200" max="200" width="10.5703125" style="4" bestFit="1" customWidth="1"/>
    <col min="201" max="201" width="14" style="4" customWidth="1"/>
    <col min="202" max="202" width="14.28515625" style="4" customWidth="1"/>
    <col min="203" max="203" width="10.5703125" style="4" bestFit="1" customWidth="1"/>
    <col min="204" max="204" width="9.42578125" style="4" bestFit="1" customWidth="1"/>
    <col min="205" max="206" width="10.5703125" style="4" bestFit="1" customWidth="1"/>
    <col min="207" max="209" width="10.5703125" style="4" customWidth="1"/>
    <col min="210" max="210" width="9" style="4" bestFit="1" customWidth="1"/>
    <col min="211" max="211" width="10.5703125" style="4" bestFit="1" customWidth="1"/>
    <col min="212" max="212" width="9.28515625" style="4" bestFit="1" customWidth="1"/>
    <col min="213" max="213" width="11.7109375" style="4" bestFit="1" customWidth="1"/>
    <col min="214" max="214" width="8.42578125" style="4" bestFit="1" customWidth="1"/>
    <col min="215" max="215" width="9.42578125" style="4" bestFit="1" customWidth="1"/>
    <col min="216" max="216" width="9.7109375" style="4" bestFit="1" customWidth="1"/>
    <col min="217" max="217" width="11" style="4" bestFit="1" customWidth="1"/>
    <col min="218" max="218" width="9.42578125" style="4" bestFit="1" customWidth="1"/>
    <col min="219" max="16384" width="11.42578125" style="4"/>
  </cols>
  <sheetData>
    <row r="1" spans="1:218" ht="27" thickBot="1" x14ac:dyDescent="0.45">
      <c r="B1" s="278" t="s">
        <v>176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Châtaignier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>Chêne sessile</v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>Douglas</v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/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/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/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/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/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/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/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75.75" thickBot="1" x14ac:dyDescent="0.3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25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293.33333333333331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284.62668108124626</v>
      </c>
      <c r="T3" s="59">
        <f>IF('Données projet'!E9&gt;30,$R$33-$H$33,LOOKUP('Données projet'!$E$9,$A$3:$A$203,R3:R203)-LOOKUP('Données projet'!$E$9,$A$3:$A$203,$H$3:$H$203))</f>
        <v>333.70864452711021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293.33333333333331</v>
      </c>
      <c r="AN3" s="59">
        <f ca="1">AVERAGE(OFFSET($AM$3,0,0,'Données projet'!$E$10+1,1))-AVERAGE(OFFSET($H$3,0,0,'Données projet'!$E$10+1,1))</f>
        <v>318.40875902853116</v>
      </c>
      <c r="AO3" s="59">
        <f>IF('Données projet'!E10&gt;30,$AM$33-$H$33,LOOKUP('Données projet'!$E$10,$A$3:$A$203,AM3:AM203)-LOOKUP('Données projet'!$E$10,$A$3:$A$203,$H$3:$H$203))</f>
        <v>234.87694492493506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293.33333333333331</v>
      </c>
      <c r="BI3" s="59">
        <f ca="1">AVERAGE(OFFSET($BH$3,0,0,'Données projet'!$E$11+1,1))-AVERAGE(OFFSET($H$3,0,0,'Données projet'!$E$11+1,1))</f>
        <v>415.91544298418842</v>
      </c>
      <c r="BJ3" s="59">
        <f>IF('Données projet'!E11&gt;30,$BH$33-$H$33,LOOKUP('Données projet'!$E$11,$A$3:$A$203,BH3:BH203)-LOOKUP('Données projet'!$E$11,$A$3:$A$203,$H$3:$H$203))</f>
        <v>422.79312683312583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25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0.88919999999999999</v>
      </c>
      <c r="D4" s="11">
        <f>IFERROR(EXP(-1.0587+0.8836*LN(C4)+0.284),0)</f>
        <v>0.41542055579923082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10.07075516757301</v>
      </c>
      <c r="H4" s="67">
        <f t="shared" ref="H4:H67" si="1">(B4+E4+F4)*44/12+(C4+D4)*0.475*44/12</f>
        <v>295.60554746801699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1.9</v>
      </c>
      <c r="N4" s="13">
        <f>IF('Données projet'!$A$36&gt;35,N3+M4-V3,IF(A4&lt;'Données projet'!$A$36,$K$205^A4,IF(A4='Données projet'!$A$36,'Données projet'!$B$36,N3+M4-V3)))</f>
        <v>1.3423796509621049</v>
      </c>
      <c r="O4" s="13">
        <f>N4*VLOOKUP('Données projet'!$B$9,Paramètres!$A$1:$I$89,3,0)*VLOOKUP('Données projet'!$B$9,Paramètres!$A$1:$I$89,5,0)</f>
        <v>0.98423276008541516</v>
      </c>
      <c r="P4" s="13">
        <f>EXP(-1.0587+0.8836*LN(O4)+0.284)</f>
        <v>0.45441566615213064</v>
      </c>
      <c r="Q4" s="20">
        <f t="shared" ref="Q4:Q34" si="2">(O4+P4)*0.475*44/12</f>
        <v>2.5056460090303925</v>
      </c>
      <c r="R4" s="59">
        <f t="shared" si="0"/>
        <v>295.8389793423637</v>
      </c>
      <c r="S4" s="59">
        <f ca="1">AVERAGE(OFFSET($R$3,0,0,'Données projet'!$E$9+1,1))-AVERAGE(OFFSET($H$3,0,0,'Données projet'!$E$9+1,1))</f>
        <v>284.62668108124626</v>
      </c>
      <c r="T4" s="59">
        <f>$T$3</f>
        <v>333.70864452711021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3.65</v>
      </c>
      <c r="AI4" s="13">
        <f>IF('Données projet'!$A$62&gt;35,AI3+AH4-AQ3,IF(A4&lt;'Données projet'!$A$62,$AF$205^A4,IF(A4='Données projet'!$A$62,'Données projet'!$B$62,AI3+AH4-AQ3)))</f>
        <v>1.2392705892426346</v>
      </c>
      <c r="AJ4" s="13">
        <f>AI4*VLOOKUP('Données projet'!$B$10,Paramètres!$A$1:$I$89,3,0)*VLOOKUP('Données projet'!$B$10,Paramètres!$A$1:$I$89,5,0)</f>
        <v>1.1212920291467359</v>
      </c>
      <c r="AK4" s="13">
        <f>EXP(-1.0587+0.8836*LN(AJ4)+0.284)</f>
        <v>0.50989827066551541</v>
      </c>
      <c r="AL4" s="20">
        <f t="shared" ref="AL4:AL67" si="4">(AJ4+AK4)*0.475*44/12</f>
        <v>2.8409897721730037</v>
      </c>
      <c r="AM4" s="59">
        <f t="shared" ref="AM4:AM67" si="5">AL4+(AD4+AE4)*44/12</f>
        <v>296.17432310550635</v>
      </c>
      <c r="AN4" s="59">
        <f ca="1">AVERAGE(OFFSET($AM$3,0,0,'Données projet'!$E$10+1,1))-AVERAGE(OFFSET($H$3,0,0,'Données projet'!$E$10+1,1))</f>
        <v>318.40875902853116</v>
      </c>
      <c r="AO4" s="59">
        <f>$AO$3</f>
        <v>234.87694492493506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2.7</v>
      </c>
      <c r="BD4" s="12">
        <f>IF('Données projet'!$A$88&gt;35,BD3+BC4-BL3,IF(A4&lt;'Données projet'!$A$88,$BA$205^A4,IF(A4='Données projet'!$A$88,'Données projet'!$B$88,BD3+BC4-BL3)))</f>
        <v>1.3903891703159093</v>
      </c>
      <c r="BE4" s="13">
        <f>BD4*VLOOKUP('Données projet'!$B$11,Paramètres!$A$1:$I$89,3,0)*VLOOKUP('Données projet'!$B$11,Paramètres!$A$1:$I$89,5,0)</f>
        <v>0.77722754620659329</v>
      </c>
      <c r="BF4" s="13">
        <f>EXP(-1.0587+0.8836*LN(BE4)+0.284)</f>
        <v>0.36884206136494596</v>
      </c>
      <c r="BG4" s="20">
        <f t="shared" ref="BG4:BG67" si="7">(BE4+BF4)*0.475*44/12</f>
        <v>1.9960712331870976</v>
      </c>
      <c r="BH4" s="59">
        <f t="shared" ref="BH4:BH67" si="8">BG4+(AY4+AZ4)*44/12</f>
        <v>295.3294045665204</v>
      </c>
      <c r="BI4" s="59">
        <f ca="1">AVERAGE(OFFSET($BH$3,0,0,'Données projet'!$E$11+1,1))-AVERAGE(OFFSET($H$3,0,0,'Données projet'!$E$11+1,1))</f>
        <v>415.91544298418842</v>
      </c>
      <c r="BJ4" s="59">
        <f>$BJ$3</f>
        <v>422.79312683312583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25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1.7784</v>
      </c>
      <c r="D5" s="11">
        <f t="shared" ref="D5:D68" si="32">IFERROR(EXP(-1.0587+0.8836*LN(C5)+0.284),0)</f>
        <v>0.76643986660078545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19.644377917620098</v>
      </c>
      <c r="H5" s="67">
        <f t="shared" si="1"/>
        <v>297.76559610099633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1.9</v>
      </c>
      <c r="N5" s="13">
        <f>IF('Données projet'!$A$36&gt;35,N4+M5-V4,IF(A5&lt;'Données projet'!$A$36,$K$205^A5,IF(A5='Données projet'!$A$36,'Données projet'!$B$36,N4+M5-V4)))</f>
        <v>1.8019831273171425</v>
      </c>
      <c r="O5" s="13">
        <f>N5*VLOOKUP('Données projet'!$B$9,Paramètres!$A$1:$I$89,3,0)*VLOOKUP('Données projet'!$B$9,Paramètres!$A$1:$I$89,5,0)</f>
        <v>1.3212140289489287</v>
      </c>
      <c r="P5" s="13">
        <f t="shared" ref="P5:P68" si="33">EXP(-1.0587+0.8836*LN(O5)+0.284)</f>
        <v>0.58944591680017422</v>
      </c>
      <c r="Q5" s="20">
        <f t="shared" si="2"/>
        <v>3.327732738846354</v>
      </c>
      <c r="R5" s="59">
        <f t="shared" si="0"/>
        <v>296.66106607217966</v>
      </c>
      <c r="S5" s="59">
        <f ca="1">AVERAGE(OFFSET($R$3,0,0,'Données projet'!$E$9+1,1))-AVERAGE(OFFSET($H$3,0,0,'Données projet'!$E$9+1,1))</f>
        <v>284.62668108124626</v>
      </c>
      <c r="T5" s="59">
        <f t="shared" ref="T5:T68" si="34">$T$3</f>
        <v>333.70864452711021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3.65</v>
      </c>
      <c r="AI5" s="13">
        <f>IF('Données projet'!$A$62&gt;35,AI4+AH5-AQ4,IF(A5&lt;'Données projet'!$A$62,$AF$205^A5,IF(A5='Données projet'!$A$62,'Données projet'!$B$62,AI4+AH5-AQ4)))</f>
        <v>1.5357915933617867</v>
      </c>
      <c r="AJ5" s="13">
        <f>AI5*VLOOKUP('Données projet'!$B$10,Paramètres!$A$1:$I$89,3,0)*VLOOKUP('Données projet'!$B$10,Paramètres!$A$1:$I$89,5,0)</f>
        <v>1.3895842336737447</v>
      </c>
      <c r="AK5" s="13">
        <f t="shared" ref="AK5:AK68" si="35">EXP(-1.0587+0.8836*LN(AJ5)+0.284)</f>
        <v>0.61631841327304715</v>
      </c>
      <c r="AL5" s="20">
        <f t="shared" si="4"/>
        <v>3.4936137767656628</v>
      </c>
      <c r="AM5" s="59">
        <f t="shared" si="5"/>
        <v>296.82694711009896</v>
      </c>
      <c r="AN5" s="59">
        <f ca="1">AVERAGE(OFFSET($AM$3,0,0,'Données projet'!$E$10+1,1))-AVERAGE(OFFSET($H$3,0,0,'Données projet'!$E$10+1,1))</f>
        <v>318.40875902853116</v>
      </c>
      <c r="AO5" s="59">
        <f t="shared" ref="AO5:AO68" si="36">$AO$3</f>
        <v>234.87694492493506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2.7</v>
      </c>
      <c r="BD5" s="12">
        <f>IF('Données projet'!$A$88&gt;35,BD4+BC5-BL4,IF(A5&lt;'Données projet'!$A$88,$BA$205^A5,IF(A5='Données projet'!$A$88,'Données projet'!$B$88,BD4+BC5-BL4)))</f>
        <v>1.9331820449317625</v>
      </c>
      <c r="BE5" s="13">
        <f>BD5*VLOOKUP('Données projet'!$B$11,Paramètres!$A$1:$I$89,3,0)*VLOOKUP('Données projet'!$B$11,Paramètres!$A$1:$I$89,5,0)</f>
        <v>1.0806487631168553</v>
      </c>
      <c r="BF5" s="13">
        <f t="shared" ref="BF5:BF68" si="37">EXP(-1.0587+0.8836*LN(BE5)+0.284)</f>
        <v>0.49353248375234221</v>
      </c>
      <c r="BG5" s="20">
        <f t="shared" si="7"/>
        <v>2.7416990049638525</v>
      </c>
      <c r="BH5" s="59">
        <f t="shared" si="8"/>
        <v>296.07503233829715</v>
      </c>
      <c r="BI5" s="59">
        <f ca="1">AVERAGE(OFFSET($BH$3,0,0,'Données projet'!$E$11+1,1))-AVERAGE(OFFSET($H$3,0,0,'Données projet'!$E$11+1,1))</f>
        <v>415.91544298418842</v>
      </c>
      <c r="BJ5" s="59">
        <f t="shared" ref="BJ5:BJ68" si="38">$BJ$3</f>
        <v>422.79312683312583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25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2.6676000000000002</v>
      </c>
      <c r="D6" s="11">
        <f t="shared" si="32"/>
        <v>1.0966608080083624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29.057451851292623</v>
      </c>
      <c r="H6" s="67">
        <f t="shared" si="1"/>
        <v>299.88942090728119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1.9</v>
      </c>
      <c r="N6" s="13">
        <f>IF('Données projet'!$A$36&gt;35,N5+M6-V5,IF(A6&lt;'Données projet'!$A$36,$K$205^A6,IF(A6='Données projet'!$A$36,'Données projet'!$B$36,N5+M6-V5)))</f>
        <v>2.4189454814875879</v>
      </c>
      <c r="O6" s="13">
        <f>N6*VLOOKUP('Données projet'!$B$9,Paramètres!$A$1:$I$89,3,0)*VLOOKUP('Données projet'!$B$9,Paramètres!$A$1:$I$89,5,0)</f>
        <v>1.7735708270266992</v>
      </c>
      <c r="P6" s="13">
        <f t="shared" si="33"/>
        <v>0.76460059525341872</v>
      </c>
      <c r="Q6" s="20">
        <f t="shared" si="2"/>
        <v>4.4206485604712045</v>
      </c>
      <c r="R6" s="59">
        <f t="shared" si="0"/>
        <v>297.75398189380451</v>
      </c>
      <c r="S6" s="59">
        <f ca="1">AVERAGE(OFFSET($R$3,0,0,'Données projet'!$E$9+1,1))-AVERAGE(OFFSET($H$3,0,0,'Données projet'!$E$9+1,1))</f>
        <v>284.62668108124626</v>
      </c>
      <c r="T6" s="59">
        <f t="shared" si="34"/>
        <v>333.70864452711021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3.65</v>
      </c>
      <c r="AI6" s="13">
        <f>IF('Données projet'!$A$62&gt;35,AI5+AH6-AQ5,IF(A6&lt;'Données projet'!$A$62,$AF$205^A6,IF(A6='Données projet'!$A$62,'Données projet'!$B$62,AI5+AH6-AQ5)))</f>
        <v>1.9032613528593461</v>
      </c>
      <c r="AJ6" s="13">
        <f>AI6*VLOOKUP('Données projet'!$B$10,Paramètres!$A$1:$I$89,3,0)*VLOOKUP('Données projet'!$B$10,Paramètres!$A$1:$I$89,5,0)</f>
        <v>1.7220708720671365</v>
      </c>
      <c r="AK6" s="13">
        <f t="shared" si="35"/>
        <v>0.74494935243383209</v>
      </c>
      <c r="AL6" s="20">
        <f t="shared" si="4"/>
        <v>4.2967268910058536</v>
      </c>
      <c r="AM6" s="59">
        <f t="shared" si="5"/>
        <v>297.63006022433916</v>
      </c>
      <c r="AN6" s="59">
        <f ca="1">AVERAGE(OFFSET($AM$3,0,0,'Données projet'!$E$10+1,1))-AVERAGE(OFFSET($H$3,0,0,'Données projet'!$E$10+1,1))</f>
        <v>318.40875902853116</v>
      </c>
      <c r="AO6" s="59">
        <f t="shared" si="36"/>
        <v>234.87694492493506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2.7</v>
      </c>
      <c r="BD6" s="12">
        <f>IF('Données projet'!$A$88&gt;35,BD5+BC6-BL5,IF(A6&lt;'Données projet'!$A$88,$BA$205^A6,IF(A6='Données projet'!$A$88,'Données projet'!$B$88,BD5+BC6-BL5)))</f>
        <v>2.6878753795222861</v>
      </c>
      <c r="BE6" s="13">
        <f>BD6*VLOOKUP('Données projet'!$B$11,Paramètres!$A$1:$I$89,3,0)*VLOOKUP('Données projet'!$B$11,Paramètres!$A$1:$I$89,5,0)</f>
        <v>1.5025223371529579</v>
      </c>
      <c r="BF6" s="13">
        <f t="shared" si="37"/>
        <v>0.66037564050417386</v>
      </c>
      <c r="BG6" s="20">
        <f t="shared" si="7"/>
        <v>3.7670473110861704</v>
      </c>
      <c r="BH6" s="59">
        <f t="shared" si="8"/>
        <v>297.10038064441949</v>
      </c>
      <c r="BI6" s="59">
        <f ca="1">AVERAGE(OFFSET($BH$3,0,0,'Données projet'!$E$11+1,1))-AVERAGE(OFFSET($H$3,0,0,'Données projet'!$E$11+1,1))</f>
        <v>415.91544298418842</v>
      </c>
      <c r="BJ6" s="59">
        <f t="shared" si="38"/>
        <v>422.79312683312583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25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3.5568</v>
      </c>
      <c r="D7" s="11">
        <f t="shared" si="32"/>
        <v>1.4140611505968179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38.37155975899298</v>
      </c>
      <c r="H7" s="67">
        <f t="shared" si="1"/>
        <v>301.9909165039561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1.9</v>
      </c>
      <c r="N7" s="13">
        <f>IF('Données projet'!$A$36&gt;35,N6+M7-V6,IF(A7&lt;'Données projet'!$A$36,$K$205^A7,IF(A7='Données projet'!$A$36,'Données projet'!$B$36,N6+M7-V6)))</f>
        <v>3.247143191135669</v>
      </c>
      <c r="O7" s="13">
        <f>N7*VLOOKUP('Données projet'!$B$9,Paramètres!$A$1:$I$89,3,0)*VLOOKUP('Données projet'!$B$9,Paramètres!$A$1:$I$89,5,0)</f>
        <v>2.3808053877406725</v>
      </c>
      <c r="P7" s="13">
        <f t="shared" si="33"/>
        <v>0.99180273134383279</v>
      </c>
      <c r="Q7" s="20">
        <f t="shared" si="2"/>
        <v>5.8739591407388465</v>
      </c>
      <c r="R7" s="59">
        <f t="shared" si="0"/>
        <v>299.20729247407218</v>
      </c>
      <c r="S7" s="59">
        <f ca="1">AVERAGE(OFFSET($R$3,0,0,'Données projet'!$E$9+1,1))-AVERAGE(OFFSET($H$3,0,0,'Données projet'!$E$9+1,1))</f>
        <v>284.62668108124626</v>
      </c>
      <c r="T7" s="59">
        <f t="shared" si="34"/>
        <v>333.70864452711021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3.65</v>
      </c>
      <c r="AI7" s="13">
        <f>IF('Données projet'!$A$62&gt;35,AI6+AH7-AQ6,IF(A7&lt;'Données projet'!$A$62,$AF$205^A7,IF(A7='Données projet'!$A$62,'Données projet'!$B$62,AI6+AH7-AQ6)))</f>
        <v>2.3586558182407358</v>
      </c>
      <c r="AJ7" s="13">
        <f>AI7*VLOOKUP('Données projet'!$B$10,Paramètres!$A$1:$I$89,3,0)*VLOOKUP('Données projet'!$B$10,Paramètres!$A$1:$I$89,5,0)</f>
        <v>2.1341117843442179</v>
      </c>
      <c r="AK7" s="13">
        <f t="shared" si="35"/>
        <v>0.90042667189585779</v>
      </c>
      <c r="AL7" s="20">
        <f t="shared" si="4"/>
        <v>5.2851544779514645</v>
      </c>
      <c r="AM7" s="59">
        <f t="shared" si="5"/>
        <v>298.61848781128475</v>
      </c>
      <c r="AN7" s="59">
        <f ca="1">AVERAGE(OFFSET($AM$3,0,0,'Données projet'!$E$10+1,1))-AVERAGE(OFFSET($H$3,0,0,'Données projet'!$E$10+1,1))</f>
        <v>318.40875902853116</v>
      </c>
      <c r="AO7" s="59">
        <f t="shared" si="36"/>
        <v>234.87694492493506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2.7</v>
      </c>
      <c r="BD7" s="12">
        <f>IF('Données projet'!$A$88&gt;35,BD6+BC7-BL6,IF(A7&lt;'Données projet'!$A$88,$BA$205^A7,IF(A7='Données projet'!$A$88,'Données projet'!$B$88,BD6+BC7-BL6)))</f>
        <v>3.7371928188465509</v>
      </c>
      <c r="BE7" s="13">
        <f>BD7*VLOOKUP('Données projet'!$B$11,Paramètres!$A$1:$I$89,3,0)*VLOOKUP('Données projet'!$B$11,Paramètres!$A$1:$I$89,5,0)</f>
        <v>2.0890907857352219</v>
      </c>
      <c r="BF7" s="13">
        <f t="shared" si="37"/>
        <v>0.88362164787137598</v>
      </c>
      <c r="BG7" s="20">
        <f t="shared" si="7"/>
        <v>5.1774741551981576</v>
      </c>
      <c r="BH7" s="59">
        <f t="shared" si="8"/>
        <v>298.5108074885315</v>
      </c>
      <c r="BI7" s="59">
        <f ca="1">AVERAGE(OFFSET($BH$3,0,0,'Données projet'!$E$11+1,1))-AVERAGE(OFFSET($H$3,0,0,'Données projet'!$E$11+1,1))</f>
        <v>415.91544298418842</v>
      </c>
      <c r="BJ7" s="59">
        <f t="shared" si="38"/>
        <v>422.79312683312583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25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4.4459999999999997</v>
      </c>
      <c r="D8" s="11">
        <f t="shared" si="32"/>
        <v>1.7222566815192897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47.614612980148905</v>
      </c>
      <c r="H8" s="67">
        <f t="shared" si="1"/>
        <v>304.07638038697939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1.9</v>
      </c>
      <c r="N8" s="13">
        <f>IF('Données projet'!$A$36&gt;35,N7+M8-V7,IF(A8&lt;'Données projet'!$A$36,$K$205^A8,IF(A8='Données projet'!$A$36,'Données projet'!$B$36,N7+M8-V7)))</f>
        <v>4.3588989435406749</v>
      </c>
      <c r="O8" s="13">
        <f>N8*VLOOKUP('Données projet'!$B$9,Paramètres!$A$1:$I$89,3,0)*VLOOKUP('Données projet'!$B$9,Paramètres!$A$1:$I$89,5,0)</f>
        <v>3.1959447054040226</v>
      </c>
      <c r="P8" s="13">
        <f t="shared" si="33"/>
        <v>1.2865182998910156</v>
      </c>
      <c r="Q8" s="20">
        <f t="shared" si="2"/>
        <v>7.8069564008888577</v>
      </c>
      <c r="R8" s="59">
        <f t="shared" si="0"/>
        <v>301.14028973422216</v>
      </c>
      <c r="S8" s="59">
        <f ca="1">AVERAGE(OFFSET($R$3,0,0,'Données projet'!$E$9+1,1))-AVERAGE(OFFSET($H$3,0,0,'Données projet'!$E$9+1,1))</f>
        <v>284.62668108124626</v>
      </c>
      <c r="T8" s="59">
        <f t="shared" si="34"/>
        <v>333.70864452711021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3.65</v>
      </c>
      <c r="AI8" s="13">
        <f>IF('Données projet'!$A$62&gt;35,AI7+AH8-AQ7,IF(A8&lt;'Données projet'!$A$62,$AF$205^A8,IF(A8='Données projet'!$A$62,'Données projet'!$B$62,AI7+AH8-AQ7)))</f>
        <v>2.9230127856917649</v>
      </c>
      <c r="AJ8" s="13">
        <f>AI8*VLOOKUP('Données projet'!$B$10,Paramètres!$A$1:$I$89,3,0)*VLOOKUP('Données projet'!$B$10,Paramètres!$A$1:$I$89,5,0)</f>
        <v>2.6447419684939089</v>
      </c>
      <c r="AK8" s="13">
        <f t="shared" si="35"/>
        <v>1.0883534414958294</v>
      </c>
      <c r="AL8" s="20">
        <f t="shared" si="4"/>
        <v>6.5018078390654601</v>
      </c>
      <c r="AM8" s="59">
        <f t="shared" si="5"/>
        <v>299.83514117239878</v>
      </c>
      <c r="AN8" s="59">
        <f ca="1">AVERAGE(OFFSET($AM$3,0,0,'Données projet'!$E$10+1,1))-AVERAGE(OFFSET($H$3,0,0,'Données projet'!$E$10+1,1))</f>
        <v>318.40875902853116</v>
      </c>
      <c r="AO8" s="59">
        <f t="shared" si="36"/>
        <v>234.87694492493506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2.7</v>
      </c>
      <c r="BD8" s="12">
        <f>IF('Données projet'!$A$88&gt;35,BD7+BC8-BL7,IF(A8&lt;'Données projet'!$A$88,$BA$205^A8,IF(A8='Données projet'!$A$88,'Données projet'!$B$88,BD7+BC8-BL7)))</f>
        <v>5.1961524227066302</v>
      </c>
      <c r="BE8" s="13">
        <f>BD8*VLOOKUP('Données projet'!$B$11,Paramètres!$A$1:$I$89,3,0)*VLOOKUP('Données projet'!$B$11,Paramètres!$A$1:$I$89,5,0)</f>
        <v>2.9046492042930061</v>
      </c>
      <c r="BF8" s="13">
        <f t="shared" si="37"/>
        <v>1.1823380038531133</v>
      </c>
      <c r="BG8" s="20">
        <f t="shared" si="7"/>
        <v>7.1181693875211574</v>
      </c>
      <c r="BH8" s="59">
        <f t="shared" si="8"/>
        <v>300.45150272085448</v>
      </c>
      <c r="BI8" s="59">
        <f ca="1">AVERAGE(OFFSET($BH$3,0,0,'Données projet'!$E$11+1,1))-AVERAGE(OFFSET($H$3,0,0,'Données projet'!$E$11+1,1))</f>
        <v>415.91544298418842</v>
      </c>
      <c r="BJ8" s="59">
        <f t="shared" si="38"/>
        <v>422.79312683312583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25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5.3351999999999995</v>
      </c>
      <c r="D9" s="11">
        <f t="shared" si="32"/>
        <v>2.0233099967312578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56.802533308100926</v>
      </c>
      <c r="H9" s="67">
        <f t="shared" si="1"/>
        <v>306.1494049109736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1.9</v>
      </c>
      <c r="N9" s="13">
        <f>IF('Données projet'!$A$36&gt;35,N8+M9-V8,IF(A9&lt;'Données projet'!$A$36,$K$205^A9,IF(A9='Données projet'!$A$36,'Données projet'!$B$36,N8+M9-V8)))</f>
        <v>5.8512972424092187</v>
      </c>
      <c r="O9" s="13">
        <f>N9*VLOOKUP('Données projet'!$B$9,Paramètres!$A$1:$I$89,3,0)*VLOOKUP('Données projet'!$B$9,Paramètres!$A$1:$I$89,5,0)</f>
        <v>4.290171138134439</v>
      </c>
      <c r="P9" s="13">
        <f t="shared" si="33"/>
        <v>1.6688090117596963</v>
      </c>
      <c r="Q9" s="20">
        <f t="shared" si="2"/>
        <v>10.378557094398952</v>
      </c>
      <c r="R9" s="59">
        <f t="shared" si="0"/>
        <v>303.71189042773227</v>
      </c>
      <c r="S9" s="59">
        <f ca="1">AVERAGE(OFFSET($R$3,0,0,'Données projet'!$E$9+1,1))-AVERAGE(OFFSET($H$3,0,0,'Données projet'!$E$9+1,1))</f>
        <v>284.62668108124626</v>
      </c>
      <c r="T9" s="59">
        <f t="shared" si="34"/>
        <v>333.70864452711021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3.65</v>
      </c>
      <c r="AI9" s="13">
        <f>IF('Données projet'!$A$62&gt;35,AI8+AH9-AQ8,IF(A9&lt;'Données projet'!$A$62,$AF$205^A9,IF(A9='Données projet'!$A$62,'Données projet'!$B$62,AI8+AH9-AQ8)))</f>
        <v>3.6224037772879885</v>
      </c>
      <c r="AJ9" s="13">
        <f>AI9*VLOOKUP('Données projet'!$B$10,Paramètres!$A$1:$I$89,3,0)*VLOOKUP('Données projet'!$B$10,Paramètres!$A$1:$I$89,5,0)</f>
        <v>3.2775509376901719</v>
      </c>
      <c r="AK9" s="13">
        <f t="shared" si="35"/>
        <v>1.315502139804245</v>
      </c>
      <c r="AL9" s="20">
        <f t="shared" si="4"/>
        <v>7.9995674433027766</v>
      </c>
      <c r="AM9" s="59">
        <f t="shared" si="5"/>
        <v>301.33290077663611</v>
      </c>
      <c r="AN9" s="59">
        <f ca="1">AVERAGE(OFFSET($AM$3,0,0,'Données projet'!$E$10+1,1))-AVERAGE(OFFSET($H$3,0,0,'Données projet'!$E$10+1,1))</f>
        <v>318.40875902853116</v>
      </c>
      <c r="AO9" s="59">
        <f t="shared" si="36"/>
        <v>234.87694492493506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2.7</v>
      </c>
      <c r="BD9" s="12">
        <f>IF('Données projet'!$A$88&gt;35,BD8+BC9-BL8,IF(A9&lt;'Données projet'!$A$88,$BA$205^A9,IF(A9='Données projet'!$A$88,'Données projet'!$B$88,BD8+BC9-BL8)))</f>
        <v>7.2246740558420726</v>
      </c>
      <c r="BE9" s="13">
        <f>BD9*VLOOKUP('Données projet'!$B$11,Paramètres!$A$1:$I$89,3,0)*VLOOKUP('Données projet'!$B$11,Paramètres!$A$1:$I$89,5,0)</f>
        <v>4.0385927972157187</v>
      </c>
      <c r="BF9" s="13">
        <f t="shared" si="37"/>
        <v>1.5820381480274153</v>
      </c>
      <c r="BG9" s="20">
        <f t="shared" si="7"/>
        <v>9.7892655629651237</v>
      </c>
      <c r="BH9" s="59">
        <f t="shared" si="8"/>
        <v>303.12259889629843</v>
      </c>
      <c r="BI9" s="59">
        <f ca="1">AVERAGE(OFFSET($BH$3,0,0,'Données projet'!$E$11+1,1))-AVERAGE(OFFSET($H$3,0,0,'Données projet'!$E$11+1,1))</f>
        <v>415.91544298418842</v>
      </c>
      <c r="BJ9" s="59">
        <f t="shared" si="38"/>
        <v>422.79312683312583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25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6.2243999999999993</v>
      </c>
      <c r="D10" s="11">
        <f t="shared" si="32"/>
        <v>2.3185507720937846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65.945584907390625</v>
      </c>
      <c r="H10" s="67">
        <f t="shared" si="1"/>
        <v>308.2123059280633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1.9</v>
      </c>
      <c r="N10" s="13">
        <f>IF('Données projet'!$A$36&gt;35,N9+M10-V9,IF(A10&lt;'Données projet'!$A$36,$K$205^A10,IF(A10='Données projet'!$A$36,'Données projet'!$B$36,N9+M10-V9)))</f>
        <v>7.8546623499408135</v>
      </c>
      <c r="O10" s="13">
        <f>N10*VLOOKUP('Données projet'!$B$9,Paramètres!$A$1:$I$89,3,0)*VLOOKUP('Données projet'!$B$9,Paramètres!$A$1:$I$89,5,0)</f>
        <v>5.7590384349766044</v>
      </c>
      <c r="P10" s="13">
        <f t="shared" si="33"/>
        <v>2.1646979432521807</v>
      </c>
      <c r="Q10" s="20">
        <f t="shared" si="2"/>
        <v>13.800507525415135</v>
      </c>
      <c r="R10" s="59">
        <f t="shared" si="0"/>
        <v>307.13384085874844</v>
      </c>
      <c r="S10" s="59">
        <f ca="1">AVERAGE(OFFSET($R$3,0,0,'Données projet'!$E$9+1,1))-AVERAGE(OFFSET($H$3,0,0,'Données projet'!$E$9+1,1))</f>
        <v>284.62668108124626</v>
      </c>
      <c r="T10" s="59">
        <f t="shared" si="34"/>
        <v>333.70864452711021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3.65</v>
      </c>
      <c r="AI10" s="13">
        <f>IF('Données projet'!$A$62&gt;35,AI9+AH10-AQ9,IF(A10&lt;'Données projet'!$A$62,$AF$205^A10,IF(A10='Données projet'!$A$62,'Données projet'!$B$62,AI9+AH10-AQ9)))</f>
        <v>4.4891384635544309</v>
      </c>
      <c r="AJ10" s="13">
        <f>AI10*VLOOKUP('Données projet'!$B$10,Paramètres!$A$1:$I$89,3,0)*VLOOKUP('Données projet'!$B$10,Paramètres!$A$1:$I$89,5,0)</f>
        <v>4.0617724818240486</v>
      </c>
      <c r="AK10" s="13">
        <f t="shared" si="35"/>
        <v>1.590058719758437</v>
      </c>
      <c r="AL10" s="20">
        <f t="shared" si="4"/>
        <v>9.8436060094228282</v>
      </c>
      <c r="AM10" s="59">
        <f t="shared" si="5"/>
        <v>303.17693934275616</v>
      </c>
      <c r="AN10" s="59">
        <f ca="1">AVERAGE(OFFSET($AM$3,0,0,'Données projet'!$E$10+1,1))-AVERAGE(OFFSET($H$3,0,0,'Données projet'!$E$10+1,1))</f>
        <v>318.40875902853116</v>
      </c>
      <c r="AO10" s="59">
        <f t="shared" si="36"/>
        <v>234.87694492493506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2.7</v>
      </c>
      <c r="BD10" s="12">
        <f>IF('Données projet'!$A$88&gt;35,BD9+BC10-BL9,IF(A10&lt;'Données projet'!$A$88,$BA$205^A10,IF(A10='Données projet'!$A$88,'Données projet'!$B$88,BD9+BC10-BL9)))</f>
        <v>10.045108566305135</v>
      </c>
      <c r="BE10" s="13">
        <f>BD10*VLOOKUP('Données projet'!$B$11,Paramètres!$A$1:$I$89,3,0)*VLOOKUP('Données projet'!$B$11,Paramètres!$A$1:$I$89,5,0)</f>
        <v>5.6152156885645708</v>
      </c>
      <c r="BF10" s="13">
        <f t="shared" si="37"/>
        <v>2.1168605708837163</v>
      </c>
      <c r="BG10" s="20">
        <f t="shared" si="7"/>
        <v>13.466699485205766</v>
      </c>
      <c r="BH10" s="59">
        <f t="shared" si="8"/>
        <v>306.80003281853908</v>
      </c>
      <c r="BI10" s="59">
        <f ca="1">AVERAGE(OFFSET($BH$3,0,0,'Données projet'!$E$11+1,1))-AVERAGE(OFFSET($H$3,0,0,'Données projet'!$E$11+1,1))</f>
        <v>415.91544298418842</v>
      </c>
      <c r="BJ10" s="59">
        <f t="shared" si="38"/>
        <v>422.79312683312583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25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7.113599999999999</v>
      </c>
      <c r="D11" s="11">
        <f t="shared" si="32"/>
        <v>2.6089051793396716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75.050917173850095</v>
      </c>
      <c r="H11" s="67">
        <f t="shared" si="1"/>
        <v>310.26669652068324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1.9</v>
      </c>
      <c r="N11" s="13">
        <f>IF('Données projet'!$A$36&gt;35,N10+M11-V10,IF(A11&lt;'Données projet'!$A$36,$K$205^A11,IF(A11='Données projet'!$A$36,'Données projet'!$B$36,N10+M11-V10)))</f>
        <v>10.543938903738736</v>
      </c>
      <c r="O11" s="13">
        <f>N11*VLOOKUP('Données projet'!$B$9,Paramètres!$A$1:$I$89,3,0)*VLOOKUP('Données projet'!$B$9,Paramètres!$A$1:$I$89,5,0)</f>
        <v>7.730816004221241</v>
      </c>
      <c r="P11" s="13">
        <f t="shared" si="33"/>
        <v>2.8079409641844508</v>
      </c>
      <c r="Q11" s="20">
        <f t="shared" si="2"/>
        <v>18.355001719973249</v>
      </c>
      <c r="R11" s="59">
        <f t="shared" si="0"/>
        <v>311.68833505330656</v>
      </c>
      <c r="S11" s="59">
        <f ca="1">AVERAGE(OFFSET($R$3,0,0,'Données projet'!$E$9+1,1))-AVERAGE(OFFSET($H$3,0,0,'Données projet'!$E$9+1,1))</f>
        <v>284.62668108124626</v>
      </c>
      <c r="T11" s="59">
        <f t="shared" si="34"/>
        <v>333.70864452711021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3.65</v>
      </c>
      <c r="AI11" s="13">
        <f>IF('Données projet'!$A$62&gt;35,AI10+AH11-AQ10,IF(A11&lt;'Données projet'!$A$62,$AF$205^A11,IF(A11='Données projet'!$A$62,'Données projet'!$B$62,AI10+AH11-AQ10)))</f>
        <v>5.563257268920875</v>
      </c>
      <c r="AJ11" s="13">
        <f>AI11*VLOOKUP('Données projet'!$B$10,Paramètres!$A$1:$I$89,3,0)*VLOOKUP('Données projet'!$B$10,Paramètres!$A$1:$I$89,5,0)</f>
        <v>5.0336351769196082</v>
      </c>
      <c r="AK11" s="13">
        <f t="shared" si="35"/>
        <v>1.9219176128866391</v>
      </c>
      <c r="AL11" s="20">
        <f t="shared" si="4"/>
        <v>12.11425444224588</v>
      </c>
      <c r="AM11" s="59">
        <f t="shared" si="5"/>
        <v>305.44758777557922</v>
      </c>
      <c r="AN11" s="59">
        <f ca="1">AVERAGE(OFFSET($AM$3,0,0,'Données projet'!$E$10+1,1))-AVERAGE(OFFSET($H$3,0,0,'Données projet'!$E$10+1,1))</f>
        <v>318.40875902853116</v>
      </c>
      <c r="AO11" s="59">
        <f t="shared" si="36"/>
        <v>234.87694492493506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2.7</v>
      </c>
      <c r="BD11" s="12">
        <f>IF('Données projet'!$A$88&gt;35,BD10+BC11-BL10,IF(A11&lt;'Données projet'!$A$88,$BA$205^A11,IF(A11='Données projet'!$A$88,'Données projet'!$B$88,BD10+BC11-BL10)))</f>
        <v>13.96661016523823</v>
      </c>
      <c r="BE11" s="13">
        <f>BD11*VLOOKUP('Données projet'!$B$11,Paramètres!$A$1:$I$89,3,0)*VLOOKUP('Données projet'!$B$11,Paramètres!$A$1:$I$89,5,0)</f>
        <v>7.8073350823681702</v>
      </c>
      <c r="BF11" s="13">
        <f t="shared" si="37"/>
        <v>2.8324845909369802</v>
      </c>
      <c r="BG11" s="20">
        <f t="shared" si="7"/>
        <v>18.531019264339804</v>
      </c>
      <c r="BH11" s="59">
        <f t="shared" si="8"/>
        <v>311.86435259767313</v>
      </c>
      <c r="BI11" s="59">
        <f ca="1">AVERAGE(OFFSET($BH$3,0,0,'Données projet'!$E$11+1,1))-AVERAGE(OFFSET($H$3,0,0,'Données projet'!$E$11+1,1))</f>
        <v>415.91544298418842</v>
      </c>
      <c r="BJ11" s="59">
        <f t="shared" si="38"/>
        <v>422.79312683312583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25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8.0027999999999988</v>
      </c>
      <c r="D12" s="11">
        <f t="shared" si="32"/>
        <v>2.8950539664743791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84.123785004363612</v>
      </c>
      <c r="H12" s="67">
        <f t="shared" si="1"/>
        <v>312.31376232494284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1.9</v>
      </c>
      <c r="N12" s="13">
        <f>IF('Données projet'!$A$36&gt;35,N11+M12-V11,IF(A12&lt;'Données projet'!$A$36,$K$205^A12,IF(A12='Données projet'!$A$36,'Données projet'!$B$36,N11+M12-V11)))</f>
        <v>14.153969025366564</v>
      </c>
      <c r="O12" s="13">
        <f>N12*VLOOKUP('Données projet'!$B$9,Paramètres!$A$1:$I$89,3,0)*VLOOKUP('Données projet'!$B$9,Paramètres!$A$1:$I$89,5,0)</f>
        <v>10.377690089398765</v>
      </c>
      <c r="P12" s="13">
        <f t="shared" si="33"/>
        <v>3.6423245482922235</v>
      </c>
      <c r="Q12" s="20">
        <f t="shared" si="2"/>
        <v>24.418192160645134</v>
      </c>
      <c r="R12" s="59">
        <f t="shared" si="0"/>
        <v>317.75152549397842</v>
      </c>
      <c r="S12" s="59">
        <f ca="1">AVERAGE(OFFSET($R$3,0,0,'Données projet'!$E$9+1,1))-AVERAGE(OFFSET($H$3,0,0,'Données projet'!$E$9+1,1))</f>
        <v>284.62668108124626</v>
      </c>
      <c r="T12" s="59">
        <f t="shared" si="34"/>
        <v>333.70864452711021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3.65</v>
      </c>
      <c r="AI12" s="13">
        <f>IF('Données projet'!$A$62&gt;35,AI11+AH12-AQ11,IF(A12&lt;'Données projet'!$A$62,$AF$205^A12,IF(A12='Données projet'!$A$62,'Données projet'!$B$62,AI11+AH12-AQ11)))</f>
        <v>6.8943811137639424</v>
      </c>
      <c r="AJ12" s="13">
        <f>AI12*VLOOKUP('Données projet'!$B$10,Paramètres!$A$1:$I$89,3,0)*VLOOKUP('Données projet'!$B$10,Paramètres!$A$1:$I$89,5,0)</f>
        <v>6.2380360317336141</v>
      </c>
      <c r="AK12" s="13">
        <f t="shared" si="35"/>
        <v>2.3230383034439352</v>
      </c>
      <c r="AL12" s="20">
        <f t="shared" si="4"/>
        <v>14.910537800434229</v>
      </c>
      <c r="AM12" s="59">
        <f t="shared" si="5"/>
        <v>308.24387113376753</v>
      </c>
      <c r="AN12" s="59">
        <f ca="1">AVERAGE(OFFSET($AM$3,0,0,'Données projet'!$E$10+1,1))-AVERAGE(OFFSET($H$3,0,0,'Données projet'!$E$10+1,1))</f>
        <v>318.40875902853116</v>
      </c>
      <c r="AO12" s="59">
        <f t="shared" si="36"/>
        <v>234.87694492493506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2.7</v>
      </c>
      <c r="BD12" s="12">
        <f>IF('Données projet'!$A$88&gt;35,BD11+BC12-BL11,IF(A12&lt;'Données projet'!$A$88,$BA$205^A12,IF(A12='Données projet'!$A$88,'Données projet'!$B$88,BD11+BC12-BL11)))</f>
        <v>19.419023519771326</v>
      </c>
      <c r="BE12" s="13">
        <f>BD12*VLOOKUP('Données projet'!$B$11,Paramètres!$A$1:$I$89,3,0)*VLOOKUP('Données projet'!$B$11,Paramètres!$A$1:$I$89,5,0)</f>
        <v>10.855234147552173</v>
      </c>
      <c r="BF12" s="13">
        <f t="shared" si="37"/>
        <v>3.790031836884808</v>
      </c>
      <c r="BG12" s="20">
        <f t="shared" si="7"/>
        <v>25.507171589561072</v>
      </c>
      <c r="BH12" s="59">
        <f t="shared" si="8"/>
        <v>318.84050492289441</v>
      </c>
      <c r="BI12" s="59">
        <f ca="1">AVERAGE(OFFSET($BH$3,0,0,'Données projet'!$E$11+1,1))-AVERAGE(OFFSET($H$3,0,0,'Données projet'!$E$11+1,1))</f>
        <v>415.91544298418842</v>
      </c>
      <c r="BJ12" s="59">
        <f t="shared" si="38"/>
        <v>422.79312683312583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25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8.8919999999999995</v>
      </c>
      <c r="D13" s="11">
        <f t="shared" si="32"/>
        <v>3.177517729464268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93.16820703446102</v>
      </c>
      <c r="H13" s="67">
        <f t="shared" si="1"/>
        <v>314.35441004548358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>
        <f>VLOOKUP(A13,'Données projet'!$A$35:$I$55,2,0)</f>
        <v>19</v>
      </c>
      <c r="L13" s="12">
        <f>VLOOKUP(A13,'Données projet'!$A$35:$I$55,9,0)</f>
        <v>1.9</v>
      </c>
      <c r="M13" s="12">
        <f t="array" ref="M13">INDEX(L:L,MIN(IF(ISNUMBER(L13:L209),ROW(L13:L209),"")))</f>
        <v>1.9</v>
      </c>
      <c r="N13" s="13">
        <f>IF('Données projet'!$A$36&gt;35,N12+M13-V12,IF(A13&lt;'Données projet'!$A$36,$K$205^A13,IF(A13='Données projet'!$A$36,'Données projet'!$B$36,N12+M13-V12)))</f>
        <v>19</v>
      </c>
      <c r="O13" s="13">
        <f>N13*VLOOKUP('Données projet'!$B$9,Paramètres!$A$1:$I$89,3,0)*VLOOKUP('Données projet'!$B$9,Paramètres!$A$1:$I$89,5,0)</f>
        <v>13.9308</v>
      </c>
      <c r="P13" s="13">
        <f t="shared" si="33"/>
        <v>4.7246463812124082</v>
      </c>
      <c r="Q13" s="20">
        <f t="shared" si="2"/>
        <v>32.491569113944941</v>
      </c>
      <c r="R13" s="59">
        <f t="shared" si="0"/>
        <v>325.82490244727825</v>
      </c>
      <c r="S13" s="59">
        <f ca="1">AVERAGE(OFFSET($R$3,0,0,'Données projet'!$E$9+1,1))-AVERAGE(OFFSET($H$3,0,0,'Données projet'!$E$9+1,1))</f>
        <v>284.62668108124626</v>
      </c>
      <c r="T13" s="59">
        <f t="shared" si="34"/>
        <v>333.70864452711021</v>
      </c>
      <c r="U13" s="15">
        <f>IF(ISNA(VLOOKUP(A13,'Données projet'!$A$35:$I$55,3,0)),0,VLOOKUP(A13,'Données projet'!$A$35:$I$55,3,0))</f>
        <v>1</v>
      </c>
      <c r="V13" s="15">
        <f>IF(ISNA(VLOOKUP(A13,'Données projet'!$A$35:$I$55,4,0)),0,VLOOKUP(A13,'Données projet'!$A$35:$I$55,4,0))</f>
        <v>7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0.1075</v>
      </c>
      <c r="Y13" s="16">
        <f>IF(ISNA(VLOOKUP(A13,'Données projet'!$A$35:$I$55,7,0)),0%,VLOOKUP(A13,'Données projet'!$A$35:$I$55,7,0))</f>
        <v>0.25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0.60752298379856107</v>
      </c>
      <c r="AB13" s="21">
        <f>EXP(-LN(2)/2)*AB12+(1-EXP(-LN(2)/2))/(LN(2)/2)*V13*Y13*VLOOKUP('Données projet'!$B$9,Paramètres!$A$1:$I$89,3,0)*0.475*44/12</f>
        <v>1.2106393841301737</v>
      </c>
      <c r="AC13" s="22">
        <f t="shared" si="3"/>
        <v>1.8181623679287346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3.65</v>
      </c>
      <c r="AI13" s="13">
        <f>IF('Données projet'!$A$62&gt;35,AI12+AH13-AQ12,IF(A13&lt;'Données projet'!$A$62,$AF$205^A13,IF(A13='Données projet'!$A$62,'Données projet'!$B$62,AI12+AH13-AQ12)))</f>
        <v>8.5440037453175322</v>
      </c>
      <c r="AJ13" s="13">
        <f>AI13*VLOOKUP('Données projet'!$B$10,Paramètres!$A$1:$I$89,3,0)*VLOOKUP('Données projet'!$B$10,Paramètres!$A$1:$I$89,5,0)</f>
        <v>7.7306145887633031</v>
      </c>
      <c r="AK13" s="13">
        <f t="shared" si="35"/>
        <v>2.8078763226288115</v>
      </c>
      <c r="AL13" s="20">
        <f t="shared" si="4"/>
        <v>18.354538337341264</v>
      </c>
      <c r="AM13" s="59">
        <f t="shared" si="5"/>
        <v>311.68787167067455</v>
      </c>
      <c r="AN13" s="59">
        <f ca="1">AVERAGE(OFFSET($AM$3,0,0,'Données projet'!$E$10+1,1))-AVERAGE(OFFSET($H$3,0,0,'Données projet'!$E$10+1,1))</f>
        <v>318.40875902853116</v>
      </c>
      <c r="AO13" s="59">
        <f t="shared" si="36"/>
        <v>234.87694492493506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>
        <f>VLOOKUP(A13,'Données projet'!$A$87:$I$107,2,0)</f>
        <v>27</v>
      </c>
      <c r="BB13" s="12">
        <f>VLOOKUP(A13,'Données projet'!$A$87:$I$107,9,0)</f>
        <v>2.7</v>
      </c>
      <c r="BC13" s="12">
        <f t="array" ref="BC13">INDEX(BB:BB,MIN(IF(ISNUMBER(BB13:BB209),ROW(BB13:BB209),"")))</f>
        <v>2.7</v>
      </c>
      <c r="BD13" s="12">
        <f>IF('Données projet'!$A$88&gt;35,BD12+BC13-BL12,IF(A13&lt;'Données projet'!$A$88,$BA$205^A13,IF(A13='Données projet'!$A$88,'Données projet'!$B$88,BD12+BC13-BL12)))</f>
        <v>27</v>
      </c>
      <c r="BE13" s="13">
        <f>BD13*VLOOKUP('Données projet'!$B$11,Paramètres!$A$1:$I$89,3,0)*VLOOKUP('Données projet'!$B$11,Paramètres!$A$1:$I$89,5,0)</f>
        <v>15.093</v>
      </c>
      <c r="BF13" s="13">
        <f t="shared" si="37"/>
        <v>5.0712866613861207</v>
      </c>
      <c r="BG13" s="20">
        <f t="shared" si="7"/>
        <v>35.11946593524749</v>
      </c>
      <c r="BH13" s="59">
        <f t="shared" si="8"/>
        <v>328.4527992685808</v>
      </c>
      <c r="BI13" s="59">
        <f ca="1">AVERAGE(OFFSET($BH$3,0,0,'Données projet'!$E$11+1,1))-AVERAGE(OFFSET($H$3,0,0,'Données projet'!$E$11+1,1))</f>
        <v>415.91544298418842</v>
      </c>
      <c r="BJ13" s="59">
        <f t="shared" si="38"/>
        <v>422.79312683312583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25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9.7812000000000001</v>
      </c>
      <c r="D14" s="11">
        <f t="shared" si="32"/>
        <v>3.4567069199829903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102.18735166302658</v>
      </c>
      <c r="H14" s="67">
        <f t="shared" si="1"/>
        <v>316.3893545523037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15.3</v>
      </c>
      <c r="N14" s="13">
        <f>IF('Données projet'!$A$36&gt;35,N13+M14-V13,IF(A14&lt;'Données projet'!$A$36,$K$205^A14,IF(A14='Données projet'!$A$36,'Données projet'!$B$36,N13+M14-V13)))</f>
        <v>27.299999999999997</v>
      </c>
      <c r="O14" s="13">
        <f>N14*VLOOKUP('Données projet'!$B$9,Paramètres!$A$1:$I$89,3,0)*VLOOKUP('Données projet'!$B$9,Paramètres!$A$1:$I$89,5,0)</f>
        <v>20.016359999999999</v>
      </c>
      <c r="P14" s="13">
        <f t="shared" si="33"/>
        <v>6.5081258457465978</v>
      </c>
      <c r="Q14" s="20">
        <f t="shared" si="2"/>
        <v>46.196812848008648</v>
      </c>
      <c r="R14" s="59">
        <f t="shared" si="0"/>
        <v>339.53014618134193</v>
      </c>
      <c r="S14" s="59">
        <f ca="1">AVERAGE(OFFSET($R$3,0,0,'Données projet'!$E$9+1,1))-AVERAGE(OFFSET($H$3,0,0,'Données projet'!$E$9+1,1))</f>
        <v>284.62668108124626</v>
      </c>
      <c r="T14" s="59">
        <f t="shared" si="34"/>
        <v>333.70864452711021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0.59091023585834423</v>
      </c>
      <c r="AB14" s="21">
        <f>EXP(-LN(2)/2)*AB13+(1-EXP(-LN(2)/2))/(LN(2)/2)*V14*Y14*VLOOKUP('Données projet'!$B$9,Paramètres!$A$1:$I$89,3,0)*0.475*44/12</f>
        <v>0.8560513180899515</v>
      </c>
      <c r="AC14" s="22">
        <f t="shared" si="3"/>
        <v>1.4469615539482956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3.65</v>
      </c>
      <c r="AI14" s="13">
        <f>IF('Données projet'!$A$62&gt;35,AI13+AH14-AQ13,IF(A14&lt;'Données projet'!$A$62,$AF$205^A14,IF(A14='Données projet'!$A$62,'Données projet'!$B$62,AI13+AH14-AQ13)))</f>
        <v>10.588332555950936</v>
      </c>
      <c r="AJ14" s="13">
        <f>AI14*VLOOKUP('Données projet'!$B$10,Paramètres!$A$1:$I$89,3,0)*VLOOKUP('Données projet'!$B$10,Paramètres!$A$1:$I$89,5,0)</f>
        <v>9.5803232966244067</v>
      </c>
      <c r="AK14" s="13">
        <f t="shared" si="35"/>
        <v>3.3939041949894282</v>
      </c>
      <c r="AL14" s="20">
        <f t="shared" si="4"/>
        <v>22.596779547894098</v>
      </c>
      <c r="AM14" s="59">
        <f t="shared" si="5"/>
        <v>315.93011288122739</v>
      </c>
      <c r="AN14" s="59">
        <f ca="1">AVERAGE(OFFSET($AM$3,0,0,'Données projet'!$E$10+1,1))-AVERAGE(OFFSET($H$3,0,0,'Données projet'!$E$10+1,1))</f>
        <v>318.40875902853116</v>
      </c>
      <c r="AO14" s="59">
        <f t="shared" si="36"/>
        <v>234.87694492493506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20.100000000000001</v>
      </c>
      <c r="BD14" s="12">
        <f>IF('Données projet'!$A$88&gt;35,BD13+BC14-BL13,IF(A14&lt;'Données projet'!$A$88,$BA$205^A14,IF(A14='Données projet'!$A$88,'Données projet'!$B$88,BD13+BC14-BL13)))</f>
        <v>47.1</v>
      </c>
      <c r="BE14" s="13">
        <f>BD14*VLOOKUP('Données projet'!$B$11,Paramètres!$A$1:$I$89,3,0)*VLOOKUP('Données projet'!$B$11,Paramètres!$A$1:$I$89,5,0)</f>
        <v>26.328900000000001</v>
      </c>
      <c r="BF14" s="13">
        <f t="shared" si="37"/>
        <v>8.2917540554735094</v>
      </c>
      <c r="BG14" s="20">
        <f t="shared" si="7"/>
        <v>60.297639146616369</v>
      </c>
      <c r="BH14" s="59">
        <f t="shared" si="8"/>
        <v>353.63097247994966</v>
      </c>
      <c r="BI14" s="59">
        <f ca="1">AVERAGE(OFFSET($BH$3,0,0,'Données projet'!$E$11+1,1))-AVERAGE(OFFSET($H$3,0,0,'Données projet'!$E$11+1,1))</f>
        <v>415.91544298418842</v>
      </c>
      <c r="BJ14" s="59">
        <f t="shared" si="38"/>
        <v>422.79312683312583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25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10.670400000000001</v>
      </c>
      <c r="D15" s="11">
        <f t="shared" si="32"/>
        <v>3.7329530817348471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111.18377817479534</v>
      </c>
      <c r="H15" s="67">
        <f t="shared" si="1"/>
        <v>318.4191732840215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15.3</v>
      </c>
      <c r="N15" s="13">
        <f>IF('Données projet'!$A$36&gt;35,N14+M15-V14,IF(A15&lt;'Données projet'!$A$36,$K$205^A15,IF(A15='Données projet'!$A$36,'Données projet'!$B$36,N14+M15-V14)))</f>
        <v>42.599999999999994</v>
      </c>
      <c r="O15" s="13">
        <f>N15*VLOOKUP('Données projet'!$B$9,Paramètres!$A$1:$I$89,3,0)*VLOOKUP('Données projet'!$B$9,Paramètres!$A$1:$I$89,5,0)</f>
        <v>31.234319999999993</v>
      </c>
      <c r="P15" s="13">
        <f t="shared" si="33"/>
        <v>9.642928553969826</v>
      </c>
      <c r="Q15" s="20">
        <f t="shared" si="2"/>
        <v>71.194541231497439</v>
      </c>
      <c r="R15" s="59">
        <f t="shared" si="0"/>
        <v>364.52787456483077</v>
      </c>
      <c r="S15" s="59">
        <f ca="1">AVERAGE(OFFSET($R$3,0,0,'Données projet'!$E$9+1,1))-AVERAGE(OFFSET($H$3,0,0,'Données projet'!$E$9+1,1))</f>
        <v>284.62668108124626</v>
      </c>
      <c r="T15" s="59">
        <f t="shared" si="34"/>
        <v>333.70864452711021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0.57475176438417908</v>
      </c>
      <c r="AB15" s="21">
        <f>EXP(-LN(2)/2)*AB14+(1-EXP(-LN(2)/2))/(LN(2)/2)*V15*Y15*VLOOKUP('Données projet'!$B$9,Paramètres!$A$1:$I$89,3,0)*0.475*44/12</f>
        <v>0.60531969206508696</v>
      </c>
      <c r="AC15" s="22">
        <f t="shared" si="3"/>
        <v>1.180071456449266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3.65</v>
      </c>
      <c r="AI15" s="13">
        <f>IF('Données projet'!$A$62&gt;35,AI14+AH15-AQ14,IF(A15&lt;'Données projet'!$A$62,$AF$205^A15,IF(A15='Données projet'!$A$62,'Données projet'!$B$62,AI14+AH15-AQ14)))</f>
        <v>13.121809125710287</v>
      </c>
      <c r="AJ15" s="13">
        <f>AI15*VLOOKUP('Données projet'!$B$10,Paramètres!$A$1:$I$89,3,0)*VLOOKUP('Données projet'!$B$10,Paramètres!$A$1:$I$89,5,0)</f>
        <v>11.872612896942668</v>
      </c>
      <c r="AK15" s="13">
        <f t="shared" si="35"/>
        <v>4.1022411108131784</v>
      </c>
      <c r="AL15" s="20">
        <f t="shared" si="4"/>
        <v>27.822870730174767</v>
      </c>
      <c r="AM15" s="59">
        <f t="shared" si="5"/>
        <v>321.15620406350808</v>
      </c>
      <c r="AN15" s="59">
        <f ca="1">AVERAGE(OFFSET($AM$3,0,0,'Données projet'!$E$10+1,1))-AVERAGE(OFFSET($H$3,0,0,'Données projet'!$E$10+1,1))</f>
        <v>318.40875902853116</v>
      </c>
      <c r="AO15" s="59">
        <f t="shared" si="36"/>
        <v>234.87694492493506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20.100000000000001</v>
      </c>
      <c r="BD15" s="12">
        <f>IF('Données projet'!$A$88&gt;35,BD14+BC15-BL14,IF(A15&lt;'Données projet'!$A$88,$BA$205^A15,IF(A15='Données projet'!$A$88,'Données projet'!$B$88,BD14+BC15-BL14)))</f>
        <v>67.2</v>
      </c>
      <c r="BE15" s="13">
        <f>BD15*VLOOKUP('Données projet'!$B$11,Paramètres!$A$1:$I$89,3,0)*VLOOKUP('Données projet'!$B$11,Paramètres!$A$1:$I$89,5,0)</f>
        <v>37.564800000000005</v>
      </c>
      <c r="BF15" s="13">
        <f t="shared" si="37"/>
        <v>11.350856362116868</v>
      </c>
      <c r="BG15" s="20">
        <f t="shared" si="7"/>
        <v>85.194768164020218</v>
      </c>
      <c r="BH15" s="59">
        <f t="shared" si="8"/>
        <v>378.52810149735353</v>
      </c>
      <c r="BI15" s="59">
        <f ca="1">AVERAGE(OFFSET($BH$3,0,0,'Données projet'!$E$11+1,1))-AVERAGE(OFFSET($H$3,0,0,'Données projet'!$E$11+1,1))</f>
        <v>415.91544298418842</v>
      </c>
      <c r="BJ15" s="59">
        <f t="shared" si="38"/>
        <v>422.79312683312583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25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11.559600000000001</v>
      </c>
      <c r="D16" s="11">
        <f t="shared" si="32"/>
        <v>4.0065293501366055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120.15959498351064</v>
      </c>
      <c r="H16" s="67">
        <f t="shared" si="1"/>
        <v>320.4443419514879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15.3</v>
      </c>
      <c r="N16" s="13">
        <f>IF('Données projet'!$A$36&gt;35,N15+M16-V15,IF(A16&lt;'Données projet'!$A$36,$K$205^A16,IF(A16='Données projet'!$A$36,'Données projet'!$B$36,N15+M16-V15)))</f>
        <v>57.899999999999991</v>
      </c>
      <c r="O16" s="13">
        <f>N16*VLOOKUP('Données projet'!$B$9,Paramètres!$A$1:$I$89,3,0)*VLOOKUP('Données projet'!$B$9,Paramètres!$A$1:$I$89,5,0)</f>
        <v>42.452279999999995</v>
      </c>
      <c r="P16" s="13">
        <f t="shared" si="33"/>
        <v>12.646356085720369</v>
      </c>
      <c r="Q16" s="20">
        <f t="shared" si="2"/>
        <v>95.96345784929629</v>
      </c>
      <c r="R16" s="59">
        <f t="shared" si="0"/>
        <v>389.29679118262959</v>
      </c>
      <c r="S16" s="59">
        <f ca="1">AVERAGE(OFFSET($R$3,0,0,'Données projet'!$E$9+1,1))-AVERAGE(OFFSET($H$3,0,0,'Données projet'!$E$9+1,1))</f>
        <v>284.62668108124626</v>
      </c>
      <c r="T16" s="59">
        <f t="shared" si="34"/>
        <v>333.70864452711021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0.55903514716221203</v>
      </c>
      <c r="AB16" s="21">
        <f>EXP(-LN(2)/2)*AB15+(1-EXP(-LN(2)/2))/(LN(2)/2)*V16*Y16*VLOOKUP('Données projet'!$B$9,Paramètres!$A$1:$I$89,3,0)*0.475*44/12</f>
        <v>0.4280256590449758</v>
      </c>
      <c r="AC16" s="22">
        <f t="shared" si="3"/>
        <v>0.98706080620718784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3.65</v>
      </c>
      <c r="AI16" s="13">
        <f>IF('Données projet'!$A$62&gt;35,AI15+AH16-AQ15,IF(A16&lt;'Données projet'!$A$62,$AF$205^A16,IF(A16='Données projet'!$A$62,'Données projet'!$B$62,AI15+AH16-AQ15)))</f>
        <v>16.261472127148366</v>
      </c>
      <c r="AJ16" s="13">
        <f>AI16*VLOOKUP('Données projet'!$B$10,Paramètres!$A$1:$I$89,3,0)*VLOOKUP('Données projet'!$B$10,Paramètres!$A$1:$I$89,5,0)</f>
        <v>14.713379980643843</v>
      </c>
      <c r="AK16" s="13">
        <f t="shared" si="35"/>
        <v>4.9584140165447881</v>
      </c>
      <c r="AL16" s="20">
        <f t="shared" si="4"/>
        <v>34.261707878436859</v>
      </c>
      <c r="AM16" s="59">
        <f t="shared" si="5"/>
        <v>327.59504121177019</v>
      </c>
      <c r="AN16" s="59">
        <f ca="1">AVERAGE(OFFSET($AM$3,0,0,'Données projet'!$E$10+1,1))-AVERAGE(OFFSET($H$3,0,0,'Données projet'!$E$10+1,1))</f>
        <v>318.40875902853116</v>
      </c>
      <c r="AO16" s="59">
        <f t="shared" si="36"/>
        <v>234.87694492493506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20.100000000000001</v>
      </c>
      <c r="BD16" s="12">
        <f>IF('Données projet'!$A$88&gt;35,BD15+BC16-BL15,IF(A16&lt;'Données projet'!$A$88,$BA$205^A16,IF(A16='Données projet'!$A$88,'Données projet'!$B$88,BD15+BC16-BL15)))</f>
        <v>87.300000000000011</v>
      </c>
      <c r="BE16" s="13">
        <f>BD16*VLOOKUP('Données projet'!$B$11,Paramètres!$A$1:$I$89,3,0)*VLOOKUP('Données projet'!$B$11,Paramètres!$A$1:$I$89,5,0)</f>
        <v>48.800700000000006</v>
      </c>
      <c r="BF16" s="13">
        <f t="shared" si="37"/>
        <v>14.303598928763776</v>
      </c>
      <c r="BG16" s="20">
        <f t="shared" si="7"/>
        <v>109.90665396759691</v>
      </c>
      <c r="BH16" s="59">
        <f t="shared" si="8"/>
        <v>403.23998730093024</v>
      </c>
      <c r="BI16" s="59">
        <f ca="1">AVERAGE(OFFSET($BH$3,0,0,'Données projet'!$E$11+1,1))-AVERAGE(OFFSET($H$3,0,0,'Données projet'!$E$11+1,1))</f>
        <v>415.91544298418842</v>
      </c>
      <c r="BJ16" s="59">
        <f t="shared" si="38"/>
        <v>422.79312683312583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25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12.448800000000002</v>
      </c>
      <c r="D17" s="11">
        <f t="shared" si="32"/>
        <v>4.2776644527179633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129.11656770519133</v>
      </c>
      <c r="H17" s="67">
        <f t="shared" si="1"/>
        <v>322.46525892181711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15.3</v>
      </c>
      <c r="N17" s="13">
        <f>IF('Données projet'!$A$36&gt;35,N16+M17-V16,IF(A17&lt;'Données projet'!$A$36,$K$205^A17,IF(A17='Données projet'!$A$36,'Données projet'!$B$36,N16+M17-V16)))</f>
        <v>73.199999999999989</v>
      </c>
      <c r="O17" s="13">
        <f>N17*VLOOKUP('Données projet'!$B$9,Paramètres!$A$1:$I$89,3,0)*VLOOKUP('Données projet'!$B$9,Paramètres!$A$1:$I$89,5,0)</f>
        <v>53.670239999999986</v>
      </c>
      <c r="P17" s="13">
        <f t="shared" si="33"/>
        <v>15.557672264545946</v>
      </c>
      <c r="Q17" s="20">
        <f t="shared" si="2"/>
        <v>120.57194719408416</v>
      </c>
      <c r="R17" s="59">
        <f t="shared" si="0"/>
        <v>413.90528052741746</v>
      </c>
      <c r="S17" s="59">
        <f ca="1">AVERAGE(OFFSET($R$3,0,0,'Données projet'!$E$9+1,1))-AVERAGE(OFFSET($H$3,0,0,'Données projet'!$E$9+1,1))</f>
        <v>284.62668108124626</v>
      </c>
      <c r="T17" s="59">
        <f t="shared" si="34"/>
        <v>333.70864452711021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0.54374830166468069</v>
      </c>
      <c r="AB17" s="21">
        <f>EXP(-LN(2)/2)*AB16+(1-EXP(-LN(2)/2))/(LN(2)/2)*V17*Y17*VLOOKUP('Données projet'!$B$9,Paramètres!$A$1:$I$89,3,0)*0.475*44/12</f>
        <v>0.30265984603254353</v>
      </c>
      <c r="AC17" s="22">
        <f t="shared" si="3"/>
        <v>0.84640814769722428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3.65</v>
      </c>
      <c r="AI17" s="13">
        <f>IF('Données projet'!$A$62&gt;35,AI16+AH17-AQ16,IF(A17&lt;'Données projet'!$A$62,$AF$205^A17,IF(A17='Données projet'!$A$62,'Données projet'!$B$62,AI16+AH17-AQ16)))</f>
        <v>20.152364144963837</v>
      </c>
      <c r="AJ17" s="13">
        <f>AI17*VLOOKUP('Données projet'!$B$10,Paramètres!$A$1:$I$89,3,0)*VLOOKUP('Données projet'!$B$10,Paramètres!$A$1:$I$89,5,0)</f>
        <v>18.233859078363277</v>
      </c>
      <c r="AK17" s="13">
        <f t="shared" si="35"/>
        <v>5.9932775513027368</v>
      </c>
      <c r="AL17" s="20">
        <f t="shared" si="4"/>
        <v>42.195596296668306</v>
      </c>
      <c r="AM17" s="59">
        <f t="shared" si="5"/>
        <v>335.52892963000164</v>
      </c>
      <c r="AN17" s="59">
        <f ca="1">AVERAGE(OFFSET($AM$3,0,0,'Données projet'!$E$10+1,1))-AVERAGE(OFFSET($H$3,0,0,'Données projet'!$E$10+1,1))</f>
        <v>318.40875902853116</v>
      </c>
      <c r="AO17" s="59">
        <f t="shared" si="36"/>
        <v>234.87694492493506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20.100000000000001</v>
      </c>
      <c r="BD17" s="12">
        <f>IF('Données projet'!$A$88&gt;35,BD16+BC17-BL16,IF(A17&lt;'Données projet'!$A$88,$BA$205^A17,IF(A17='Données projet'!$A$88,'Données projet'!$B$88,BD16+BC17-BL16)))</f>
        <v>107.4</v>
      </c>
      <c r="BE17" s="13">
        <f>BD17*VLOOKUP('Données projet'!$B$11,Paramètres!$A$1:$I$89,3,0)*VLOOKUP('Données projet'!$B$11,Paramètres!$A$1:$I$89,5,0)</f>
        <v>60.036600000000007</v>
      </c>
      <c r="BF17" s="13">
        <f t="shared" si="37"/>
        <v>17.177522312374215</v>
      </c>
      <c r="BG17" s="20">
        <f t="shared" si="7"/>
        <v>134.48126302738513</v>
      </c>
      <c r="BH17" s="59">
        <f t="shared" si="8"/>
        <v>427.81459636071844</v>
      </c>
      <c r="BI17" s="59">
        <f ca="1">AVERAGE(OFFSET($BH$3,0,0,'Données projet'!$E$11+1,1))-AVERAGE(OFFSET($H$3,0,0,'Données projet'!$E$11+1,1))</f>
        <v>415.91544298418842</v>
      </c>
      <c r="BJ17" s="59">
        <f t="shared" si="38"/>
        <v>422.79312683312583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25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13.338000000000003</v>
      </c>
      <c r="D18" s="11">
        <f t="shared" si="32"/>
        <v>4.5465525901071517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138.0561954324061</v>
      </c>
      <c r="H18" s="67">
        <f t="shared" si="1"/>
        <v>324.48226242776991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15.3</v>
      </c>
      <c r="N18" s="13">
        <f>IF('Données projet'!$A$36&gt;35,N17+M18-V17,IF(A18&lt;'Données projet'!$A$36,$K$205^A18,IF(A18='Données projet'!$A$36,'Données projet'!$B$36,N17+M18-V17)))</f>
        <v>88.499999999999986</v>
      </c>
      <c r="O18" s="13">
        <f>N18*VLOOKUP('Données projet'!$B$9,Paramètres!$A$1:$I$89,3,0)*VLOOKUP('Données projet'!$B$9,Paramètres!$A$1:$I$89,5,0)</f>
        <v>64.888199999999983</v>
      </c>
      <c r="P18" s="13">
        <f t="shared" si="33"/>
        <v>18.398469672034725</v>
      </c>
      <c r="Q18" s="20">
        <f t="shared" si="2"/>
        <v>145.05761634546045</v>
      </c>
      <c r="R18" s="59">
        <f t="shared" si="0"/>
        <v>438.39094967879373</v>
      </c>
      <c r="S18" s="59">
        <f ca="1">AVERAGE(OFFSET($R$3,0,0,'Données projet'!$E$9+1,1))-AVERAGE(OFFSET($H$3,0,0,'Données projet'!$E$9+1,1))</f>
        <v>284.62668108124626</v>
      </c>
      <c r="T18" s="59">
        <f t="shared" si="34"/>
        <v>333.70864452711021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0.52887947576117955</v>
      </c>
      <c r="AB18" s="21">
        <f>EXP(-LN(2)/2)*AB17+(1-EXP(-LN(2)/2))/(LN(2)/2)*V18*Y18*VLOOKUP('Données projet'!$B$9,Paramètres!$A$1:$I$89,3,0)*0.475*44/12</f>
        <v>0.21401282952248793</v>
      </c>
      <c r="AC18" s="22">
        <f t="shared" si="3"/>
        <v>0.74289230528366745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3.65</v>
      </c>
      <c r="AI18" s="13">
        <f>IF('Données projet'!$A$62&gt;35,AI17+AH18-AQ17,IF(A18&lt;'Données projet'!$A$62,$AF$205^A18,IF(A18='Données projet'!$A$62,'Données projet'!$B$62,AI17+AH18-AQ17)))</f>
        <v>24.974232188561476</v>
      </c>
      <c r="AJ18" s="13">
        <f>AI18*VLOOKUP('Données projet'!$B$10,Paramètres!$A$1:$I$89,3,0)*VLOOKUP('Données projet'!$B$10,Paramètres!$A$1:$I$89,5,0)</f>
        <v>22.596685284210423</v>
      </c>
      <c r="AK18" s="13">
        <f t="shared" si="35"/>
        <v>7.2441259820371586</v>
      </c>
      <c r="AL18" s="20">
        <f t="shared" si="4"/>
        <v>51.972746288714539</v>
      </c>
      <c r="AM18" s="59">
        <f t="shared" si="5"/>
        <v>345.30607962204783</v>
      </c>
      <c r="AN18" s="59">
        <f ca="1">AVERAGE(OFFSET($AM$3,0,0,'Données projet'!$E$10+1,1))-AVERAGE(OFFSET($H$3,0,0,'Données projet'!$E$10+1,1))</f>
        <v>318.40875902853116</v>
      </c>
      <c r="AO18" s="59">
        <f t="shared" si="36"/>
        <v>234.87694492493506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20.100000000000001</v>
      </c>
      <c r="BD18" s="12">
        <f>IF('Données projet'!$A$88&gt;35,BD17+BC18-BL17,IF(A18&lt;'Données projet'!$A$88,$BA$205^A18,IF(A18='Données projet'!$A$88,'Données projet'!$B$88,BD17+BC18-BL17)))</f>
        <v>127.5</v>
      </c>
      <c r="BE18" s="13">
        <f>BD18*VLOOKUP('Données projet'!$B$11,Paramètres!$A$1:$I$89,3,0)*VLOOKUP('Données projet'!$B$11,Paramètres!$A$1:$I$89,5,0)</f>
        <v>71.272499999999994</v>
      </c>
      <c r="BF18" s="13">
        <f t="shared" si="37"/>
        <v>19.989132077392792</v>
      </c>
      <c r="BG18" s="20">
        <f t="shared" si="7"/>
        <v>158.94734253479243</v>
      </c>
      <c r="BH18" s="59">
        <f t="shared" si="8"/>
        <v>452.28067586812574</v>
      </c>
      <c r="BI18" s="59">
        <f ca="1">AVERAGE(OFFSET($BH$3,0,0,'Données projet'!$E$11+1,1))-AVERAGE(OFFSET($H$3,0,0,'Données projet'!$E$11+1,1))</f>
        <v>415.91544298418842</v>
      </c>
      <c r="BJ18" s="59">
        <f t="shared" si="38"/>
        <v>422.79312683312583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25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14.227200000000003</v>
      </c>
      <c r="D19" s="11">
        <f t="shared" si="32"/>
        <v>4.81336060460516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146.97976607063634</v>
      </c>
      <c r="H19" s="67">
        <f t="shared" si="1"/>
        <v>326.49564305302061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15.3</v>
      </c>
      <c r="N19" s="13">
        <f>IF('Données projet'!$A$36&gt;35,N18+M19-V18,IF(A19&lt;'Données projet'!$A$36,$K$205^A19,IF(A19='Données projet'!$A$36,'Données projet'!$B$36,N18+M19-V18)))</f>
        <v>103.79999999999998</v>
      </c>
      <c r="O19" s="13">
        <f>N19*VLOOKUP('Données projet'!$B$9,Paramètres!$A$1:$I$89,3,0)*VLOOKUP('Données projet'!$B$9,Paramètres!$A$1:$I$89,5,0)</f>
        <v>76.106159999999988</v>
      </c>
      <c r="P19" s="13">
        <f t="shared" si="33"/>
        <v>21.182372880951004</v>
      </c>
      <c r="Q19" s="20">
        <f t="shared" si="2"/>
        <v>169.44419476765631</v>
      </c>
      <c r="R19" s="59">
        <f t="shared" si="0"/>
        <v>462.77752810098963</v>
      </c>
      <c r="S19" s="59">
        <f ca="1">AVERAGE(OFFSET($R$3,0,0,'Données projet'!$E$9+1,1))-AVERAGE(OFFSET($H$3,0,0,'Données projet'!$E$9+1,1))</f>
        <v>284.62668108124626</v>
      </c>
      <c r="T19" s="59">
        <f t="shared" si="34"/>
        <v>333.70864452711021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0.51441723868392719</v>
      </c>
      <c r="AB19" s="21">
        <f>EXP(-LN(2)/2)*AB18+(1-EXP(-LN(2)/2))/(LN(2)/2)*V19*Y19*VLOOKUP('Données projet'!$B$9,Paramètres!$A$1:$I$89,3,0)*0.475*44/12</f>
        <v>0.15132992301627179</v>
      </c>
      <c r="AC19" s="22">
        <f t="shared" si="3"/>
        <v>0.66574716170019899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3.65</v>
      </c>
      <c r="AI19" s="13">
        <f>IF('Données projet'!$A$62&gt;35,AI18+AH19-AQ18,IF(A19&lt;'Données projet'!$A$62,$AF$205^A19,IF(A19='Données projet'!$A$62,'Données projet'!$B$62,AI18+AH19-AQ18)))</f>
        <v>30.949831440200953</v>
      </c>
      <c r="AJ19" s="13">
        <f>AI19*VLOOKUP('Données projet'!$B$10,Paramètres!$A$1:$I$89,3,0)*VLOOKUP('Données projet'!$B$10,Paramètres!$A$1:$I$89,5,0)</f>
        <v>28.003407487093821</v>
      </c>
      <c r="AK19" s="13">
        <f t="shared" si="35"/>
        <v>8.7560372090925433</v>
      </c>
      <c r="AL19" s="20">
        <f t="shared" si="4"/>
        <v>64.022699512524582</v>
      </c>
      <c r="AM19" s="59">
        <f t="shared" si="5"/>
        <v>357.3560328458579</v>
      </c>
      <c r="AN19" s="59">
        <f ca="1">AVERAGE(OFFSET($AM$3,0,0,'Données projet'!$E$10+1,1))-AVERAGE(OFFSET($H$3,0,0,'Données projet'!$E$10+1,1))</f>
        <v>318.40875902853116</v>
      </c>
      <c r="AO19" s="59">
        <f t="shared" si="36"/>
        <v>234.87694492493506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20.100000000000001</v>
      </c>
      <c r="BD19" s="12">
        <f>IF('Données projet'!$A$88&gt;35,BD18+BC19-BL18,IF(A19&lt;'Données projet'!$A$88,$BA$205^A19,IF(A19='Données projet'!$A$88,'Données projet'!$B$88,BD18+BC19-BL18)))</f>
        <v>147.6</v>
      </c>
      <c r="BE19" s="13">
        <f>BD19*VLOOKUP('Données projet'!$B$11,Paramètres!$A$1:$I$89,3,0)*VLOOKUP('Données projet'!$B$11,Paramètres!$A$1:$I$89,5,0)</f>
        <v>82.508399999999995</v>
      </c>
      <c r="BF19" s="13">
        <f t="shared" si="37"/>
        <v>22.749394597897183</v>
      </c>
      <c r="BG19" s="20">
        <f t="shared" si="7"/>
        <v>183.32399225800421</v>
      </c>
      <c r="BH19" s="59">
        <f t="shared" si="8"/>
        <v>476.65732559133755</v>
      </c>
      <c r="BI19" s="59">
        <f ca="1">AVERAGE(OFFSET($BH$3,0,0,'Données projet'!$E$11+1,1))-AVERAGE(OFFSET($H$3,0,0,'Données projet'!$E$11+1,1))</f>
        <v>415.91544298418842</v>
      </c>
      <c r="BJ19" s="59">
        <f t="shared" si="38"/>
        <v>422.79312683312583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25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15.116400000000004</v>
      </c>
      <c r="D20" s="11">
        <f t="shared" si="32"/>
        <v>5.0782333044806931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155.8883974380966</v>
      </c>
      <c r="H20" s="67">
        <f t="shared" si="1"/>
        <v>328.50565300530388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15.3</v>
      </c>
      <c r="N20" s="13">
        <f>IF('Données projet'!$A$36&gt;35,N19+M20-V19,IF(A20&lt;'Données projet'!$A$36,$K$205^A20,IF(A20='Données projet'!$A$36,'Données projet'!$B$36,N19+M20-V19)))</f>
        <v>119.09999999999998</v>
      </c>
      <c r="O20" s="13">
        <f>N20*VLOOKUP('Données projet'!$B$9,Paramètres!$A$1:$I$89,3,0)*VLOOKUP('Données projet'!$B$9,Paramètres!$A$1:$I$89,5,0)</f>
        <v>87.324119999999994</v>
      </c>
      <c r="P20" s="13">
        <f t="shared" si="33"/>
        <v>23.918737890405716</v>
      </c>
      <c r="Q20" s="20">
        <f t="shared" si="2"/>
        <v>193.74797749245658</v>
      </c>
      <c r="R20" s="59">
        <f t="shared" si="0"/>
        <v>487.0813108257899</v>
      </c>
      <c r="S20" s="59">
        <f ca="1">AVERAGE(OFFSET($R$3,0,0,'Données projet'!$E$9+1,1))-AVERAGE(OFFSET($H$3,0,0,'Données projet'!$E$9+1,1))</f>
        <v>284.62668108124626</v>
      </c>
      <c r="T20" s="59">
        <f t="shared" si="34"/>
        <v>333.70864452711021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0.50035047224008833</v>
      </c>
      <c r="AB20" s="21">
        <f>EXP(-LN(2)/2)*AB19+(1-EXP(-LN(2)/2))/(LN(2)/2)*V20*Y20*VLOOKUP('Données projet'!$B$9,Paramètres!$A$1:$I$89,3,0)*0.475*44/12</f>
        <v>0.10700641476124399</v>
      </c>
      <c r="AC20" s="22">
        <f t="shared" si="3"/>
        <v>0.60735688700133228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3.65</v>
      </c>
      <c r="AI20" s="13">
        <f>IF('Données projet'!$A$62&gt;35,AI19+AH20-AQ19,IF(A20&lt;'Données projet'!$A$62,$AF$205^A20,IF(A20='Données projet'!$A$62,'Données projet'!$B$62,AI19+AH20-AQ19)))</f>
        <v>38.355215845858055</v>
      </c>
      <c r="AJ20" s="13">
        <f>AI20*VLOOKUP('Données projet'!$B$10,Paramètres!$A$1:$I$89,3,0)*VLOOKUP('Données projet'!$B$10,Paramètres!$A$1:$I$89,5,0)</f>
        <v>34.703799297332367</v>
      </c>
      <c r="AK20" s="13">
        <f t="shared" si="35"/>
        <v>10.583497277259243</v>
      </c>
      <c r="AL20" s="20">
        <f t="shared" si="4"/>
        <v>78.875374867413711</v>
      </c>
      <c r="AM20" s="59">
        <f t="shared" si="5"/>
        <v>372.20870820074703</v>
      </c>
      <c r="AN20" s="59">
        <f ca="1">AVERAGE(OFFSET($AM$3,0,0,'Données projet'!$E$10+1,1))-AVERAGE(OFFSET($H$3,0,0,'Données projet'!$E$10+1,1))</f>
        <v>318.40875902853116</v>
      </c>
      <c r="AO20" s="59">
        <f t="shared" si="36"/>
        <v>234.87694492493506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20.100000000000001</v>
      </c>
      <c r="BD20" s="12">
        <f>IF('Données projet'!$A$88&gt;35,BD19+BC20-BL19,IF(A20&lt;'Données projet'!$A$88,$BA$205^A20,IF(A20='Données projet'!$A$88,'Données projet'!$B$88,BD19+BC20-BL19)))</f>
        <v>167.7</v>
      </c>
      <c r="BE20" s="13">
        <f>BD20*VLOOKUP('Données projet'!$B$11,Paramètres!$A$1:$I$89,3,0)*VLOOKUP('Données projet'!$B$11,Paramètres!$A$1:$I$89,5,0)</f>
        <v>93.744299999999996</v>
      </c>
      <c r="BF20" s="13">
        <f t="shared" si="37"/>
        <v>25.466106585554108</v>
      </c>
      <c r="BG20" s="20">
        <f t="shared" si="7"/>
        <v>207.62479146984003</v>
      </c>
      <c r="BH20" s="59">
        <f t="shared" si="8"/>
        <v>500.95812480317335</v>
      </c>
      <c r="BI20" s="59">
        <f ca="1">AVERAGE(OFFSET($BH$3,0,0,'Données projet'!$E$11+1,1))-AVERAGE(OFFSET($H$3,0,0,'Données projet'!$E$11+1,1))</f>
        <v>415.91544298418842</v>
      </c>
      <c r="BJ20" s="59">
        <f t="shared" si="38"/>
        <v>422.79312683312583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25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16.005600000000005</v>
      </c>
      <c r="D21" s="11">
        <f t="shared" si="32"/>
        <v>5.3412974993444182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164.78306841599206</v>
      </c>
      <c r="H21" s="67">
        <f t="shared" si="1"/>
        <v>330.51251314469152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15.3</v>
      </c>
      <c r="N21" s="13">
        <f>IF('Données projet'!$A$36&gt;35,N20+M21-V20,IF(A21&lt;'Données projet'!$A$36,$K$205^A21,IF(A21='Données projet'!$A$36,'Données projet'!$B$36,N20+M21-V20)))</f>
        <v>134.39999999999998</v>
      </c>
      <c r="O21" s="13">
        <f>N21*VLOOKUP('Données projet'!$B$9,Paramètres!$A$1:$I$89,3,0)*VLOOKUP('Données projet'!$B$9,Paramètres!$A$1:$I$89,5,0)</f>
        <v>98.542079999999984</v>
      </c>
      <c r="P21" s="13">
        <f t="shared" si="33"/>
        <v>26.614371888975242</v>
      </c>
      <c r="Q21" s="20">
        <f t="shared" si="2"/>
        <v>217.98082037329849</v>
      </c>
      <c r="R21" s="59">
        <f t="shared" si="0"/>
        <v>511.31415370663183</v>
      </c>
      <c r="S21" s="59">
        <f ca="1">AVERAGE(OFFSET($R$3,0,0,'Données projet'!$E$9+1,1))-AVERAGE(OFFSET($H$3,0,0,'Données projet'!$E$9+1,1))</f>
        <v>284.62668108124626</v>
      </c>
      <c r="T21" s="59">
        <f t="shared" si="34"/>
        <v>333.70864452711021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0.48666836226439536</v>
      </c>
      <c r="AB21" s="21">
        <f>EXP(-LN(2)/2)*AB20+(1-EXP(-LN(2)/2))/(LN(2)/2)*V21*Y21*VLOOKUP('Données projet'!$B$9,Paramètres!$A$1:$I$89,3,0)*0.475*44/12</f>
        <v>7.5664961508135911E-2</v>
      </c>
      <c r="AC21" s="22">
        <f t="shared" si="3"/>
        <v>0.56233332377253131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3.65</v>
      </c>
      <c r="AI21" s="13">
        <f>IF('Données projet'!$A$62&gt;35,AI20+AH21-AQ20,IF(A21&lt;'Données projet'!$A$62,$AF$205^A21,IF(A21='Données projet'!$A$62,'Données projet'!$B$62,AI20+AH21-AQ20)))</f>
        <v>47.532490941824946</v>
      </c>
      <c r="AJ21" s="13">
        <f>AI21*VLOOKUP('Données projet'!$B$10,Paramètres!$A$1:$I$89,3,0)*VLOOKUP('Données projet'!$B$10,Paramètres!$A$1:$I$89,5,0)</f>
        <v>43.007397804163212</v>
      </c>
      <c r="AK21" s="13">
        <f t="shared" si="35"/>
        <v>12.792363936215189</v>
      </c>
      <c r="AL21" s="20">
        <f t="shared" si="4"/>
        <v>97.184585031159045</v>
      </c>
      <c r="AM21" s="59">
        <f t="shared" si="5"/>
        <v>390.51791836449235</v>
      </c>
      <c r="AN21" s="59">
        <f ca="1">AVERAGE(OFFSET($AM$3,0,0,'Données projet'!$E$10+1,1))-AVERAGE(OFFSET($H$3,0,0,'Données projet'!$E$10+1,1))</f>
        <v>318.40875902853116</v>
      </c>
      <c r="AO21" s="59">
        <f t="shared" si="36"/>
        <v>234.87694492493506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20.100000000000001</v>
      </c>
      <c r="BD21" s="12">
        <f>IF('Données projet'!$A$88&gt;35,BD20+BC21-BL20,IF(A21&lt;'Données projet'!$A$88,$BA$205^A21,IF(A21='Données projet'!$A$88,'Données projet'!$B$88,BD20+BC21-BL20)))</f>
        <v>187.79999999999998</v>
      </c>
      <c r="BE21" s="13">
        <f>BD21*VLOOKUP('Données projet'!$B$11,Paramètres!$A$1:$I$89,3,0)*VLOOKUP('Données projet'!$B$11,Paramètres!$A$1:$I$89,5,0)</f>
        <v>104.9802</v>
      </c>
      <c r="BF21" s="13">
        <f t="shared" si="37"/>
        <v>28.145084690033578</v>
      </c>
      <c r="BG21" s="20">
        <f t="shared" si="7"/>
        <v>231.85987083514178</v>
      </c>
      <c r="BH21" s="59">
        <f t="shared" si="8"/>
        <v>525.19320416847506</v>
      </c>
      <c r="BI21" s="59">
        <f ca="1">AVERAGE(OFFSET($BH$3,0,0,'Données projet'!$E$11+1,1))-AVERAGE(OFFSET($H$3,0,0,'Données projet'!$E$11+1,1))</f>
        <v>415.91544298418842</v>
      </c>
      <c r="BJ21" s="59">
        <f t="shared" si="38"/>
        <v>422.79312683312583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25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16.894800000000004</v>
      </c>
      <c r="D22" s="11">
        <f t="shared" si="32"/>
        <v>5.6026651130643481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173.66464297804058</v>
      </c>
      <c r="H22" s="67">
        <f t="shared" si="1"/>
        <v>332.51641840525372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15.3</v>
      </c>
      <c r="N22" s="13">
        <f>IF('Données projet'!$A$36&gt;35,N21+M22-V21,IF(A22&lt;'Données projet'!$A$36,$K$205^A22,IF(A22='Données projet'!$A$36,'Données projet'!$B$36,N21+M22-V21)))</f>
        <v>149.69999999999999</v>
      </c>
      <c r="O22" s="13">
        <f>N22*VLOOKUP('Données projet'!$B$9,Paramètres!$A$1:$I$89,3,0)*VLOOKUP('Données projet'!$B$9,Paramètres!$A$1:$I$89,5,0)</f>
        <v>109.76003999999999</v>
      </c>
      <c r="P22" s="13">
        <f t="shared" si="33"/>
        <v>29.274440941202073</v>
      </c>
      <c r="Q22" s="20">
        <f t="shared" si="2"/>
        <v>242.15172097259355</v>
      </c>
      <c r="R22" s="59">
        <f t="shared" si="0"/>
        <v>535.48505430592684</v>
      </c>
      <c r="S22" s="59">
        <f ca="1">AVERAGE(OFFSET($R$3,0,0,'Données projet'!$E$9+1,1))-AVERAGE(OFFSET($H$3,0,0,'Données projet'!$E$9+1,1))</f>
        <v>284.62668108124626</v>
      </c>
      <c r="T22" s="59">
        <f t="shared" si="34"/>
        <v>333.70864452711021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0.47336039030549859</v>
      </c>
      <c r="AB22" s="21">
        <f>EXP(-LN(2)/2)*AB21+(1-EXP(-LN(2)/2))/(LN(2)/2)*V22*Y22*VLOOKUP('Données projet'!$B$9,Paramètres!$A$1:$I$89,3,0)*0.475*44/12</f>
        <v>5.3503207380622003E-2</v>
      </c>
      <c r="AC22" s="22">
        <f t="shared" si="3"/>
        <v>0.52686359768612057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3.65</v>
      </c>
      <c r="AI22" s="13">
        <f>IF('Données projet'!$A$62&gt;35,AI21+AH22-AQ21,IF(A22&lt;'Données projet'!$A$62,$AF$205^A22,IF(A22='Données projet'!$A$62,'Données projet'!$B$62,AI21+AH22-AQ21)))</f>
        <v>58.90561805764559</v>
      </c>
      <c r="AJ22" s="13">
        <f>AI22*VLOOKUP('Données projet'!$B$10,Paramètres!$A$1:$I$89,3,0)*VLOOKUP('Données projet'!$B$10,Paramètres!$A$1:$I$89,5,0)</f>
        <v>53.297803218557732</v>
      </c>
      <c r="AK22" s="13">
        <f t="shared" si="35"/>
        <v>15.462240012873817</v>
      </c>
      <c r="AL22" s="20">
        <f t="shared" si="4"/>
        <v>119.75707529474329</v>
      </c>
      <c r="AM22" s="59">
        <f t="shared" si="5"/>
        <v>413.0904086280766</v>
      </c>
      <c r="AN22" s="59">
        <f ca="1">AVERAGE(OFFSET($AM$3,0,0,'Données projet'!$E$10+1,1))-AVERAGE(OFFSET($H$3,0,0,'Données projet'!$E$10+1,1))</f>
        <v>318.40875902853116</v>
      </c>
      <c r="AO22" s="59">
        <f t="shared" si="36"/>
        <v>234.87694492493506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20.100000000000001</v>
      </c>
      <c r="BD22" s="12">
        <f>IF('Données projet'!$A$88&gt;35,BD21+BC22-BL21,IF(A22&lt;'Données projet'!$A$88,$BA$205^A22,IF(A22='Données projet'!$A$88,'Données projet'!$B$88,BD21+BC22-BL21)))</f>
        <v>207.89999999999998</v>
      </c>
      <c r="BE22" s="13">
        <f>BD22*VLOOKUP('Données projet'!$B$11,Paramètres!$A$1:$I$89,3,0)*VLOOKUP('Données projet'!$B$11,Paramètres!$A$1:$I$89,5,0)</f>
        <v>116.2161</v>
      </c>
      <c r="BF22" s="13">
        <f t="shared" si="37"/>
        <v>30.790827813105789</v>
      </c>
      <c r="BG22" s="20">
        <f t="shared" si="7"/>
        <v>256.03706594115926</v>
      </c>
      <c r="BH22" s="59">
        <f t="shared" si="8"/>
        <v>549.37039927449257</v>
      </c>
      <c r="BI22" s="59">
        <f ca="1">AVERAGE(OFFSET($BH$3,0,0,'Données projet'!$E$11+1,1))-AVERAGE(OFFSET($H$3,0,0,'Données projet'!$E$11+1,1))</f>
        <v>415.91544298418842</v>
      </c>
      <c r="BJ22" s="59">
        <f t="shared" si="38"/>
        <v>422.79312683312583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25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17.784000000000002</v>
      </c>
      <c r="D23" s="11">
        <f t="shared" si="32"/>
        <v>5.862435622634961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182.5338890168313</v>
      </c>
      <c r="H23" s="67">
        <f t="shared" si="1"/>
        <v>334.51754204275585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>
        <f>VLOOKUP(A23,'Données projet'!$A$35:$I$55,2,0)</f>
        <v>165</v>
      </c>
      <c r="L23" s="12">
        <f>VLOOKUP(A23,'Données projet'!$A$35:$I$55,9,0)</f>
        <v>15.3</v>
      </c>
      <c r="M23" s="12">
        <f t="array" ref="M23">INDEX(L:L,MIN(IF(ISNUMBER(L23:L219),ROW(L23:L219),"")))</f>
        <v>15.3</v>
      </c>
      <c r="N23" s="13">
        <f>IF('Données projet'!$A$36&gt;35,N22+M23-V22,IF(A23&lt;'Données projet'!$A$36,$K$205^A23,IF(A23='Données projet'!$A$36,'Données projet'!$B$36,N22+M23-V22)))</f>
        <v>165</v>
      </c>
      <c r="O23" s="13">
        <f>N23*VLOOKUP('Données projet'!$B$9,Paramètres!$A$1:$I$89,3,0)*VLOOKUP('Données projet'!$B$9,Paramètres!$A$1:$I$89,5,0)</f>
        <v>120.97799999999999</v>
      </c>
      <c r="P23" s="13">
        <f t="shared" si="33"/>
        <v>31.902993864447502</v>
      </c>
      <c r="Q23" s="20">
        <f t="shared" si="2"/>
        <v>266.26773098057942</v>
      </c>
      <c r="R23" s="59">
        <f t="shared" si="0"/>
        <v>559.60106431391273</v>
      </c>
      <c r="S23" s="59">
        <f ca="1">AVERAGE(OFFSET($R$3,0,0,'Données projet'!$E$9+1,1))-AVERAGE(OFFSET($H$3,0,0,'Données projet'!$E$9+1,1))</f>
        <v>284.62668108124626</v>
      </c>
      <c r="T23" s="59">
        <f t="shared" si="34"/>
        <v>333.70864452711021</v>
      </c>
      <c r="U23" s="15">
        <f>IF(ISNA(VLOOKUP(A23,'Données projet'!$A$35:$I$55,3,0)),0,VLOOKUP(A23,'Données projet'!$A$35:$I$55,3,0))</f>
        <v>2</v>
      </c>
      <c r="V23" s="15">
        <f>IF(ISNA(VLOOKUP(A23,'Données projet'!$A$35:$I$55,4,0)),0,VLOOKUP(A23,'Données projet'!$A$35:$I$55,4,0))</f>
        <v>84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0.1075</v>
      </c>
      <c r="Y23" s="16">
        <f>IF(ISNA(VLOOKUP(A23,'Données projet'!$A$35:$I$55,7,0)),0%,VLOOKUP(A23,'Données projet'!$A$35:$I$55,7,0))</f>
        <v>0.25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7.7506921311223849</v>
      </c>
      <c r="AB23" s="21">
        <f>EXP(-LN(2)/2)*AB22+(1-EXP(-LN(2)/2))/(LN(2)/2)*V23*Y23*VLOOKUP('Données projet'!$B$9,Paramètres!$A$1:$I$89,3,0)*0.475*44/12</f>
        <v>14.565505090316149</v>
      </c>
      <c r="AC23" s="22">
        <f t="shared" si="3"/>
        <v>22.316197221438536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>
        <f>VLOOKUP(A23,'Données projet'!$A$61:$I$81,2,0)</f>
        <v>73</v>
      </c>
      <c r="AG23" s="12">
        <f>VLOOKUP(A23,'Données projet'!$A$61:$I$81,9,0)</f>
        <v>3.65</v>
      </c>
      <c r="AH23" s="12">
        <f t="array" ref="AH23">INDEX(AG:AG,MIN(IF(ISNUMBER(AG23:AG219),ROW(AG23:AG219),"")))</f>
        <v>3.65</v>
      </c>
      <c r="AI23" s="13">
        <f>IF('Données projet'!$A$62&gt;35,AI22+AH23-AQ22,IF(A23&lt;'Données projet'!$A$62,$AF$205^A23,IF(A23='Données projet'!$A$62,'Données projet'!$B$62,AI22+AH23-AQ22)))</f>
        <v>73</v>
      </c>
      <c r="AJ23" s="13">
        <f>AI23*VLOOKUP('Données projet'!$B$10,Paramètres!$A$1:$I$89,3,0)*VLOOKUP('Données projet'!$B$10,Paramètres!$A$1:$I$89,5,0)</f>
        <v>66.050399999999996</v>
      </c>
      <c r="AK23" s="13">
        <f t="shared" si="35"/>
        <v>18.689342126897891</v>
      </c>
      <c r="AL23" s="20">
        <f t="shared" si="4"/>
        <v>147.58838420434714</v>
      </c>
      <c r="AM23" s="59">
        <f t="shared" si="5"/>
        <v>440.92171753768048</v>
      </c>
      <c r="AN23" s="59">
        <f ca="1">AVERAGE(OFFSET($AM$3,0,0,'Données projet'!$E$10+1,1))-AVERAGE(OFFSET($H$3,0,0,'Données projet'!$E$10+1,1))</f>
        <v>318.40875902853116</v>
      </c>
      <c r="AO23" s="59">
        <f t="shared" si="36"/>
        <v>234.87694492493506</v>
      </c>
      <c r="AP23" s="15">
        <f>IF(ISNA(VLOOKUP(A23,'Données projet'!$A$61:$I$81,3,0)),0,VLOOKUP(A23,'Données projet'!$A$61:$I$81,3,0))</f>
        <v>1</v>
      </c>
      <c r="AQ23" s="15">
        <f>IF(ISNA(VLOOKUP(A23,'Données projet'!$A$61:$I$81,4,0)),0,VLOOKUP(A23,'Données projet'!$A$61:$I$81,4,0))</f>
        <v>6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0.1075</v>
      </c>
      <c r="AT23" s="16">
        <f>IF(ISNA(VLOOKUP(A23,'Données projet'!$A$61:$I$81,7,0)),0%,VLOOKUP(A23,'Données projet'!$A$61:$I$81,7,0))</f>
        <v>0.25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0.64260789775653271</v>
      </c>
      <c r="AW23" s="21">
        <f>EXP(-LN(2)/2)*AW22+(1-EXP(-LN(2)/2))/(LN(2)/2)*AQ23*AT23*VLOOKUP('Données projet'!$B$10,Paramètres!$A$1:$I$89,3,0)*0.475*44/12</f>
        <v>1.2805547285024328</v>
      </c>
      <c r="AX23" s="21">
        <f t="shared" si="6"/>
        <v>1.9231626262589656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>
        <f>VLOOKUP(A23,'Données projet'!$A$87:$I$107,2,0)</f>
        <v>228</v>
      </c>
      <c r="BB23" s="12">
        <f>VLOOKUP(A23,'Données projet'!$A$87:$I$107,9,0)</f>
        <v>20.100000000000001</v>
      </c>
      <c r="BC23" s="12">
        <f t="array" ref="BC23">INDEX(BB:BB,MIN(IF(ISNUMBER(BB23:BB219),ROW(BB23:BB219),"")))</f>
        <v>20.100000000000001</v>
      </c>
      <c r="BD23" s="12">
        <f>IF('Données projet'!$A$88&gt;35,BD22+BC23-BL22,IF(A23&lt;'Données projet'!$A$88,$BA$205^A23,IF(A23='Données projet'!$A$88,'Données projet'!$B$88,BD22+BC23-BL22)))</f>
        <v>227.99999999999997</v>
      </c>
      <c r="BE23" s="13">
        <f>BD23*VLOOKUP('Données projet'!$B$11,Paramètres!$A$1:$I$89,3,0)*VLOOKUP('Données projet'!$B$11,Paramètres!$A$1:$I$89,5,0)</f>
        <v>127.452</v>
      </c>
      <c r="BF23" s="13">
        <f t="shared" si="37"/>
        <v>33.406914773953936</v>
      </c>
      <c r="BG23" s="20">
        <f t="shared" si="7"/>
        <v>280.16260989796973</v>
      </c>
      <c r="BH23" s="59">
        <f t="shared" si="8"/>
        <v>573.49594323130304</v>
      </c>
      <c r="BI23" s="59">
        <f ca="1">AVERAGE(OFFSET($BH$3,0,0,'Données projet'!$E$11+1,1))-AVERAGE(OFFSET($H$3,0,0,'Données projet'!$E$11+1,1))</f>
        <v>415.91544298418842</v>
      </c>
      <c r="BJ23" s="59">
        <f t="shared" si="38"/>
        <v>422.79312683312583</v>
      </c>
      <c r="BK23" s="15">
        <f>IF(ISNA(VLOOKUP(A23,'Données projet'!$A$87:$I$107,3,0)),0,VLOOKUP(A23,'Données projet'!$A$87:$I$107,3,0))</f>
        <v>1</v>
      </c>
      <c r="BL23" s="15">
        <f>IF(ISNA(VLOOKUP(A23,'Données projet'!$A$87:$I$107,4,0)),0,VLOOKUP(A23,'Données projet'!$A$87:$I$107,4,0))</f>
        <v>104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0.27500000000000002</v>
      </c>
      <c r="BO23" s="16">
        <f>IF(ISNA(VLOOKUP(A23,'Données projet'!$A$87:$I$107,7,0)),0%,VLOOKUP(A23,'Données projet'!$A$87:$I$107,7,0))</f>
        <v>0.5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21.124811351536597</v>
      </c>
      <c r="BR23" s="21">
        <f>EXP(-LN(2)/2)*BR22+(1-EXP(-LN(2)/2))/(LN(2)/2)*BL23*BO23*VLOOKUP('Données projet'!$B$11,Paramètres!$A$1:$I$89,3,0)*0.475*44/12</f>
        <v>32.911728424499309</v>
      </c>
      <c r="BS23" s="22">
        <f t="shared" si="9"/>
        <v>54.036539776035909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25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18.673200000000001</v>
      </c>
      <c r="D24" s="11">
        <f t="shared" si="32"/>
        <v>6.1206979954107776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191.3914932979078</v>
      </c>
      <c r="H24" s="67">
        <f t="shared" si="1"/>
        <v>336.51603900867377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16.600000000000001</v>
      </c>
      <c r="N24" s="13">
        <f>IF('Données projet'!$A$36&gt;35,N23+M24-V23,IF(A24&lt;'Données projet'!$A$36,$K$205^A24,IF(A24='Données projet'!$A$36,'Données projet'!$B$36,N23+M24-V23)))</f>
        <v>97.6</v>
      </c>
      <c r="O24" s="13">
        <f>N24*VLOOKUP('Données projet'!$B$9,Paramètres!$A$1:$I$89,3,0)*VLOOKUP('Données projet'!$B$9,Paramètres!$A$1:$I$89,5,0)</f>
        <v>71.56031999999999</v>
      </c>
      <c r="P24" s="13">
        <f t="shared" si="33"/>
        <v>20.060441462265054</v>
      </c>
      <c r="Q24" s="20">
        <f t="shared" si="2"/>
        <v>159.57282621344496</v>
      </c>
      <c r="R24" s="59">
        <f t="shared" si="0"/>
        <v>452.90615954677827</v>
      </c>
      <c r="S24" s="59">
        <f ca="1">AVERAGE(OFFSET($R$3,0,0,'Données projet'!$E$9+1,1))-AVERAGE(OFFSET($H$3,0,0,'Données projet'!$E$9+1,1))</f>
        <v>284.62668108124626</v>
      </c>
      <c r="T24" s="59">
        <f t="shared" si="34"/>
        <v>333.70864452711021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7.5387490472056582</v>
      </c>
      <c r="AB24" s="21">
        <f>EXP(-LN(2)/2)*AB23+(1-EXP(-LN(2)/2))/(LN(2)/2)*V24*Y24*VLOOKUP('Données projet'!$B$9,Paramètres!$A$1:$I$89,3,0)*0.475*44/12</f>
        <v>10.299367420769727</v>
      </c>
      <c r="AC24" s="22">
        <f t="shared" si="3"/>
        <v>17.838116467975386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8.1999999999999993</v>
      </c>
      <c r="AI24" s="13">
        <f>IF('Données projet'!$A$62&gt;35,AI23+AH24-AQ23,IF(A24&lt;'Données projet'!$A$62,$AF$205^A24,IF(A24='Données projet'!$A$62,'Données projet'!$B$62,AI23+AH24-AQ23)))</f>
        <v>75.2</v>
      </c>
      <c r="AJ24" s="13">
        <f>AI24*VLOOKUP('Données projet'!$B$10,Paramètres!$A$1:$I$89,3,0)*VLOOKUP('Données projet'!$B$10,Paramètres!$A$1:$I$89,5,0)</f>
        <v>68.040959999999998</v>
      </c>
      <c r="AK24" s="13">
        <f t="shared" si="35"/>
        <v>19.186158107165539</v>
      </c>
      <c r="AL24" s="20">
        <f t="shared" si="4"/>
        <v>151.92056403664665</v>
      </c>
      <c r="AM24" s="59">
        <f t="shared" si="5"/>
        <v>445.25389736998</v>
      </c>
      <c r="AN24" s="59">
        <f ca="1">AVERAGE(OFFSET($AM$3,0,0,'Données projet'!$E$10+1,1))-AVERAGE(OFFSET($H$3,0,0,'Données projet'!$E$10+1,1))</f>
        <v>318.40875902853116</v>
      </c>
      <c r="AO24" s="59">
        <f t="shared" si="36"/>
        <v>234.87694492493506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0.62503575099909969</v>
      </c>
      <c r="AW24" s="21">
        <f>EXP(-LN(2)/2)*AW23+(1-EXP(-LN(2)/2))/(LN(2)/2)*AQ24*AT24*VLOOKUP('Données projet'!$B$10,Paramètres!$A$1:$I$89,3,0)*0.475*44/12</f>
        <v>0.90548893220456861</v>
      </c>
      <c r="AX24" s="21">
        <f t="shared" si="6"/>
        <v>1.5305246832036683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27.5</v>
      </c>
      <c r="BD24" s="12">
        <f>IF('Données projet'!$A$88&gt;35,BD23+BC24-BL23,IF(A24&lt;'Données projet'!$A$88,$BA$205^A24,IF(A24='Données projet'!$A$88,'Données projet'!$B$88,BD23+BC24-BL23)))</f>
        <v>151.49999999999997</v>
      </c>
      <c r="BE24" s="13">
        <f>BD24*VLOOKUP('Données projet'!$B$11,Paramètres!$A$1:$I$89,3,0)*VLOOKUP('Données projet'!$B$11,Paramètres!$A$1:$I$89,5,0)</f>
        <v>84.688499999999976</v>
      </c>
      <c r="BF24" s="13">
        <f t="shared" si="37"/>
        <v>23.279719368585155</v>
      </c>
      <c r="BG24" s="20">
        <f t="shared" si="7"/>
        <v>188.04464873361908</v>
      </c>
      <c r="BH24" s="59">
        <f t="shared" si="8"/>
        <v>481.37798206695243</v>
      </c>
      <c r="BI24" s="59">
        <f ca="1">AVERAGE(OFFSET($BH$3,0,0,'Données projet'!$E$11+1,1))-AVERAGE(OFFSET($H$3,0,0,'Données projet'!$E$11+1,1))</f>
        <v>415.91544298418842</v>
      </c>
      <c r="BJ24" s="59">
        <f t="shared" si="38"/>
        <v>422.79312683312583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20.547152274223279</v>
      </c>
      <c r="BR24" s="21">
        <f>EXP(-LN(2)/2)*BR23+(1-EXP(-LN(2)/2))/(LN(2)/2)*BL24*BO24*VLOOKUP('Données projet'!$B$11,Paramètres!$A$1:$I$89,3,0)*0.475*44/12</f>
        <v>23.272106349533512</v>
      </c>
      <c r="BS24" s="22">
        <f t="shared" si="9"/>
        <v>43.819258623756795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25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19.5624</v>
      </c>
      <c r="D25" s="11">
        <f t="shared" si="32"/>
        <v>6.3775322468881095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200.23807348475032</v>
      </c>
      <c r="H25" s="67">
        <f t="shared" si="1"/>
        <v>338.51204866333012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16.600000000000001</v>
      </c>
      <c r="N25" s="13">
        <f>IF('Données projet'!$A$36&gt;35,N24+M25-V24,IF(A25&lt;'Données projet'!$A$36,$K$205^A25,IF(A25='Données projet'!$A$36,'Données projet'!$B$36,N24+M25-V24)))</f>
        <v>114.19999999999999</v>
      </c>
      <c r="O25" s="13">
        <f>N25*VLOOKUP('Données projet'!$B$9,Paramètres!$A$1:$I$89,3,0)*VLOOKUP('Données projet'!$B$9,Paramètres!$A$1:$I$89,5,0)</f>
        <v>83.731439999999992</v>
      </c>
      <c r="P25" s="13">
        <f t="shared" si="33"/>
        <v>23.047105861923821</v>
      </c>
      <c r="Q25" s="20">
        <f t="shared" si="2"/>
        <v>185.97263404285067</v>
      </c>
      <c r="R25" s="59">
        <f t="shared" si="0"/>
        <v>479.30596737618396</v>
      </c>
      <c r="S25" s="59">
        <f ca="1">AVERAGE(OFFSET($R$3,0,0,'Données projet'!$E$9+1,1))-AVERAGE(OFFSET($H$3,0,0,'Données projet'!$E$9+1,1))</f>
        <v>284.62668108124626</v>
      </c>
      <c r="T25" s="59">
        <f t="shared" si="34"/>
        <v>333.70864452711021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7.332601558064237</v>
      </c>
      <c r="AB25" s="21">
        <f>EXP(-LN(2)/2)*AB24+(1-EXP(-LN(2)/2))/(LN(2)/2)*V25*Y25*VLOOKUP('Données projet'!$B$9,Paramètres!$A$1:$I$89,3,0)*0.475*44/12</f>
        <v>7.2827525451580764</v>
      </c>
      <c r="AC25" s="22">
        <f t="shared" si="3"/>
        <v>14.615354103222312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8.1999999999999993</v>
      </c>
      <c r="AI25" s="13">
        <f>IF('Données projet'!$A$62&gt;35,AI24+AH25-AQ24,IF(A25&lt;'Données projet'!$A$62,$AF$205^A25,IF(A25='Données projet'!$A$62,'Données projet'!$B$62,AI24+AH25-AQ24)))</f>
        <v>83.4</v>
      </c>
      <c r="AJ25" s="13">
        <f>AI25*VLOOKUP('Données projet'!$B$10,Paramètres!$A$1:$I$89,3,0)*VLOOKUP('Données projet'!$B$10,Paramètres!$A$1:$I$89,5,0)</f>
        <v>75.460319999999996</v>
      </c>
      <c r="AK25" s="13">
        <f t="shared" si="35"/>
        <v>21.023463123249066</v>
      </c>
      <c r="AL25" s="20">
        <f t="shared" si="4"/>
        <v>168.04258893965877</v>
      </c>
      <c r="AM25" s="59">
        <f t="shared" si="5"/>
        <v>461.37592227299206</v>
      </c>
      <c r="AN25" s="59">
        <f ca="1">AVERAGE(OFFSET($AM$3,0,0,'Données projet'!$E$10+1,1))-AVERAGE(OFFSET($H$3,0,0,'Données projet'!$E$10+1,1))</f>
        <v>318.40875902853116</v>
      </c>
      <c r="AO25" s="59">
        <f t="shared" si="36"/>
        <v>234.87694492493506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0.60794411551882765</v>
      </c>
      <c r="AW25" s="21">
        <f>EXP(-LN(2)/2)*AW24+(1-EXP(-LN(2)/2))/(LN(2)/2)*AQ25*AT25*VLOOKUP('Données projet'!$B$10,Paramètres!$A$1:$I$89,3,0)*0.475*44/12</f>
        <v>0.64027736425121651</v>
      </c>
      <c r="AX25" s="21">
        <f t="shared" si="6"/>
        <v>1.2482214797700442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27.5</v>
      </c>
      <c r="BD25" s="12">
        <f>IF('Données projet'!$A$88&gt;35,BD24+BC25-BL24,IF(A25&lt;'Données projet'!$A$88,$BA$205^A25,IF(A25='Données projet'!$A$88,'Données projet'!$B$88,BD24+BC25-BL24)))</f>
        <v>178.99999999999997</v>
      </c>
      <c r="BE25" s="13">
        <f>BD25*VLOOKUP('Données projet'!$B$11,Paramètres!$A$1:$I$89,3,0)*VLOOKUP('Données projet'!$B$11,Paramètres!$A$1:$I$89,5,0)</f>
        <v>100.06099999999998</v>
      </c>
      <c r="BF25" s="13">
        <f t="shared" si="37"/>
        <v>26.976529441369074</v>
      </c>
      <c r="BG25" s="20">
        <f t="shared" si="7"/>
        <v>221.25703044371778</v>
      </c>
      <c r="BH25" s="59">
        <f t="shared" si="8"/>
        <v>514.59036377705115</v>
      </c>
      <c r="BI25" s="59">
        <f ca="1">AVERAGE(OFFSET($BH$3,0,0,'Données projet'!$E$11+1,1))-AVERAGE(OFFSET($H$3,0,0,'Données projet'!$E$11+1,1))</f>
        <v>415.91544298418842</v>
      </c>
      <c r="BJ25" s="59">
        <f t="shared" si="38"/>
        <v>422.79312683312583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19.985289314756866</v>
      </c>
      <c r="BR25" s="21">
        <f>EXP(-LN(2)/2)*BR24+(1-EXP(-LN(2)/2))/(LN(2)/2)*BL25*BO25*VLOOKUP('Données projet'!$B$11,Paramètres!$A$1:$I$89,3,0)*0.475*44/12</f>
        <v>16.455864212249658</v>
      </c>
      <c r="BS25" s="22">
        <f t="shared" si="9"/>
        <v>36.44115352700652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25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20.451599999999999</v>
      </c>
      <c r="D26" s="11">
        <f t="shared" si="32"/>
        <v>6.6330107072474558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209.07418791559442</v>
      </c>
      <c r="H26" s="67">
        <f t="shared" si="1"/>
        <v>340.5056969817893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16.600000000000001</v>
      </c>
      <c r="N26" s="13">
        <f>IF('Données projet'!$A$36&gt;35,N25+M26-V25,IF(A26&lt;'Données projet'!$A$36,$K$205^A26,IF(A26='Données projet'!$A$36,'Données projet'!$B$36,N25+M26-V25)))</f>
        <v>130.79999999999998</v>
      </c>
      <c r="O26" s="13">
        <f>N26*VLOOKUP('Données projet'!$B$9,Paramètres!$A$1:$I$89,3,0)*VLOOKUP('Données projet'!$B$9,Paramètres!$A$1:$I$89,5,0)</f>
        <v>95.902559999999994</v>
      </c>
      <c r="P26" s="13">
        <f t="shared" si="33"/>
        <v>25.983474830732835</v>
      </c>
      <c r="Q26" s="20">
        <f t="shared" si="2"/>
        <v>212.28484399685968</v>
      </c>
      <c r="R26" s="59">
        <f t="shared" si="0"/>
        <v>505.61817733019302</v>
      </c>
      <c r="S26" s="59">
        <f ca="1">AVERAGE(OFFSET($R$3,0,0,'Données projet'!$E$9+1,1))-AVERAGE(OFFSET($H$3,0,0,'Données projet'!$E$9+1,1))</f>
        <v>284.62668108124626</v>
      </c>
      <c r="T26" s="59">
        <f t="shared" si="34"/>
        <v>333.70864452711021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7.1320911828542135</v>
      </c>
      <c r="AB26" s="21">
        <f>EXP(-LN(2)/2)*AB25+(1-EXP(-LN(2)/2))/(LN(2)/2)*V26*Y26*VLOOKUP('Données projet'!$B$9,Paramètres!$A$1:$I$89,3,0)*0.475*44/12</f>
        <v>5.1496837103848643</v>
      </c>
      <c r="AC26" s="22">
        <f t="shared" si="3"/>
        <v>12.281774893239078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8.1999999999999993</v>
      </c>
      <c r="AI26" s="13">
        <f>IF('Données projet'!$A$62&gt;35,AI25+AH26-AQ25,IF(A26&lt;'Données projet'!$A$62,$AF$205^A26,IF(A26='Données projet'!$A$62,'Données projet'!$B$62,AI25+AH26-AQ25)))</f>
        <v>91.600000000000009</v>
      </c>
      <c r="AJ26" s="13">
        <f>AI26*VLOOKUP('Données projet'!$B$10,Paramètres!$A$1:$I$89,3,0)*VLOOKUP('Données projet'!$B$10,Paramètres!$A$1:$I$89,5,0)</f>
        <v>82.879680000000008</v>
      </c>
      <c r="AK26" s="13">
        <f t="shared" si="35"/>
        <v>22.83982519050506</v>
      </c>
      <c r="AL26" s="20">
        <f t="shared" si="4"/>
        <v>184.12813820679631</v>
      </c>
      <c r="AM26" s="59">
        <f t="shared" si="5"/>
        <v>477.46147154012965</v>
      </c>
      <c r="AN26" s="59">
        <f ca="1">AVERAGE(OFFSET($AM$3,0,0,'Données projet'!$E$10+1,1))-AVERAGE(OFFSET($H$3,0,0,'Données projet'!$E$10+1,1))</f>
        <v>318.40875902853116</v>
      </c>
      <c r="AO26" s="59">
        <f t="shared" si="36"/>
        <v>234.87694492493506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0.5913198517095738</v>
      </c>
      <c r="AW26" s="21">
        <f>EXP(-LN(2)/2)*AW25+(1-EXP(-LN(2)/2))/(LN(2)/2)*AQ26*AT26*VLOOKUP('Données projet'!$B$10,Paramètres!$A$1:$I$89,3,0)*0.475*44/12</f>
        <v>0.45274446610228436</v>
      </c>
      <c r="AX26" s="21">
        <f t="shared" si="6"/>
        <v>1.0440643178118583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27.5</v>
      </c>
      <c r="BD26" s="12">
        <f>IF('Données projet'!$A$88&gt;35,BD25+BC26-BL25,IF(A26&lt;'Données projet'!$A$88,$BA$205^A26,IF(A26='Données projet'!$A$88,'Données projet'!$B$88,BD25+BC26-BL25)))</f>
        <v>206.49999999999997</v>
      </c>
      <c r="BE26" s="13">
        <f>BD26*VLOOKUP('Données projet'!$B$11,Paramètres!$A$1:$I$89,3,0)*VLOOKUP('Données projet'!$B$11,Paramètres!$A$1:$I$89,5,0)</f>
        <v>115.43349999999998</v>
      </c>
      <c r="BF26" s="13">
        <f t="shared" si="37"/>
        <v>30.60754521964256</v>
      </c>
      <c r="BG26" s="20">
        <f t="shared" si="7"/>
        <v>254.35482042421077</v>
      </c>
      <c r="BH26" s="59">
        <f t="shared" si="8"/>
        <v>547.68815375754411</v>
      </c>
      <c r="BI26" s="59">
        <f ca="1">AVERAGE(OFFSET($BH$3,0,0,'Données projet'!$E$11+1,1))-AVERAGE(OFFSET($H$3,0,0,'Données projet'!$E$11+1,1))</f>
        <v>415.91544298418842</v>
      </c>
      <c r="BJ26" s="59">
        <f t="shared" si="38"/>
        <v>422.79312683312583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19.43879052746415</v>
      </c>
      <c r="BR26" s="21">
        <f>EXP(-LN(2)/2)*BR25+(1-EXP(-LN(2)/2))/(LN(2)/2)*BL26*BO26*VLOOKUP('Données projet'!$B$11,Paramètres!$A$1:$I$89,3,0)*0.475*44/12</f>
        <v>11.636053174766758</v>
      </c>
      <c r="BS26" s="22">
        <f t="shared" si="9"/>
        <v>31.074843702230908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25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21.340799999999998</v>
      </c>
      <c r="D27" s="11">
        <f t="shared" si="32"/>
        <v>6.8871990614123195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217.90034363195477</v>
      </c>
      <c r="H27" s="67">
        <f t="shared" si="1"/>
        <v>342.49709836529308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16.600000000000001</v>
      </c>
      <c r="N27" s="13">
        <f>IF('Données projet'!$A$36&gt;35,N26+M27-V26,IF(A27&lt;'Données projet'!$A$36,$K$205^A27,IF(A27='Données projet'!$A$36,'Données projet'!$B$36,N26+M27-V26)))</f>
        <v>147.39999999999998</v>
      </c>
      <c r="O27" s="13">
        <f>N27*VLOOKUP('Données projet'!$B$9,Paramètres!$A$1:$I$89,3,0)*VLOOKUP('Données projet'!$B$9,Paramètres!$A$1:$I$89,5,0)</f>
        <v>108.07368</v>
      </c>
      <c r="P27" s="13">
        <f t="shared" si="33"/>
        <v>28.876662943781092</v>
      </c>
      <c r="Q27" s="20">
        <f t="shared" si="2"/>
        <v>238.52184729375207</v>
      </c>
      <c r="R27" s="59">
        <f t="shared" si="0"/>
        <v>531.85518062708536</v>
      </c>
      <c r="S27" s="59">
        <f ca="1">AVERAGE(OFFSET($R$3,0,0,'Données projet'!$E$9+1,1))-AVERAGE(OFFSET($H$3,0,0,'Données projet'!$E$9+1,1))</f>
        <v>284.62668108124626</v>
      </c>
      <c r="T27" s="59">
        <f t="shared" si="34"/>
        <v>333.70864452711021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6.9370637743986903</v>
      </c>
      <c r="AB27" s="21">
        <f>EXP(-LN(2)/2)*AB26+(1-EXP(-LN(2)/2))/(LN(2)/2)*V27*Y27*VLOOKUP('Données projet'!$B$9,Paramètres!$A$1:$I$89,3,0)*0.475*44/12</f>
        <v>3.6413762725790386</v>
      </c>
      <c r="AC27" s="22">
        <f t="shared" si="3"/>
        <v>10.578440046977729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8.1999999999999993</v>
      </c>
      <c r="AI27" s="13">
        <f>IF('Données projet'!$A$62&gt;35,AI26+AH27-AQ26,IF(A27&lt;'Données projet'!$A$62,$AF$205^A27,IF(A27='Données projet'!$A$62,'Données projet'!$B$62,AI26+AH27-AQ26)))</f>
        <v>99.800000000000011</v>
      </c>
      <c r="AJ27" s="13">
        <f>AI27*VLOOKUP('Données projet'!$B$10,Paramètres!$A$1:$I$89,3,0)*VLOOKUP('Données projet'!$B$10,Paramètres!$A$1:$I$89,5,0)</f>
        <v>90.299040000000005</v>
      </c>
      <c r="AK27" s="13">
        <f t="shared" si="35"/>
        <v>24.637332311507059</v>
      </c>
      <c r="AL27" s="20">
        <f t="shared" si="4"/>
        <v>200.18084844254145</v>
      </c>
      <c r="AM27" s="59">
        <f t="shared" si="5"/>
        <v>493.51418177587476</v>
      </c>
      <c r="AN27" s="59">
        <f ca="1">AVERAGE(OFFSET($AM$3,0,0,'Données projet'!$E$10+1,1))-AVERAGE(OFFSET($H$3,0,0,'Données projet'!$E$10+1,1))</f>
        <v>318.40875902853116</v>
      </c>
      <c r="AO27" s="59">
        <f t="shared" si="36"/>
        <v>234.87694492493506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0.57515017926841594</v>
      </c>
      <c r="AW27" s="21">
        <f>EXP(-LN(2)/2)*AW26+(1-EXP(-LN(2)/2))/(LN(2)/2)*AQ27*AT27*VLOOKUP('Données projet'!$B$10,Paramètres!$A$1:$I$89,3,0)*0.475*44/12</f>
        <v>0.32013868212560831</v>
      </c>
      <c r="AX27" s="21">
        <f t="shared" si="6"/>
        <v>0.89528886139402419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27.5</v>
      </c>
      <c r="BD27" s="12">
        <f>IF('Données projet'!$A$88&gt;35,BD26+BC27-BL26,IF(A27&lt;'Données projet'!$A$88,$BA$205^A27,IF(A27='Données projet'!$A$88,'Données projet'!$B$88,BD26+BC27-BL26)))</f>
        <v>233.99999999999997</v>
      </c>
      <c r="BE27" s="13">
        <f>BD27*VLOOKUP('Données projet'!$B$11,Paramètres!$A$1:$I$89,3,0)*VLOOKUP('Données projet'!$B$11,Paramètres!$A$1:$I$89,5,0)</f>
        <v>130.80599999999998</v>
      </c>
      <c r="BF27" s="13">
        <f t="shared" si="37"/>
        <v>34.182535218254536</v>
      </c>
      <c r="BG27" s="20">
        <f t="shared" si="7"/>
        <v>287.35503217179325</v>
      </c>
      <c r="BH27" s="59">
        <f t="shared" si="8"/>
        <v>580.68836550512651</v>
      </c>
      <c r="BI27" s="59">
        <f ca="1">AVERAGE(OFFSET($BH$3,0,0,'Données projet'!$E$11+1,1))-AVERAGE(OFFSET($H$3,0,0,'Données projet'!$E$11+1,1))</f>
        <v>415.91544298418842</v>
      </c>
      <c r="BJ27" s="59">
        <f t="shared" si="38"/>
        <v>422.79312683312583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18.907235778249078</v>
      </c>
      <c r="BR27" s="21">
        <f>EXP(-LN(2)/2)*BR26+(1-EXP(-LN(2)/2))/(LN(2)/2)*BL27*BO27*VLOOKUP('Données projet'!$B$11,Paramètres!$A$1:$I$89,3,0)*0.475*44/12</f>
        <v>8.2279321061248307</v>
      </c>
      <c r="BS27" s="22">
        <f t="shared" si="9"/>
        <v>27.135167884373907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25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22.229999999999997</v>
      </c>
      <c r="D28" s="11">
        <f t="shared" si="32"/>
        <v>7.140157210880437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226.71700303135776</v>
      </c>
      <c r="H28" s="67">
        <f t="shared" si="1"/>
        <v>344.4863571422834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16.600000000000001</v>
      </c>
      <c r="N28" s="13">
        <f>IF('Données projet'!$A$36&gt;35,N27+M28-V27,IF(A28&lt;'Données projet'!$A$36,$K$205^A28,IF(A28='Données projet'!$A$36,'Données projet'!$B$36,N27+M28-V27)))</f>
        <v>163.99999999999997</v>
      </c>
      <c r="O28" s="13">
        <f>N28*VLOOKUP('Données projet'!$B$9,Paramètres!$A$1:$I$89,3,0)*VLOOKUP('Données projet'!$B$9,Paramètres!$A$1:$I$89,5,0)</f>
        <v>120.24479999999998</v>
      </c>
      <c r="P28" s="13">
        <f t="shared" si="33"/>
        <v>31.732088100347291</v>
      </c>
      <c r="Q28" s="20">
        <f t="shared" si="2"/>
        <v>264.69308010810488</v>
      </c>
      <c r="R28" s="59">
        <f t="shared" si="0"/>
        <v>558.02641344143819</v>
      </c>
      <c r="S28" s="59">
        <f ca="1">AVERAGE(OFFSET($R$3,0,0,'Données projet'!$E$9+1,1))-AVERAGE(OFFSET($H$3,0,0,'Données projet'!$E$9+1,1))</f>
        <v>284.62668108124626</v>
      </c>
      <c r="T28" s="59">
        <f t="shared" si="34"/>
        <v>333.70864452711021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6.7473694006834295</v>
      </c>
      <c r="AB28" s="21">
        <f>EXP(-LN(2)/2)*AB27+(1-EXP(-LN(2)/2))/(LN(2)/2)*V28*Y28*VLOOKUP('Données projet'!$B$9,Paramètres!$A$1:$I$89,3,0)*0.475*44/12</f>
        <v>2.5748418551924326</v>
      </c>
      <c r="AC28" s="22">
        <f t="shared" si="3"/>
        <v>9.3222112558758621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8.1999999999999993</v>
      </c>
      <c r="AI28" s="13">
        <f>IF('Données projet'!$A$62&gt;35,AI27+AH28-AQ27,IF(A28&lt;'Données projet'!$A$62,$AF$205^A28,IF(A28='Données projet'!$A$62,'Données projet'!$B$62,AI27+AH28-AQ27)))</f>
        <v>108.00000000000001</v>
      </c>
      <c r="AJ28" s="13">
        <f>AI28*VLOOKUP('Données projet'!$B$10,Paramètres!$A$1:$I$89,3,0)*VLOOKUP('Données projet'!$B$10,Paramètres!$A$1:$I$89,5,0)</f>
        <v>97.718400000000003</v>
      </c>
      <c r="AK28" s="13">
        <f t="shared" si="35"/>
        <v>26.417709819192194</v>
      </c>
      <c r="AL28" s="20">
        <f t="shared" si="4"/>
        <v>216.20372460175975</v>
      </c>
      <c r="AM28" s="59">
        <f t="shared" si="5"/>
        <v>509.53705793509306</v>
      </c>
      <c r="AN28" s="59">
        <f ca="1">AVERAGE(OFFSET($AM$3,0,0,'Données projet'!$E$10+1,1))-AVERAGE(OFFSET($H$3,0,0,'Données projet'!$E$10+1,1))</f>
        <v>318.40875902853116</v>
      </c>
      <c r="AO28" s="59">
        <f t="shared" si="36"/>
        <v>234.87694492493506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0.55942266737048774</v>
      </c>
      <c r="AW28" s="21">
        <f>EXP(-LN(2)/2)*AW27+(1-EXP(-LN(2)/2))/(LN(2)/2)*AQ28*AT28*VLOOKUP('Données projet'!$B$10,Paramètres!$A$1:$I$89,3,0)*0.475*44/12</f>
        <v>0.22637223305114224</v>
      </c>
      <c r="AX28" s="21">
        <f t="shared" si="6"/>
        <v>0.78579490042163003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27.5</v>
      </c>
      <c r="BD28" s="12">
        <f>IF('Données projet'!$A$88&gt;35,BD27+BC28-BL27,IF(A28&lt;'Données projet'!$A$88,$BA$205^A28,IF(A28='Données projet'!$A$88,'Données projet'!$B$88,BD27+BC28-BL27)))</f>
        <v>261.5</v>
      </c>
      <c r="BE28" s="13">
        <f>BD28*VLOOKUP('Données projet'!$B$11,Paramètres!$A$1:$I$89,3,0)*VLOOKUP('Données projet'!$B$11,Paramètres!$A$1:$I$89,5,0)</f>
        <v>146.17849999999999</v>
      </c>
      <c r="BF28" s="13">
        <f t="shared" si="37"/>
        <v>37.708835970826762</v>
      </c>
      <c r="BG28" s="20">
        <f t="shared" si="7"/>
        <v>320.27044348252321</v>
      </c>
      <c r="BH28" s="59">
        <f t="shared" si="8"/>
        <v>613.60377681585646</v>
      </c>
      <c r="BI28" s="59">
        <f ca="1">AVERAGE(OFFSET($BH$3,0,0,'Données projet'!$E$11+1,1))-AVERAGE(OFFSET($H$3,0,0,'Données projet'!$E$11+1,1))</f>
        <v>415.91544298418842</v>
      </c>
      <c r="BJ28" s="59">
        <f t="shared" si="38"/>
        <v>422.79312683312583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18.390216421604539</v>
      </c>
      <c r="BR28" s="21">
        <f>EXP(-LN(2)/2)*BR27+(1-EXP(-LN(2)/2))/(LN(2)/2)*BL28*BO28*VLOOKUP('Données projet'!$B$11,Paramètres!$A$1:$I$89,3,0)*0.475*44/12</f>
        <v>5.8180265873833799</v>
      </c>
      <c r="BS28" s="22">
        <f t="shared" si="9"/>
        <v>24.208243008987917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25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23.119199999999996</v>
      </c>
      <c r="D29" s="11">
        <f t="shared" si="32"/>
        <v>7.3919399937804329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235.5245894256735</v>
      </c>
      <c r="H29" s="67">
        <f t="shared" si="1"/>
        <v>346.47356882250091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16.600000000000001</v>
      </c>
      <c r="N29" s="13">
        <f>IF('Données projet'!$A$36&gt;35,N28+M29-V28,IF(A29&lt;'Données projet'!$A$36,$K$205^A29,IF(A29='Données projet'!$A$36,'Données projet'!$B$36,N28+M29-V28)))</f>
        <v>180.59999999999997</v>
      </c>
      <c r="O29" s="13">
        <f>N29*VLOOKUP('Données projet'!$B$9,Paramètres!$A$1:$I$89,3,0)*VLOOKUP('Données projet'!$B$9,Paramètres!$A$1:$I$89,5,0)</f>
        <v>132.41591999999997</v>
      </c>
      <c r="P29" s="13">
        <f t="shared" si="33"/>
        <v>34.554007851306523</v>
      </c>
      <c r="Q29" s="20">
        <f t="shared" si="2"/>
        <v>290.80595767435881</v>
      </c>
      <c r="R29" s="59">
        <f t="shared" si="0"/>
        <v>584.13929100769212</v>
      </c>
      <c r="S29" s="59">
        <f ca="1">AVERAGE(OFFSET($R$3,0,0,'Données projet'!$E$9+1,1))-AVERAGE(OFFSET($H$3,0,0,'Données projet'!$E$9+1,1))</f>
        <v>284.62668108124626</v>
      </c>
      <c r="T29" s="59">
        <f t="shared" si="34"/>
        <v>333.70864452711021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6.5628622295930059</v>
      </c>
      <c r="AB29" s="21">
        <f>EXP(-LN(2)/2)*AB28+(1-EXP(-LN(2)/2))/(LN(2)/2)*V29*Y29*VLOOKUP('Données projet'!$B$9,Paramètres!$A$1:$I$89,3,0)*0.475*44/12</f>
        <v>1.8206881362895195</v>
      </c>
      <c r="AC29" s="22">
        <f t="shared" si="3"/>
        <v>8.3835503658825257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8.1999999999999993</v>
      </c>
      <c r="AI29" s="13">
        <f>IF('Données projet'!$A$62&gt;35,AI28+AH29-AQ28,IF(A29&lt;'Données projet'!$A$62,$AF$205^A29,IF(A29='Données projet'!$A$62,'Données projet'!$B$62,AI28+AH29-AQ28)))</f>
        <v>116.20000000000002</v>
      </c>
      <c r="AJ29" s="13">
        <f>AI29*VLOOKUP('Données projet'!$B$10,Paramètres!$A$1:$I$89,3,0)*VLOOKUP('Données projet'!$B$10,Paramètres!$A$1:$I$89,5,0)</f>
        <v>105.13776</v>
      </c>
      <c r="AK29" s="13">
        <f t="shared" si="35"/>
        <v>28.182406176030653</v>
      </c>
      <c r="AL29" s="20">
        <f t="shared" si="4"/>
        <v>232.19928942325339</v>
      </c>
      <c r="AM29" s="59">
        <f t="shared" si="5"/>
        <v>525.53262275658676</v>
      </c>
      <c r="AN29" s="59">
        <f ca="1">AVERAGE(OFFSET($AM$3,0,0,'Données projet'!$E$10+1,1))-AVERAGE(OFFSET($H$3,0,0,'Données projet'!$E$10+1,1))</f>
        <v>318.40875902853116</v>
      </c>
      <c r="AO29" s="59">
        <f t="shared" si="36"/>
        <v>234.87694492493506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0.54412522511248229</v>
      </c>
      <c r="AW29" s="21">
        <f>EXP(-LN(2)/2)*AW28+(1-EXP(-LN(2)/2))/(LN(2)/2)*AQ29*AT29*VLOOKUP('Données projet'!$B$10,Paramètres!$A$1:$I$89,3,0)*0.475*44/12</f>
        <v>0.16006934106280418</v>
      </c>
      <c r="AX29" s="21">
        <f t="shared" si="6"/>
        <v>0.70419456617528642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27.5</v>
      </c>
      <c r="BD29" s="12">
        <f>IF('Données projet'!$A$88&gt;35,BD28+BC29-BL28,IF(A29&lt;'Données projet'!$A$88,$BA$205^A29,IF(A29='Données projet'!$A$88,'Données projet'!$B$88,BD28+BC29-BL28)))</f>
        <v>289</v>
      </c>
      <c r="BE29" s="13">
        <f>BD29*VLOOKUP('Données projet'!$B$11,Paramètres!$A$1:$I$89,3,0)*VLOOKUP('Données projet'!$B$11,Paramètres!$A$1:$I$89,5,0)</f>
        <v>161.55099999999999</v>
      </c>
      <c r="BF29" s="13">
        <f t="shared" si="37"/>
        <v>41.192151127280063</v>
      </c>
      <c r="BG29" s="20">
        <f t="shared" si="7"/>
        <v>353.11098821334605</v>
      </c>
      <c r="BH29" s="59">
        <f t="shared" si="8"/>
        <v>646.44432154667936</v>
      </c>
      <c r="BI29" s="59">
        <f ca="1">AVERAGE(OFFSET($BH$3,0,0,'Données projet'!$E$11+1,1))-AVERAGE(OFFSET($H$3,0,0,'Données projet'!$E$11+1,1))</f>
        <v>415.91544298418842</v>
      </c>
      <c r="BJ29" s="59">
        <f t="shared" si="38"/>
        <v>422.79312683312583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17.887334986456313</v>
      </c>
      <c r="BR29" s="21">
        <f>EXP(-LN(2)/2)*BR28+(1-EXP(-LN(2)/2))/(LN(2)/2)*BL29*BO29*VLOOKUP('Données projet'!$B$11,Paramètres!$A$1:$I$89,3,0)*0.475*44/12</f>
        <v>4.1139660530624154</v>
      </c>
      <c r="BS29" s="22">
        <f t="shared" si="9"/>
        <v>22.001301039518729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25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24.008399999999995</v>
      </c>
      <c r="D30" s="11">
        <f t="shared" si="32"/>
        <v>7.6425977910346958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244.32349172026781</v>
      </c>
      <c r="H30" s="67">
        <f t="shared" si="1"/>
        <v>348.45882115271871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16.600000000000001</v>
      </c>
      <c r="N30" s="13">
        <f>IF('Données projet'!$A$36&gt;35,N29+M30-V29,IF(A30&lt;'Données projet'!$A$36,$K$205^A30,IF(A30='Données projet'!$A$36,'Données projet'!$B$36,N29+M30-V29)))</f>
        <v>197.19999999999996</v>
      </c>
      <c r="O30" s="13">
        <f>N30*VLOOKUP('Données projet'!$B$9,Paramètres!$A$1:$I$89,3,0)*VLOOKUP('Données projet'!$B$9,Paramètres!$A$1:$I$89,5,0)</f>
        <v>144.58703999999994</v>
      </c>
      <c r="P30" s="13">
        <f t="shared" si="33"/>
        <v>37.345852143810291</v>
      </c>
      <c r="Q30" s="20">
        <f t="shared" si="2"/>
        <v>316.86645381713618</v>
      </c>
      <c r="R30" s="59">
        <f t="shared" si="0"/>
        <v>610.19978715046955</v>
      </c>
      <c r="S30" s="59">
        <f ca="1">AVERAGE(OFFSET($R$3,0,0,'Données projet'!$E$9+1,1))-AVERAGE(OFFSET($H$3,0,0,'Données projet'!$E$9+1,1))</f>
        <v>284.62668108124626</v>
      </c>
      <c r="T30" s="59">
        <f t="shared" si="34"/>
        <v>333.70864452711021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6.3834004167988603</v>
      </c>
      <c r="AB30" s="21">
        <f>EXP(-LN(2)/2)*AB29+(1-EXP(-LN(2)/2))/(LN(2)/2)*V30*Y30*VLOOKUP('Données projet'!$B$9,Paramètres!$A$1:$I$89,3,0)*0.475*44/12</f>
        <v>1.2874209275962163</v>
      </c>
      <c r="AC30" s="22">
        <f t="shared" si="3"/>
        <v>7.6708213443950761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8.1999999999999993</v>
      </c>
      <c r="AI30" s="13">
        <f>IF('Données projet'!$A$62&gt;35,AI29+AH30-AQ29,IF(A30&lt;'Données projet'!$A$62,$AF$205^A30,IF(A30='Données projet'!$A$62,'Données projet'!$B$62,AI29+AH30-AQ29)))</f>
        <v>124.40000000000002</v>
      </c>
      <c r="AJ30" s="13">
        <f>AI30*VLOOKUP('Données projet'!$B$10,Paramètres!$A$1:$I$89,3,0)*VLOOKUP('Données projet'!$B$10,Paramètres!$A$1:$I$89,5,0)</f>
        <v>112.55712000000001</v>
      </c>
      <c r="AK30" s="13">
        <f t="shared" si="35"/>
        <v>29.932653834140599</v>
      </c>
      <c r="AL30" s="20">
        <f t="shared" si="4"/>
        <v>248.16968942779488</v>
      </c>
      <c r="AM30" s="59">
        <f t="shared" si="5"/>
        <v>541.50302276112825</v>
      </c>
      <c r="AN30" s="59">
        <f ca="1">AVERAGE(OFFSET($AM$3,0,0,'Données projet'!$E$10+1,1))-AVERAGE(OFFSET($H$3,0,0,'Données projet'!$E$10+1,1))</f>
        <v>318.40875902853116</v>
      </c>
      <c r="AO30" s="59">
        <f t="shared" si="36"/>
        <v>234.87694492493506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0.52924609221747954</v>
      </c>
      <c r="AW30" s="21">
        <f>EXP(-LN(2)/2)*AW29+(1-EXP(-LN(2)/2))/(LN(2)/2)*AQ30*AT30*VLOOKUP('Données projet'!$B$10,Paramètres!$A$1:$I$89,3,0)*0.475*44/12</f>
        <v>0.11318611652557113</v>
      </c>
      <c r="AX30" s="21">
        <f t="shared" si="6"/>
        <v>0.64243220874305063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27.5</v>
      </c>
      <c r="BD30" s="12">
        <f>IF('Données projet'!$A$88&gt;35,BD29+BC30-BL29,IF(A30&lt;'Données projet'!$A$88,$BA$205^A30,IF(A30='Données projet'!$A$88,'Données projet'!$B$88,BD29+BC30-BL29)))</f>
        <v>316.5</v>
      </c>
      <c r="BE30" s="13">
        <f>BD30*VLOOKUP('Données projet'!$B$11,Paramètres!$A$1:$I$89,3,0)*VLOOKUP('Données projet'!$B$11,Paramètres!$A$1:$I$89,5,0)</f>
        <v>176.92350000000002</v>
      </c>
      <c r="BF30" s="13">
        <f t="shared" si="37"/>
        <v>44.637036366733298</v>
      </c>
      <c r="BG30" s="20">
        <f t="shared" si="7"/>
        <v>385.88460083872718</v>
      </c>
      <c r="BH30" s="59">
        <f t="shared" si="8"/>
        <v>679.2179341720605</v>
      </c>
      <c r="BI30" s="59">
        <f ca="1">AVERAGE(OFFSET($BH$3,0,0,'Données projet'!$E$11+1,1))-AVERAGE(OFFSET($H$3,0,0,'Données projet'!$E$11+1,1))</f>
        <v>415.91544298418842</v>
      </c>
      <c r="BJ30" s="59">
        <f t="shared" si="38"/>
        <v>422.79312683312583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17.398204870597599</v>
      </c>
      <c r="BR30" s="21">
        <f>EXP(-LN(2)/2)*BR29+(1-EXP(-LN(2)/2))/(LN(2)/2)*BL30*BO30*VLOOKUP('Données projet'!$B$11,Paramètres!$A$1:$I$89,3,0)*0.475*44/12</f>
        <v>2.9090132936916899</v>
      </c>
      <c r="BS30" s="22">
        <f t="shared" si="9"/>
        <v>20.307218164289289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25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24.897599999999994</v>
      </c>
      <c r="D31" s="11">
        <f t="shared" si="32"/>
        <v>7.8921770401958202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253.11406838045892</v>
      </c>
      <c r="H31" s="67">
        <f t="shared" si="1"/>
        <v>350.44219501167436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16.600000000000001</v>
      </c>
      <c r="N31" s="13">
        <f>IF('Données projet'!$A$36&gt;35,N30+M31-V30,IF(A31&lt;'Données projet'!$A$36,$K$205^A31,IF(A31='Données projet'!$A$36,'Données projet'!$B$36,N30+M31-V30)))</f>
        <v>213.79999999999995</v>
      </c>
      <c r="O31" s="13">
        <f>N31*VLOOKUP('Données projet'!$B$9,Paramètres!$A$1:$I$89,3,0)*VLOOKUP('Données projet'!$B$9,Paramètres!$A$1:$I$89,5,0)</f>
        <v>156.75815999999998</v>
      </c>
      <c r="P31" s="13">
        <f t="shared" si="33"/>
        <v>40.110440521385584</v>
      </c>
      <c r="Q31" s="20">
        <f t="shared" si="2"/>
        <v>342.87947924141321</v>
      </c>
      <c r="R31" s="59">
        <f t="shared" si="0"/>
        <v>636.21281257474652</v>
      </c>
      <c r="S31" s="59">
        <f ca="1">AVERAGE(OFFSET($R$3,0,0,'Données projet'!$E$9+1,1))-AVERAGE(OFFSET($H$3,0,0,'Données projet'!$E$9+1,1))</f>
        <v>284.62668108124626</v>
      </c>
      <c r="T31" s="59">
        <f t="shared" si="34"/>
        <v>333.70864452711021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6.2088459967130571</v>
      </c>
      <c r="AB31" s="21">
        <f>EXP(-LN(2)/2)*AB30+(1-EXP(-LN(2)/2))/(LN(2)/2)*V31*Y31*VLOOKUP('Données projet'!$B$9,Paramètres!$A$1:$I$89,3,0)*0.475*44/12</f>
        <v>0.91034406814475977</v>
      </c>
      <c r="AC31" s="22">
        <f t="shared" si="3"/>
        <v>7.1191900648578166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8.1999999999999993</v>
      </c>
      <c r="AI31" s="13">
        <f>IF('Données projet'!$A$62&gt;35,AI30+AH31-AQ30,IF(A31&lt;'Données projet'!$A$62,$AF$205^A31,IF(A31='Données projet'!$A$62,'Données projet'!$B$62,AI30+AH31-AQ30)))</f>
        <v>132.60000000000002</v>
      </c>
      <c r="AJ31" s="13">
        <f>AI31*VLOOKUP('Données projet'!$B$10,Paramètres!$A$1:$I$89,3,0)*VLOOKUP('Données projet'!$B$10,Paramètres!$A$1:$I$89,5,0)</f>
        <v>119.97648000000001</v>
      </c>
      <c r="AK31" s="13">
        <f t="shared" si="35"/>
        <v>31.669513577784763</v>
      </c>
      <c r="AL31" s="20">
        <f t="shared" si="4"/>
        <v>264.1167721479751</v>
      </c>
      <c r="AM31" s="59">
        <f t="shared" si="5"/>
        <v>557.45010548130836</v>
      </c>
      <c r="AN31" s="59">
        <f ca="1">AVERAGE(OFFSET($AM$3,0,0,'Données projet'!$E$10+1,1))-AVERAGE(OFFSET($H$3,0,0,'Données projet'!$E$10+1,1))</f>
        <v>318.40875902853116</v>
      </c>
      <c r="AO31" s="59">
        <f t="shared" si="36"/>
        <v>234.87694492493506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0.51477382999395016</v>
      </c>
      <c r="AW31" s="21">
        <f>EXP(-LN(2)/2)*AW30+(1-EXP(-LN(2)/2))/(LN(2)/2)*AQ31*AT31*VLOOKUP('Données projet'!$B$10,Paramètres!$A$1:$I$89,3,0)*0.475*44/12</f>
        <v>8.0034670531402105E-2</v>
      </c>
      <c r="AX31" s="21">
        <f t="shared" si="6"/>
        <v>0.59480850052535228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27.5</v>
      </c>
      <c r="BD31" s="12">
        <f>IF('Données projet'!$A$88&gt;35,BD30+BC31-BL30,IF(A31&lt;'Données projet'!$A$88,$BA$205^A31,IF(A31='Données projet'!$A$88,'Données projet'!$B$88,BD30+BC31-BL30)))</f>
        <v>344</v>
      </c>
      <c r="BE31" s="13">
        <f>BD31*VLOOKUP('Données projet'!$B$11,Paramètres!$A$1:$I$89,3,0)*VLOOKUP('Données projet'!$B$11,Paramètres!$A$1:$I$89,5,0)</f>
        <v>192.29599999999999</v>
      </c>
      <c r="BF31" s="13">
        <f t="shared" si="37"/>
        <v>48.047210442610933</v>
      </c>
      <c r="BG31" s="20">
        <f t="shared" si="7"/>
        <v>418.59775818754741</v>
      </c>
      <c r="BH31" s="59">
        <f t="shared" si="8"/>
        <v>711.93109152088073</v>
      </c>
      <c r="BI31" s="59">
        <f ca="1">AVERAGE(OFFSET($BH$3,0,0,'Données projet'!$E$11+1,1))-AVERAGE(OFFSET($H$3,0,0,'Données projet'!$E$11+1,1))</f>
        <v>415.91544298418842</v>
      </c>
      <c r="BJ31" s="59">
        <f t="shared" si="38"/>
        <v>422.79312683312583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16.922450043479277</v>
      </c>
      <c r="BR31" s="21">
        <f>EXP(-LN(2)/2)*BR30+(1-EXP(-LN(2)/2))/(LN(2)/2)*BL31*BO31*VLOOKUP('Données projet'!$B$11,Paramètres!$A$1:$I$89,3,0)*0.475*44/12</f>
        <v>2.0569830265312077</v>
      </c>
      <c r="BS31" s="22">
        <f t="shared" si="9"/>
        <v>18.979433070010483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25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25.786799999999992</v>
      </c>
      <c r="D32" s="11">
        <f t="shared" si="32"/>
        <v>8.1407206738151334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261.89665081541494</v>
      </c>
      <c r="H32" s="67">
        <f t="shared" si="1"/>
        <v>352.42376517356132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16.600000000000001</v>
      </c>
      <c r="N32" s="13">
        <f>IF('Données projet'!$A$36&gt;35,N31+M32-V31,IF(A32&lt;'Données projet'!$A$36,$K$205^A32,IF(A32='Données projet'!$A$36,'Données projet'!$B$36,N31+M32-V31)))</f>
        <v>230.39999999999995</v>
      </c>
      <c r="O32" s="13">
        <f>N32*VLOOKUP('Données projet'!$B$9,Paramètres!$A$1:$I$89,3,0)*VLOOKUP('Données projet'!$B$9,Paramètres!$A$1:$I$89,5,0)</f>
        <v>168.92927999999995</v>
      </c>
      <c r="P32" s="13">
        <f t="shared" si="33"/>
        <v>42.850129812627969</v>
      </c>
      <c r="Q32" s="20">
        <f t="shared" si="2"/>
        <v>368.84913875699363</v>
      </c>
      <c r="R32" s="59">
        <f t="shared" si="0"/>
        <v>662.18247209032688</v>
      </c>
      <c r="S32" s="59">
        <f ca="1">AVERAGE(OFFSET($R$3,0,0,'Données projet'!$E$9+1,1))-AVERAGE(OFFSET($H$3,0,0,'Données projet'!$E$9+1,1))</f>
        <v>284.62668108124626</v>
      </c>
      <c r="T32" s="59">
        <f t="shared" si="34"/>
        <v>333.70864452711021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6.0390647764239178</v>
      </c>
      <c r="AB32" s="21">
        <f>EXP(-LN(2)/2)*AB31+(1-EXP(-LN(2)/2))/(LN(2)/2)*V32*Y32*VLOOKUP('Données projet'!$B$9,Paramètres!$A$1:$I$89,3,0)*0.475*44/12</f>
        <v>0.64371046379810815</v>
      </c>
      <c r="AC32" s="22">
        <f t="shared" si="3"/>
        <v>6.6827752402220257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8.1999999999999993</v>
      </c>
      <c r="AI32" s="13">
        <f>IF('Données projet'!$A$62&gt;35,AI31+AH32-AQ31,IF(A32&lt;'Données projet'!$A$62,$AF$205^A32,IF(A32='Données projet'!$A$62,'Données projet'!$B$62,AI31+AH32-AQ31)))</f>
        <v>140.80000000000001</v>
      </c>
      <c r="AJ32" s="13">
        <f>AI32*VLOOKUP('Données projet'!$B$10,Paramètres!$A$1:$I$89,3,0)*VLOOKUP('Données projet'!$B$10,Paramètres!$A$1:$I$89,5,0)</f>
        <v>127.39584000000001</v>
      </c>
      <c r="AK32" s="13">
        <f t="shared" si="35"/>
        <v>33.393907578695213</v>
      </c>
      <c r="AL32" s="20">
        <f t="shared" si="4"/>
        <v>280.04214369956082</v>
      </c>
      <c r="AM32" s="59">
        <f t="shared" si="5"/>
        <v>573.3754770328942</v>
      </c>
      <c r="AN32" s="59">
        <f ca="1">AVERAGE(OFFSET($AM$3,0,0,'Données projet'!$E$10+1,1))-AVERAGE(OFFSET($H$3,0,0,'Données projet'!$E$10+1,1))</f>
        <v>318.40875902853116</v>
      </c>
      <c r="AO32" s="59">
        <f t="shared" si="36"/>
        <v>234.87694492493506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0.50069731254198635</v>
      </c>
      <c r="AW32" s="21">
        <f>EXP(-LN(2)/2)*AW31+(1-EXP(-LN(2)/2))/(LN(2)/2)*AQ32*AT32*VLOOKUP('Données projet'!$B$10,Paramètres!$A$1:$I$89,3,0)*0.475*44/12</f>
        <v>5.6593058262785573E-2</v>
      </c>
      <c r="AX32" s="21">
        <f t="shared" si="6"/>
        <v>0.55729037080477195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27.5</v>
      </c>
      <c r="BD32" s="12">
        <f>IF('Données projet'!$A$88&gt;35,BD31+BC32-BL31,IF(A32&lt;'Données projet'!$A$88,$BA$205^A32,IF(A32='Données projet'!$A$88,'Données projet'!$B$88,BD31+BC32-BL31)))</f>
        <v>371.5</v>
      </c>
      <c r="BE32" s="13">
        <f>BD32*VLOOKUP('Données projet'!$B$11,Paramètres!$A$1:$I$89,3,0)*VLOOKUP('Données projet'!$B$11,Paramètres!$A$1:$I$89,5,0)</f>
        <v>207.66850000000002</v>
      </c>
      <c r="BF32" s="13">
        <f t="shared" si="37"/>
        <v>51.4257637081664</v>
      </c>
      <c r="BG32" s="20">
        <f t="shared" si="7"/>
        <v>451.25584262505646</v>
      </c>
      <c r="BH32" s="59">
        <f t="shared" si="8"/>
        <v>744.58917595838977</v>
      </c>
      <c r="BI32" s="59">
        <f ca="1">AVERAGE(OFFSET($BH$3,0,0,'Données projet'!$E$11+1,1))-AVERAGE(OFFSET($H$3,0,0,'Données projet'!$E$11+1,1))</f>
        <v>415.91544298418842</v>
      </c>
      <c r="BJ32" s="59">
        <f t="shared" si="38"/>
        <v>422.79312683312583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16.459704757127366</v>
      </c>
      <c r="BR32" s="21">
        <f>EXP(-LN(2)/2)*BR31+(1-EXP(-LN(2)/2))/(LN(2)/2)*BL32*BO32*VLOOKUP('Données projet'!$B$11,Paramètres!$A$1:$I$89,3,0)*0.475*44/12</f>
        <v>1.454506646845845</v>
      </c>
      <c r="BS32" s="22">
        <f t="shared" si="9"/>
        <v>17.914211403973212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25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26.675999999999991</v>
      </c>
      <c r="D33" s="11">
        <f t="shared" si="32"/>
        <v>8.388268495647786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270.67154628219339</v>
      </c>
      <c r="H33" s="67">
        <f t="shared" si="1"/>
        <v>354.40360096325321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247</v>
      </c>
      <c r="L33" s="12">
        <f>VLOOKUP(A33,'Données projet'!$A$35:$I$55,9,0)</f>
        <v>16.600000000000001</v>
      </c>
      <c r="M33" s="12">
        <f t="array" ref="M33">INDEX(L:L,MIN(IF(ISNUMBER(L33:L229),ROW(L33:L229),"")))</f>
        <v>16.600000000000001</v>
      </c>
      <c r="N33" s="13">
        <f>IF('Données projet'!$A$36&gt;35,N32+M33-V32,IF(A33&lt;'Données projet'!$A$36,$K$205^A33,IF(A33='Données projet'!$A$36,'Données projet'!$B$36,N32+M33-V32)))</f>
        <v>246.99999999999994</v>
      </c>
      <c r="O33" s="13">
        <f>N33*VLOOKUP('Données projet'!$B$9,Paramètres!$A$1:$I$89,3,0)*VLOOKUP('Données projet'!$B$9,Paramètres!$A$1:$I$89,5,0)</f>
        <v>181.10039999999995</v>
      </c>
      <c r="P33" s="13">
        <f t="shared" si="33"/>
        <v>45.566917984897771</v>
      </c>
      <c r="Q33" s="20">
        <f t="shared" si="2"/>
        <v>394.77891215703016</v>
      </c>
      <c r="R33" s="59">
        <f t="shared" si="0"/>
        <v>688.11224549036342</v>
      </c>
      <c r="S33" s="59">
        <f ca="1">AVERAGE(OFFSET($R$3,0,0,'Données projet'!$E$9+1,1))-AVERAGE(OFFSET($H$3,0,0,'Données projet'!$E$9+1,1))</f>
        <v>284.62668108124626</v>
      </c>
      <c r="T33" s="59">
        <f t="shared" si="34"/>
        <v>333.70864452711021</v>
      </c>
      <c r="U33" s="15">
        <f>IF(ISNA(VLOOKUP(A33,'Données projet'!$A$35:$I$55,3,0)),0,VLOOKUP(A33,'Données projet'!$A$35:$I$55,3,0))</f>
        <v>3</v>
      </c>
      <c r="V33" s="15">
        <f>IF(ISNA(VLOOKUP(A33,'Données projet'!$A$35:$I$55,4,0)),0,VLOOKUP(A33,'Données projet'!$A$35:$I$55,4,0))</f>
        <v>84</v>
      </c>
      <c r="W33" s="16">
        <f>IF(ISNA(VLOOKUP(A33,'Données projet'!$A$35:$I$55,5,0)),0%,VLOOKUP(A33,'Données projet'!$A$35:$I$55,5,0)*VLOOKUP('Données projet'!$B$9,Paramètres!$A$1:$I$89,7,0))</f>
        <v>4.3000000000000003E-2</v>
      </c>
      <c r="X33" s="16">
        <f>IF(ISNA(VLOOKUP(A33,'Données projet'!$A$35:$I$55,6,0)),0%,VLOOKUP(A33,'Données projet'!$A$35:$I$55,6,0)*VLOOKUP('Données projet'!$B$9,Paramètres!$A$1:$I$89,7,0))</f>
        <v>0.19350000000000001</v>
      </c>
      <c r="Y33" s="16">
        <f>IF(ISNA(VLOOKUP(A33,'Données projet'!$A$35:$I$55,7,0)),0%,VLOOKUP(A33,'Données projet'!$A$35:$I$55,7,0))</f>
        <v>0.45</v>
      </c>
      <c r="Z33" s="21">
        <f>EXP(-LN(2)/35)*Z32+(1-EXP(-LN(2)/35))/(LN(2)/35)*V33*W33*VLOOKUP('Données projet'!$B$9,Paramètres!$A$1:$I$89,3,0)*0.475*44/12</f>
        <v>2.927637546772095</v>
      </c>
      <c r="AA33" s="21">
        <f>EXP(-LN(2)/25)*AA32+(1-EXP(-LN(2)/25))/(LN(2)/25)*Calculateur!V33*Calculateur!X33*VLOOKUP('Données projet'!$B$9,Paramètres!$A$1:$I$89,3,0)*0.475*44/12</f>
        <v>18.996422682580906</v>
      </c>
      <c r="AB33" s="21">
        <f>EXP(-LN(2)/2)*AB32+(1-EXP(-LN(2)/2))/(LN(2)/2)*V33*Y33*VLOOKUP('Données projet'!$B$9,Paramètres!$A$1:$I$89,3,0)*0.475*44/12</f>
        <v>26.604982731284128</v>
      </c>
      <c r="AC33" s="22">
        <f t="shared" si="3"/>
        <v>48.529042960637128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149</v>
      </c>
      <c r="AG33" s="12">
        <f>VLOOKUP(A33,'Données projet'!$A$61:$I$81,9,0)</f>
        <v>8.1999999999999993</v>
      </c>
      <c r="AH33" s="12">
        <f t="array" ref="AH33">INDEX(AG:AG,MIN(IF(ISNUMBER(AG33:AG229),ROW(AG33:AG229),"")))</f>
        <v>8.1999999999999993</v>
      </c>
      <c r="AI33" s="13">
        <f>IF('Données projet'!$A$62&gt;35,AI32+AH33-AQ32,IF(A33&lt;'Données projet'!$A$62,$AF$205^A33,IF(A33='Données projet'!$A$62,'Données projet'!$B$62,AI32+AH33-AQ32)))</f>
        <v>149</v>
      </c>
      <c r="AJ33" s="13">
        <f>AI33*VLOOKUP('Données projet'!$B$10,Paramètres!$A$1:$I$89,3,0)*VLOOKUP('Données projet'!$B$10,Paramètres!$A$1:$I$89,5,0)</f>
        <v>134.81519999999998</v>
      </c>
      <c r="AK33" s="13">
        <f t="shared" si="35"/>
        <v>35.106644529103392</v>
      </c>
      <c r="AL33" s="20">
        <f t="shared" si="4"/>
        <v>295.94721255485501</v>
      </c>
      <c r="AM33" s="59">
        <f t="shared" si="5"/>
        <v>589.28054588818827</v>
      </c>
      <c r="AN33" s="59">
        <f ca="1">AVERAGE(OFFSET($AM$3,0,0,'Données projet'!$E$10+1,1))-AVERAGE(OFFSET($H$3,0,0,'Données projet'!$E$10+1,1))</f>
        <v>318.40875902853116</v>
      </c>
      <c r="AO33" s="59">
        <f t="shared" si="36"/>
        <v>234.87694492493506</v>
      </c>
      <c r="AP33" s="15">
        <f>IF(ISNA(VLOOKUP(A33,'Données projet'!$A$61:$I$81,3,0)),0,VLOOKUP(A33,'Données projet'!$A$61:$I$81,3,0))</f>
        <v>2</v>
      </c>
      <c r="AQ33" s="15">
        <f>IF(ISNA(VLOOKUP(A33,'Données projet'!$A$61:$I$81,4,0)),0,VLOOKUP(A33,'Données projet'!$A$61:$I$81,4,0))</f>
        <v>56</v>
      </c>
      <c r="AR33" s="16">
        <f>IF(ISNA(VLOOKUP(A33,'Données projet'!$A$61:$I$81,5,0)),0%,VLOOKUP(A33,'Données projet'!$A$61:$I$81,5,0)*VLOOKUP('Données projet'!$B$10,Paramètres!$A$1:$I$89,7,0))</f>
        <v>4.3000000000000003E-2</v>
      </c>
      <c r="AS33" s="16">
        <f>IF(ISNA(VLOOKUP(A33,'Données projet'!$A$61:$I$81,6,0)),0%,VLOOKUP(A33,'Données projet'!$A$61:$I$81,6,0)*VLOOKUP('Données projet'!$B$10,Paramètres!$A$1:$I$89,7,0))</f>
        <v>0.19350000000000001</v>
      </c>
      <c r="AT33" s="16">
        <f>IF(ISNA(VLOOKUP(A33,'Données projet'!$A$61:$I$81,7,0)),0%,VLOOKUP(A33,'Données projet'!$A$61:$I$81,7,0))</f>
        <v>0.45</v>
      </c>
      <c r="AU33" s="21">
        <f>EXP(-LN(2)/35)*AU32+(1-EXP(-LN(2)/35))/(LN(2)/35)*AQ33*AR33*VLOOKUP('Données projet'!$B$10,Paramètres!$A$1:$I$89,3,0)*0.475*44/12</f>
        <v>2.4085528753586032</v>
      </c>
      <c r="AV33" s="21">
        <f>EXP(-LN(2)/25)*AV32+(1-EXP(-LN(2)/25))/(LN(2)/25)*Calculateur!AQ33*Calculateur!AS33*VLOOKUP('Données projet'!$B$10,Paramètres!$A$1:$I$89,3,0)*0.475*44/12</f>
        <v>11.282818400509749</v>
      </c>
      <c r="AW33" s="21">
        <f>EXP(-LN(2)/2)*AW32+(1-EXP(-LN(2)/2))/(LN(2)/2)*AQ33*AT33*VLOOKUP('Données projet'!$B$10,Paramètres!$A$1:$I$89,3,0)*0.475*44/12</f>
        <v>21.553336774106572</v>
      </c>
      <c r="AX33" s="21">
        <f t="shared" si="6"/>
        <v>35.244708049974925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399</v>
      </c>
      <c r="BB33" s="12">
        <f>VLOOKUP(A33,'Données projet'!$A$87:$I$107,9,0)</f>
        <v>27.5</v>
      </c>
      <c r="BC33" s="12">
        <f t="array" ref="BC33">INDEX(BB:BB,MIN(IF(ISNUMBER(BB33:BB229),ROW(BB33:BB229),"")))</f>
        <v>27.5</v>
      </c>
      <c r="BD33" s="12">
        <f>IF('Données projet'!$A$88&gt;35,BD32+BC33-BL32,IF(A33&lt;'Données projet'!$A$88,$BA$205^A33,IF(A33='Données projet'!$A$88,'Données projet'!$B$88,BD32+BC33-BL32)))</f>
        <v>399</v>
      </c>
      <c r="BE33" s="13">
        <f>BD33*VLOOKUP('Données projet'!$B$11,Paramètres!$A$1:$I$89,3,0)*VLOOKUP('Données projet'!$B$11,Paramètres!$A$1:$I$89,5,0)</f>
        <v>223.041</v>
      </c>
      <c r="BF33" s="13">
        <f t="shared" si="37"/>
        <v>54.775303040983225</v>
      </c>
      <c r="BG33" s="20">
        <f t="shared" si="7"/>
        <v>483.86339446304572</v>
      </c>
      <c r="BH33" s="59">
        <f t="shared" si="8"/>
        <v>777.19672779637904</v>
      </c>
      <c r="BI33" s="59">
        <f ca="1">AVERAGE(OFFSET($BH$3,0,0,'Données projet'!$E$11+1,1))-AVERAGE(OFFSET($H$3,0,0,'Données projet'!$E$11+1,1))</f>
        <v>415.91544298418842</v>
      </c>
      <c r="BJ33" s="59">
        <f t="shared" si="38"/>
        <v>422.79312683312583</v>
      </c>
      <c r="BK33" s="15">
        <f>IF(ISNA(VLOOKUP(A33,'Données projet'!$A$87:$I$107,3,0)),0,VLOOKUP(A33,'Données projet'!$A$87:$I$107,3,0))</f>
        <v>2</v>
      </c>
      <c r="BL33" s="15">
        <f>IF(ISNA(VLOOKUP(A33,'Données projet'!$A$87:$I$107,4,0)),0,VLOOKUP(A33,'Données projet'!$A$87:$I$107,4,0))</f>
        <v>140</v>
      </c>
      <c r="BM33" s="16">
        <f>IF(ISNA(VLOOKUP(A33,'Données projet'!$A$87:$I$107,5,0)),0%,VLOOKUP(A33,'Données projet'!$A$87:$I$107,5,0)*VLOOKUP('Données projet'!$B$11,Paramètres!$A$1:$I$89,7,0))</f>
        <v>0.11000000000000001</v>
      </c>
      <c r="BN33" s="16">
        <f>IF(ISNA(VLOOKUP(A33,'Données projet'!$A$87:$I$107,6,0)),0%,VLOOKUP(A33,'Données projet'!$A$87:$I$107,6,0)*VLOOKUP('Données projet'!$B$11,Paramètres!$A$1:$I$89,7,0))</f>
        <v>0.22000000000000003</v>
      </c>
      <c r="BO33" s="16">
        <f>IF(ISNA(VLOOKUP(A33,'Données projet'!$A$87:$I$107,7,0)),0%,VLOOKUP(A33,'Données projet'!$A$87:$I$107,7,0))</f>
        <v>0.4</v>
      </c>
      <c r="BP33" s="21">
        <f>EXP(-LN(2)/35)*BP32+(1-EXP(-LN(2)/35))/(LN(2)/35)*BL33*BM33*VLOOKUP('Données projet'!$B$11,Paramètres!$A$1:$I$89,3,0)*0.475*44/12</f>
        <v>11.419862771096829</v>
      </c>
      <c r="BQ33" s="21">
        <f>EXP(-LN(2)/25)*BQ32+(1-EXP(-LN(2)/25))/(LN(2)/25)*Calculateur!BL33*Calculateur!BN33*VLOOKUP('Données projet'!$B$11,Paramètres!$A$1:$I$89,3,0)*0.475*44/12</f>
        <v>38.759410105081791</v>
      </c>
      <c r="BR33" s="21">
        <f>EXP(-LN(2)/2)*BR32+(1-EXP(-LN(2)/2))/(LN(2)/2)*BL33*BO33*VLOOKUP('Données projet'!$B$11,Paramètres!$A$1:$I$89,3,0)*0.475*44/12</f>
        <v>36.471891355034096</v>
      </c>
      <c r="BS33" s="22">
        <f t="shared" si="9"/>
        <v>86.651164231212718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25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27.56519999999999</v>
      </c>
      <c r="D34" s="11">
        <f t="shared" si="32"/>
        <v>8.6348575052881742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279.43904039169814</v>
      </c>
      <c r="H34" s="67">
        <f t="shared" si="1"/>
        <v>356.38176682171019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14.2</v>
      </c>
      <c r="N34" s="13">
        <f>IF('Données projet'!$A$36&gt;35,N33+M34-V33,IF(A34&lt;'Données projet'!$A$36,$K$205^A34,IF(A34='Données projet'!$A$36,'Données projet'!$B$36,N33+M34-V33)))</f>
        <v>177.19999999999993</v>
      </c>
      <c r="O34" s="13">
        <f>N34*VLOOKUP('Données projet'!$B$9,Paramètres!$A$1:$I$89,3,0)*VLOOKUP('Données projet'!$B$9,Paramètres!$A$1:$I$89,5,0)</f>
        <v>129.92303999999996</v>
      </c>
      <c r="P34" s="13">
        <f t="shared" si="33"/>
        <v>33.978575523106578</v>
      </c>
      <c r="Q34" s="20">
        <f t="shared" si="2"/>
        <v>285.46198036941058</v>
      </c>
      <c r="R34" s="59">
        <f t="shared" si="0"/>
        <v>578.7953137027439</v>
      </c>
      <c r="S34" s="59">
        <f ca="1">AVERAGE(OFFSET($R$3,0,0,'Données projet'!$E$9+1,1))-AVERAGE(OFFSET($H$3,0,0,'Données projet'!$E$9+1,1))</f>
        <v>284.62668108124626</v>
      </c>
      <c r="T34" s="59">
        <f t="shared" si="34"/>
        <v>333.70864452711021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2.8702283601624763</v>
      </c>
      <c r="AA34" s="21">
        <f>EXP(-LN(2)/25)*AA33+(1-EXP(-LN(2)/25))/(LN(2)/25)*Calculateur!V34*Calculateur!X34*VLOOKUP('Données projet'!$B$9,Paramètres!$A$1:$I$89,3,0)*0.475*44/12</f>
        <v>18.476964505347279</v>
      </c>
      <c r="AB34" s="21">
        <f>EXP(-LN(2)/2)*AB33+(1-EXP(-LN(2)/2))/(LN(2)/2)*V34*Y34*VLOOKUP('Données projet'!$B$9,Paramètres!$A$1:$I$89,3,0)*0.475*44/12</f>
        <v>18.812563702642002</v>
      </c>
      <c r="AC34" s="22">
        <f t="shared" si="3"/>
        <v>40.159756568151757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11</v>
      </c>
      <c r="AI34" s="13">
        <f>IF('Données projet'!$A$62&gt;35,AI33+AH34-AQ33,IF(A34&lt;'Données projet'!$A$62,$AF$205^A34,IF(A34='Données projet'!$A$62,'Données projet'!$B$62,AI33+AH34-AQ33)))</f>
        <v>104</v>
      </c>
      <c r="AJ34" s="13">
        <f>AI34*VLOOKUP('Données projet'!$B$10,Paramètres!$A$1:$I$89,3,0)*VLOOKUP('Données projet'!$B$10,Paramètres!$A$1:$I$89,5,0)</f>
        <v>94.099199999999996</v>
      </c>
      <c r="AK34" s="13">
        <f t="shared" si="35"/>
        <v>25.551276031514817</v>
      </c>
      <c r="AL34" s="20">
        <f t="shared" si="4"/>
        <v>208.39124575488827</v>
      </c>
      <c r="AM34" s="59">
        <f t="shared" si="5"/>
        <v>501.72457908822162</v>
      </c>
      <c r="AN34" s="59">
        <f ca="1">AVERAGE(OFFSET($AM$3,0,0,'Données projet'!$E$10+1,1))-AVERAGE(OFFSET($H$3,0,0,'Données projet'!$E$10+1,1))</f>
        <v>318.40875902853116</v>
      </c>
      <c r="AO34" s="59">
        <f t="shared" si="36"/>
        <v>234.87694492493506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2.3613226225450159</v>
      </c>
      <c r="AV34" s="21">
        <f>EXP(-LN(2)/25)*AV33+(1-EXP(-LN(2)/25))/(LN(2)/25)*Calculateur!AQ34*Calculateur!AS34*VLOOKUP('Données projet'!$B$10,Paramètres!$A$1:$I$89,3,0)*0.475*44/12</f>
        <v>10.974289138010176</v>
      </c>
      <c r="AW34" s="21">
        <f>EXP(-LN(2)/2)*AW33+(1-EXP(-LN(2)/2))/(LN(2)/2)*AQ34*AT34*VLOOKUP('Données projet'!$B$10,Paramètres!$A$1:$I$89,3,0)*0.475*44/12</f>
        <v>15.240510590168146</v>
      </c>
      <c r="AX34" s="21">
        <f t="shared" si="6"/>
        <v>28.576122350723338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26.8</v>
      </c>
      <c r="BD34" s="12">
        <f>IF('Données projet'!$A$88&gt;35,BD33+BC34-BL33,IF(A34&lt;'Données projet'!$A$88,$BA$205^A34,IF(A34='Données projet'!$A$88,'Données projet'!$B$88,BD33+BC34-BL33)))</f>
        <v>285.8</v>
      </c>
      <c r="BE34" s="13">
        <f>BD34*VLOOKUP('Données projet'!$B$11,Paramètres!$A$1:$I$89,3,0)*VLOOKUP('Données projet'!$B$11,Paramètres!$A$1:$I$89,5,0)</f>
        <v>159.76220000000001</v>
      </c>
      <c r="BF34" s="13">
        <f t="shared" si="37"/>
        <v>40.788874310808829</v>
      </c>
      <c r="BG34" s="20">
        <f t="shared" si="7"/>
        <v>349.29312109132542</v>
      </c>
      <c r="BH34" s="59">
        <f t="shared" si="8"/>
        <v>642.62645442465873</v>
      </c>
      <c r="BI34" s="59">
        <f ca="1">AVERAGE(OFFSET($BH$3,0,0,'Données projet'!$E$11+1,1))-AVERAGE(OFFSET($H$3,0,0,'Données projet'!$E$11+1,1))</f>
        <v>415.91544298418842</v>
      </c>
      <c r="BJ34" s="59">
        <f t="shared" si="38"/>
        <v>422.79312683312583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11.195926227584131</v>
      </c>
      <c r="BQ34" s="21">
        <f>EXP(-LN(2)/25)*BQ33+(1-EXP(-LN(2)/25))/(LN(2)/25)*Calculateur!BL34*Calculateur!BN34*VLOOKUP('Données projet'!$B$11,Paramètres!$A$1:$I$89,3,0)*0.475*44/12</f>
        <v>37.699531997489537</v>
      </c>
      <c r="BR34" s="21">
        <f>EXP(-LN(2)/2)*BR33+(1-EXP(-LN(2)/2))/(LN(2)/2)*BL34*BO34*VLOOKUP('Données projet'!$B$11,Paramètres!$A$1:$I$89,3,0)*0.475*44/12</f>
        <v>25.789521699843629</v>
      </c>
      <c r="BS34" s="22">
        <f t="shared" si="9"/>
        <v>74.6849799249173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25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28.454399999999989</v>
      </c>
      <c r="D35" s="11">
        <f t="shared" si="32"/>
        <v>8.8805221797401579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288.19939928220469</v>
      </c>
      <c r="H35" s="67">
        <f t="shared" si="1"/>
        <v>358.35832279638072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14.2</v>
      </c>
      <c r="N35" s="13">
        <f>IF('Données projet'!$A$36&gt;35,N34+M35-V34,IF(A35&lt;'Données projet'!$A$36,$K$205^A35,IF(A35='Données projet'!$A$36,'Données projet'!$B$36,N34+M35-V34)))</f>
        <v>191.39999999999992</v>
      </c>
      <c r="O35" s="13">
        <f>N35*VLOOKUP('Données projet'!$B$9,Paramètres!$A$1:$I$89,3,0)*VLOOKUP('Données projet'!$B$9,Paramètres!$A$1:$I$89,5,0)</f>
        <v>140.33447999999993</v>
      </c>
      <c r="P35" s="13">
        <f t="shared" si="33"/>
        <v>36.3736195210302</v>
      </c>
      <c r="Q35" s="20">
        <f t="shared" ref="Q35:Q66" si="53">(O35+P35)*0.475*44/12</f>
        <v>307.76660666579414</v>
      </c>
      <c r="R35" s="59">
        <f t="shared" si="0"/>
        <v>601.0999399991274</v>
      </c>
      <c r="S35" s="59">
        <f ca="1">AVERAGE(OFFSET($R$3,0,0,'Données projet'!$E$9+1,1))-AVERAGE(OFFSET($H$3,0,0,'Données projet'!$E$9+1,1))</f>
        <v>284.62668108124626</v>
      </c>
      <c r="T35" s="59">
        <f t="shared" si="34"/>
        <v>333.70864452711021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2.8139449326861259</v>
      </c>
      <c r="AA35" s="21">
        <f>EXP(-LN(2)/25)*AA34+(1-EXP(-LN(2)/25))/(LN(2)/25)*Calculateur!V35*Calculateur!X35*VLOOKUP('Données projet'!$B$9,Paramètres!$A$1:$I$89,3,0)*0.475*44/12</f>
        <v>17.971710939287224</v>
      </c>
      <c r="AB35" s="21">
        <f>EXP(-LN(2)/2)*AB34+(1-EXP(-LN(2)/2))/(LN(2)/2)*V35*Y35*VLOOKUP('Données projet'!$B$9,Paramètres!$A$1:$I$89,3,0)*0.475*44/12</f>
        <v>13.302491365642066</v>
      </c>
      <c r="AC35" s="22">
        <f t="shared" si="3"/>
        <v>34.088147237615416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11</v>
      </c>
      <c r="AI35" s="13">
        <f>IF('Données projet'!$A$62&gt;35,AI34+AH35-AQ34,IF(A35&lt;'Données projet'!$A$62,$AF$205^A35,IF(A35='Données projet'!$A$62,'Données projet'!$B$62,AI34+AH35-AQ34)))</f>
        <v>115</v>
      </c>
      <c r="AJ35" s="13">
        <f>AI35*VLOOKUP('Données projet'!$B$10,Paramètres!$A$1:$I$89,3,0)*VLOOKUP('Données projet'!$B$10,Paramètres!$A$1:$I$89,5,0)</f>
        <v>104.05199999999999</v>
      </c>
      <c r="AK35" s="13">
        <f t="shared" si="35"/>
        <v>27.925087771564417</v>
      </c>
      <c r="AL35" s="20">
        <f t="shared" si="4"/>
        <v>229.86009453547467</v>
      </c>
      <c r="AM35" s="59">
        <f t="shared" si="5"/>
        <v>523.19342786880793</v>
      </c>
      <c r="AN35" s="59">
        <f ca="1">AVERAGE(OFFSET($AM$3,0,0,'Données projet'!$E$10+1,1))-AVERAGE(OFFSET($H$3,0,0,'Données projet'!$E$10+1,1))</f>
        <v>318.40875902853116</v>
      </c>
      <c r="AO35" s="59">
        <f t="shared" si="36"/>
        <v>234.87694492493506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2.3150185261814937</v>
      </c>
      <c r="AV35" s="21">
        <f>EXP(-LN(2)/25)*AV34+(1-EXP(-LN(2)/25))/(LN(2)/25)*Calculateur!AQ35*Calculateur!AS35*VLOOKUP('Données projet'!$B$10,Paramètres!$A$1:$I$89,3,0)*0.475*44/12</f>
        <v>10.674196624418505</v>
      </c>
      <c r="AW35" s="21">
        <f>EXP(-LN(2)/2)*AW34+(1-EXP(-LN(2)/2))/(LN(2)/2)*AQ35*AT35*VLOOKUP('Données projet'!$B$10,Paramètres!$A$1:$I$89,3,0)*0.475*44/12</f>
        <v>10.776668387053288</v>
      </c>
      <c r="AX35" s="21">
        <f t="shared" si="6"/>
        <v>23.765883537653288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26.8</v>
      </c>
      <c r="BD35" s="12">
        <f>IF('Données projet'!$A$88&gt;35,BD34+BC35-BL34,IF(A35&lt;'Données projet'!$A$88,$BA$205^A35,IF(A35='Données projet'!$A$88,'Données projet'!$B$88,BD34+BC35-BL34)))</f>
        <v>312.60000000000002</v>
      </c>
      <c r="BE35" s="13">
        <f>BD35*VLOOKUP('Données projet'!$B$11,Paramètres!$A$1:$I$89,3,0)*VLOOKUP('Données projet'!$B$11,Paramètres!$A$1:$I$89,5,0)</f>
        <v>174.74340000000001</v>
      </c>
      <c r="BF35" s="13">
        <f t="shared" si="37"/>
        <v>44.150679855848523</v>
      </c>
      <c r="BG35" s="20">
        <f t="shared" si="7"/>
        <v>381.24052241560281</v>
      </c>
      <c r="BH35" s="59">
        <f t="shared" si="8"/>
        <v>674.57385574893613</v>
      </c>
      <c r="BI35" s="59">
        <f ca="1">AVERAGE(OFFSET($BH$3,0,0,'Données projet'!$E$11+1,1))-AVERAGE(OFFSET($H$3,0,0,'Données projet'!$E$11+1,1))</f>
        <v>415.91544298418842</v>
      </c>
      <c r="BJ35" s="59">
        <f t="shared" si="38"/>
        <v>422.79312683312583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10.976380943101914</v>
      </c>
      <c r="BQ35" s="21">
        <f>EXP(-LN(2)/25)*BQ34+(1-EXP(-LN(2)/25))/(LN(2)/25)*Calculateur!BL35*Calculateur!BN35*VLOOKUP('Données projet'!$B$11,Paramètres!$A$1:$I$89,3,0)*0.475*44/12</f>
        <v>36.668636312485958</v>
      </c>
      <c r="BR35" s="21">
        <f>EXP(-LN(2)/2)*BR34+(1-EXP(-LN(2)/2))/(LN(2)/2)*BL35*BO35*VLOOKUP('Données projet'!$B$11,Paramètres!$A$1:$I$89,3,0)*0.475*44/12</f>
        <v>18.235945677517048</v>
      </c>
      <c r="BS35" s="22">
        <f t="shared" si="9"/>
        <v>65.880962933104925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25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29.343599999999988</v>
      </c>
      <c r="D36" s="11">
        <f t="shared" si="32"/>
        <v>9.1252947188023139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296.95287151356166</v>
      </c>
      <c r="H36" s="67">
        <f t="shared" si="1"/>
        <v>360.33332496858065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14.2</v>
      </c>
      <c r="N36" s="13">
        <f>IF('Données projet'!$A$36&gt;35,N35+M36-V35,IF(A36&lt;'Données projet'!$A$36,$K$205^A36,IF(A36='Données projet'!$A$36,'Données projet'!$B$36,N35+M36-V35)))</f>
        <v>205.59999999999991</v>
      </c>
      <c r="O36" s="13">
        <f>N36*VLOOKUP('Données projet'!$B$9,Paramètres!$A$1:$I$89,3,0)*VLOOKUP('Données projet'!$B$9,Paramètres!$A$1:$I$89,5,0)</f>
        <v>150.74591999999993</v>
      </c>
      <c r="P36" s="13">
        <f t="shared" si="33"/>
        <v>38.748049648099375</v>
      </c>
      <c r="Q36" s="20">
        <f t="shared" si="53"/>
        <v>330.03533047043965</v>
      </c>
      <c r="R36" s="59">
        <f t="shared" si="0"/>
        <v>623.36866380377296</v>
      </c>
      <c r="S36" s="59">
        <f ca="1">AVERAGE(OFFSET($R$3,0,0,'Données projet'!$E$9+1,1))-AVERAGE(OFFSET($H$3,0,0,'Données projet'!$E$9+1,1))</f>
        <v>284.62668108124626</v>
      </c>
      <c r="T36" s="59">
        <f t="shared" si="34"/>
        <v>333.70864452711021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2.7587651888930855</v>
      </c>
      <c r="AA36" s="21">
        <f>EXP(-LN(2)/25)*AA35+(1-EXP(-LN(2)/25))/(LN(2)/25)*Calculateur!V36*Calculateur!X36*VLOOKUP('Données projet'!$B$9,Paramètres!$A$1:$I$89,3,0)*0.475*44/12</f>
        <v>17.480273558561212</v>
      </c>
      <c r="AB36" s="21">
        <f>EXP(-LN(2)/2)*AB35+(1-EXP(-LN(2)/2))/(LN(2)/2)*V36*Y36*VLOOKUP('Données projet'!$B$9,Paramètres!$A$1:$I$89,3,0)*0.475*44/12</f>
        <v>9.4062818513210029</v>
      </c>
      <c r="AC36" s="22">
        <f t="shared" si="3"/>
        <v>29.645320598775299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11</v>
      </c>
      <c r="AI36" s="13">
        <f>IF('Données projet'!$A$62&gt;35,AI35+AH36-AQ35,IF(A36&lt;'Données projet'!$A$62,$AF$205^A36,IF(A36='Données projet'!$A$62,'Données projet'!$B$62,AI35+AH36-AQ35)))</f>
        <v>126</v>
      </c>
      <c r="AJ36" s="13">
        <f>AI36*VLOOKUP('Données projet'!$B$10,Paramètres!$A$1:$I$89,3,0)*VLOOKUP('Données projet'!$B$10,Paramètres!$A$1:$I$89,5,0)</f>
        <v>114.0048</v>
      </c>
      <c r="AK36" s="13">
        <f t="shared" si="35"/>
        <v>30.272573949217303</v>
      </c>
      <c r="AL36" s="20">
        <f t="shared" si="4"/>
        <v>251.28309296155342</v>
      </c>
      <c r="AM36" s="59">
        <f t="shared" si="5"/>
        <v>544.61642629488676</v>
      </c>
      <c r="AN36" s="59">
        <f ca="1">AVERAGE(OFFSET($AM$3,0,0,'Données projet'!$E$10+1,1))-AVERAGE(OFFSET($H$3,0,0,'Données projet'!$E$10+1,1))</f>
        <v>318.40875902853116</v>
      </c>
      <c r="AO36" s="59">
        <f t="shared" si="36"/>
        <v>234.87694492493506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2.2696224249049499</v>
      </c>
      <c r="AV36" s="21">
        <f>EXP(-LN(2)/25)*AV35+(1-EXP(-LN(2)/25))/(LN(2)/25)*Calculateur!AQ36*Calculateur!AS36*VLOOKUP('Données projet'!$B$10,Paramètres!$A$1:$I$89,3,0)*0.475*44/12</f>
        <v>10.382310156392176</v>
      </c>
      <c r="AW36" s="21">
        <f>EXP(-LN(2)/2)*AW35+(1-EXP(-LN(2)/2))/(LN(2)/2)*AQ36*AT36*VLOOKUP('Données projet'!$B$10,Paramètres!$A$1:$I$89,3,0)*0.475*44/12</f>
        <v>7.6202552950840738</v>
      </c>
      <c r="AX36" s="21">
        <f t="shared" si="6"/>
        <v>20.272187876381199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26.8</v>
      </c>
      <c r="BD36" s="12">
        <f>IF('Données projet'!$A$88&gt;35,BD35+BC36-BL35,IF(A36&lt;'Données projet'!$A$88,$BA$205^A36,IF(A36='Données projet'!$A$88,'Données projet'!$B$88,BD35+BC36-BL35)))</f>
        <v>339.40000000000003</v>
      </c>
      <c r="BE36" s="13">
        <f>BD36*VLOOKUP('Données projet'!$B$11,Paramètres!$A$1:$I$89,3,0)*VLOOKUP('Données projet'!$B$11,Paramètres!$A$1:$I$89,5,0)</f>
        <v>189.72460000000001</v>
      </c>
      <c r="BF36" s="13">
        <f t="shared" si="37"/>
        <v>47.479060682252133</v>
      </c>
      <c r="BG36" s="20">
        <f t="shared" si="7"/>
        <v>413.12970902158912</v>
      </c>
      <c r="BH36" s="59">
        <f t="shared" si="8"/>
        <v>706.46304235492244</v>
      </c>
      <c r="BI36" s="59">
        <f ca="1">AVERAGE(OFFSET($BH$3,0,0,'Données projet'!$E$11+1,1))-AVERAGE(OFFSET($H$3,0,0,'Données projet'!$E$11+1,1))</f>
        <v>415.91544298418842</v>
      </c>
      <c r="BJ36" s="59">
        <f t="shared" si="38"/>
        <v>422.79312683312583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10.761140807738991</v>
      </c>
      <c r="BQ36" s="21">
        <f>EXP(-LN(2)/25)*BQ35+(1-EXP(-LN(2)/25))/(LN(2)/25)*Calculateur!BL36*Calculateur!BN36*VLOOKUP('Données projet'!$B$11,Paramètres!$A$1:$I$89,3,0)*0.475*44/12</f>
        <v>35.665930524201251</v>
      </c>
      <c r="BR36" s="21">
        <f>EXP(-LN(2)/2)*BR35+(1-EXP(-LN(2)/2))/(LN(2)/2)*BL36*BO36*VLOOKUP('Données projet'!$B$11,Paramètres!$A$1:$I$89,3,0)*0.475*44/12</f>
        <v>12.894760849921814</v>
      </c>
      <c r="BS36" s="22">
        <f t="shared" si="9"/>
        <v>59.321832181862057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25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30.232799999999987</v>
      </c>
      <c r="D37" s="11">
        <f t="shared" si="32"/>
        <v>9.3692052598737909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305.69968972534144</v>
      </c>
      <c r="H37" s="67">
        <f t="shared" si="1"/>
        <v>362.30682582761347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14.2</v>
      </c>
      <c r="N37" s="13">
        <f>IF('Données projet'!$A$36&gt;35,N36+M37-V36,IF(A37&lt;'Données projet'!$A$36,$K$205^A37,IF(A37='Données projet'!$A$36,'Données projet'!$B$36,N36+M37-V36)))</f>
        <v>219.7999999999999</v>
      </c>
      <c r="O37" s="13">
        <f>N37*VLOOKUP('Données projet'!$B$9,Paramètres!$A$1:$I$89,3,0)*VLOOKUP('Données projet'!$B$9,Paramètres!$A$1:$I$89,5,0)</f>
        <v>161.15735999999993</v>
      </c>
      <c r="P37" s="13">
        <f t="shared" si="33"/>
        <v>41.103451582387613</v>
      </c>
      <c r="Q37" s="20">
        <f t="shared" si="53"/>
        <v>352.27091350599159</v>
      </c>
      <c r="R37" s="59">
        <f t="shared" si="0"/>
        <v>645.6042468393249</v>
      </c>
      <c r="S37" s="59">
        <f ca="1">AVERAGE(OFFSET($R$3,0,0,'Données projet'!$E$9+1,1))-AVERAGE(OFFSET($H$3,0,0,'Données projet'!$E$9+1,1))</f>
        <v>284.62668108124626</v>
      </c>
      <c r="T37" s="59">
        <f t="shared" si="34"/>
        <v>333.70864452711021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2.7046674862195066</v>
      </c>
      <c r="AA37" s="21">
        <f>EXP(-LN(2)/25)*AA36+(1-EXP(-LN(2)/25))/(LN(2)/25)*Calculateur!V37*Calculateur!X37*VLOOKUP('Données projet'!$B$9,Paramètres!$A$1:$I$89,3,0)*0.475*44/12</f>
        <v>17.002274558854722</v>
      </c>
      <c r="AB37" s="21">
        <f>EXP(-LN(2)/2)*AB36+(1-EXP(-LN(2)/2))/(LN(2)/2)*V37*Y37*VLOOKUP('Données projet'!$B$9,Paramètres!$A$1:$I$89,3,0)*0.475*44/12</f>
        <v>6.6512456828210338</v>
      </c>
      <c r="AC37" s="22">
        <f t="shared" si="3"/>
        <v>26.358187727895263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11</v>
      </c>
      <c r="AI37" s="13">
        <f>IF('Données projet'!$A$62&gt;35,AI36+AH37-AQ36,IF(A37&lt;'Données projet'!$A$62,$AF$205^A37,IF(A37='Données projet'!$A$62,'Données projet'!$B$62,AI36+AH37-AQ36)))</f>
        <v>137</v>
      </c>
      <c r="AJ37" s="13">
        <f>AI37*VLOOKUP('Données projet'!$B$10,Paramètres!$A$1:$I$89,3,0)*VLOOKUP('Données projet'!$B$10,Paramètres!$A$1:$I$89,5,0)</f>
        <v>123.9576</v>
      </c>
      <c r="AK37" s="13">
        <f t="shared" si="35"/>
        <v>32.59629414926458</v>
      </c>
      <c r="AL37" s="20">
        <f t="shared" si="4"/>
        <v>272.6646989766358</v>
      </c>
      <c r="AM37" s="59">
        <f t="shared" si="5"/>
        <v>565.99803230996918</v>
      </c>
      <c r="AN37" s="59">
        <f ca="1">AVERAGE(OFFSET($AM$3,0,0,'Données projet'!$E$10+1,1))-AVERAGE(OFFSET($H$3,0,0,'Données projet'!$E$10+1,1))</f>
        <v>318.40875902853116</v>
      </c>
      <c r="AO37" s="59">
        <f t="shared" si="36"/>
        <v>234.87694492493506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2.2251165134855517</v>
      </c>
      <c r="AV37" s="21">
        <f>EXP(-LN(2)/25)*AV36+(1-EXP(-LN(2)/25))/(LN(2)/25)*Calculateur!AQ37*Calculateur!AS37*VLOOKUP('Données projet'!$B$10,Paramètres!$A$1:$I$89,3,0)*0.475*44/12</f>
        <v>10.098405339183669</v>
      </c>
      <c r="AW37" s="21">
        <f>EXP(-LN(2)/2)*AW36+(1-EXP(-LN(2)/2))/(LN(2)/2)*AQ37*AT37*VLOOKUP('Données projet'!$B$10,Paramètres!$A$1:$I$89,3,0)*0.475*44/12</f>
        <v>5.3883341935266449</v>
      </c>
      <c r="AX37" s="21">
        <f t="shared" si="6"/>
        <v>17.711856046195866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26.8</v>
      </c>
      <c r="BD37" s="12">
        <f>IF('Données projet'!$A$88&gt;35,BD36+BC37-BL36,IF(A37&lt;'Données projet'!$A$88,$BA$205^A37,IF(A37='Données projet'!$A$88,'Données projet'!$B$88,BD36+BC37-BL36)))</f>
        <v>366.20000000000005</v>
      </c>
      <c r="BE37" s="13">
        <f>BD37*VLOOKUP('Données projet'!$B$11,Paramètres!$A$1:$I$89,3,0)*VLOOKUP('Données projet'!$B$11,Paramètres!$A$1:$I$89,5,0)</f>
        <v>204.70580000000001</v>
      </c>
      <c r="BF37" s="13">
        <f t="shared" si="37"/>
        <v>50.776956172604578</v>
      </c>
      <c r="BG37" s="20">
        <f t="shared" si="7"/>
        <v>444.96580033395298</v>
      </c>
      <c r="BH37" s="59">
        <f t="shared" si="8"/>
        <v>738.29913366728624</v>
      </c>
      <c r="BI37" s="59">
        <f ca="1">AVERAGE(OFFSET($BH$3,0,0,'Données projet'!$E$11+1,1))-AVERAGE(OFFSET($H$3,0,0,'Données projet'!$E$11+1,1))</f>
        <v>415.91544298418842</v>
      </c>
      <c r="BJ37" s="59">
        <f t="shared" si="38"/>
        <v>422.79312683312583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10.550121400147017</v>
      </c>
      <c r="BQ37" s="21">
        <f>EXP(-LN(2)/25)*BQ36+(1-EXP(-LN(2)/25))/(LN(2)/25)*Calculateur!BL37*Calculateur!BN37*VLOOKUP('Données projet'!$B$11,Paramètres!$A$1:$I$89,3,0)*0.475*44/12</f>
        <v>34.690643778427194</v>
      </c>
      <c r="BR37" s="21">
        <f>EXP(-LN(2)/2)*BR36+(1-EXP(-LN(2)/2))/(LN(2)/2)*BL37*BO37*VLOOKUP('Données projet'!$B$11,Paramètres!$A$1:$I$89,3,0)*0.475*44/12</f>
        <v>9.1179728387585239</v>
      </c>
      <c r="BS37" s="22">
        <f t="shared" si="9"/>
        <v>54.358738017332733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25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31.121999999999986</v>
      </c>
      <c r="D38" s="11">
        <f t="shared" si="32"/>
        <v>9.612282066778798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314.44007209443271</v>
      </c>
      <c r="H38" s="67">
        <f t="shared" si="1"/>
        <v>364.27887459963966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14.2</v>
      </c>
      <c r="N38" s="13">
        <f>IF('Données projet'!$A$36&gt;35,N37+M38-V37,IF(A38&lt;'Données projet'!$A$36,$K$205^A38,IF(A38='Données projet'!$A$36,'Données projet'!$B$36,N37+M38-V37)))</f>
        <v>233.99999999999989</v>
      </c>
      <c r="O38" s="13">
        <f>N38*VLOOKUP('Données projet'!$B$9,Paramètres!$A$1:$I$89,3,0)*VLOOKUP('Données projet'!$B$9,Paramètres!$A$1:$I$89,5,0)</f>
        <v>171.56879999999992</v>
      </c>
      <c r="P38" s="13">
        <f t="shared" si="33"/>
        <v>43.441194534014848</v>
      </c>
      <c r="Q38" s="20">
        <f t="shared" si="53"/>
        <v>374.47574048007573</v>
      </c>
      <c r="R38" s="59">
        <f t="shared" si="0"/>
        <v>667.80907381340899</v>
      </c>
      <c r="S38" s="59">
        <f ca="1">AVERAGE(OFFSET($R$3,0,0,'Données projet'!$E$9+1,1))-AVERAGE(OFFSET($H$3,0,0,'Données projet'!$E$9+1,1))</f>
        <v>284.62668108124626</v>
      </c>
      <c r="T38" s="59">
        <f t="shared" si="34"/>
        <v>333.70864452711021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2.6516306064990158</v>
      </c>
      <c r="AA38" s="21">
        <f>EXP(-LN(2)/25)*AA37+(1-EXP(-LN(2)/25))/(LN(2)/25)*Calculateur!V38*Calculateur!X38*VLOOKUP('Données projet'!$B$9,Paramètres!$A$1:$I$89,3,0)*0.475*44/12</f>
        <v>16.537346466932082</v>
      </c>
      <c r="AB38" s="21">
        <f>EXP(-LN(2)/2)*AB37+(1-EXP(-LN(2)/2))/(LN(2)/2)*V38*Y38*VLOOKUP('Données projet'!$B$9,Paramètres!$A$1:$I$89,3,0)*0.475*44/12</f>
        <v>4.7031409256605023</v>
      </c>
      <c r="AC38" s="22">
        <f t="shared" si="3"/>
        <v>23.8921179990916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11</v>
      </c>
      <c r="AI38" s="13">
        <f>IF('Données projet'!$A$62&gt;35,AI37+AH38-AQ37,IF(A38&lt;'Données projet'!$A$62,$AF$205^A38,IF(A38='Données projet'!$A$62,'Données projet'!$B$62,AI37+AH38-AQ37)))</f>
        <v>148</v>
      </c>
      <c r="AJ38" s="13">
        <f>AI38*VLOOKUP('Données projet'!$B$10,Paramètres!$A$1:$I$89,3,0)*VLOOKUP('Données projet'!$B$10,Paramètres!$A$1:$I$89,5,0)</f>
        <v>133.91039999999998</v>
      </c>
      <c r="AK38" s="13">
        <f t="shared" si="35"/>
        <v>34.898373535125089</v>
      </c>
      <c r="AL38" s="20">
        <f t="shared" si="4"/>
        <v>294.00861390700948</v>
      </c>
      <c r="AM38" s="59">
        <f t="shared" si="5"/>
        <v>587.34194724034273</v>
      </c>
      <c r="AN38" s="59">
        <f ca="1">AVERAGE(OFFSET($AM$3,0,0,'Données projet'!$E$10+1,1))-AVERAGE(OFFSET($H$3,0,0,'Données projet'!$E$10+1,1))</f>
        <v>318.40875902853116</v>
      </c>
      <c r="AO38" s="59">
        <f t="shared" si="36"/>
        <v>234.87694492493506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2.1814833358431622</v>
      </c>
      <c r="AV38" s="21">
        <f>EXP(-LN(2)/25)*AV37+(1-EXP(-LN(2)/25))/(LN(2)/25)*Calculateur!AQ38*Calculateur!AS38*VLOOKUP('Données projet'!$B$10,Paramètres!$A$1:$I$89,3,0)*0.475*44/12</f>
        <v>9.8222639141316357</v>
      </c>
      <c r="AW38" s="21">
        <f>EXP(-LN(2)/2)*AW37+(1-EXP(-LN(2)/2))/(LN(2)/2)*AQ38*AT38*VLOOKUP('Données projet'!$B$10,Paramètres!$A$1:$I$89,3,0)*0.475*44/12</f>
        <v>3.8101276475420374</v>
      </c>
      <c r="AX38" s="21">
        <f t="shared" si="6"/>
        <v>15.813874897516834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26.8</v>
      </c>
      <c r="BD38" s="12">
        <f>IF('Données projet'!$A$88&gt;35,BD37+BC38-BL37,IF(A38&lt;'Données projet'!$A$88,$BA$205^A38,IF(A38='Données projet'!$A$88,'Données projet'!$B$88,BD37+BC38-BL37)))</f>
        <v>393.00000000000006</v>
      </c>
      <c r="BE38" s="13">
        <f>BD38*VLOOKUP('Données projet'!$B$11,Paramètres!$A$1:$I$89,3,0)*VLOOKUP('Données projet'!$B$11,Paramètres!$A$1:$I$89,5,0)</f>
        <v>219.68700000000001</v>
      </c>
      <c r="BF38" s="13">
        <f t="shared" si="37"/>
        <v>54.046851081096591</v>
      </c>
      <c r="BG38" s="20">
        <f t="shared" si="7"/>
        <v>476.75312396624321</v>
      </c>
      <c r="BH38" s="59">
        <f t="shared" si="8"/>
        <v>770.08645729957652</v>
      </c>
      <c r="BI38" s="59">
        <f ca="1">AVERAGE(OFFSET($BH$3,0,0,'Données projet'!$E$11+1,1))-AVERAGE(OFFSET($H$3,0,0,'Données projet'!$E$11+1,1))</f>
        <v>415.91544298418842</v>
      </c>
      <c r="BJ38" s="59">
        <f t="shared" si="38"/>
        <v>422.79312683312583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10.343239954428791</v>
      </c>
      <c r="BQ38" s="21">
        <f>EXP(-LN(2)/25)*BQ37+(1-EXP(-LN(2)/25))/(LN(2)/25)*Calculateur!BL38*Calculateur!BN38*VLOOKUP('Données projet'!$B$11,Paramètres!$A$1:$I$89,3,0)*0.475*44/12</f>
        <v>33.742026300004433</v>
      </c>
      <c r="BR38" s="21">
        <f>EXP(-LN(2)/2)*BR37+(1-EXP(-LN(2)/2))/(LN(2)/2)*BL38*BO38*VLOOKUP('Données projet'!$B$11,Paramètres!$A$1:$I$89,3,0)*0.475*44/12</f>
        <v>6.4473804249609072</v>
      </c>
      <c r="BS38" s="22">
        <f t="shared" si="9"/>
        <v>50.532646679394126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25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32.011199999999988</v>
      </c>
      <c r="D39" s="11">
        <f t="shared" si="32"/>
        <v>9.8545516964045738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323.17422362136853</v>
      </c>
      <c r="H39" s="67">
        <f t="shared" si="1"/>
        <v>366.24951753790458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14.2</v>
      </c>
      <c r="N39" s="13">
        <f>IF('Données projet'!$A$36&gt;35,N38+M39-V38,IF(A39&lt;'Données projet'!$A$36,$K$205^A39,IF(A39='Données projet'!$A$36,'Données projet'!$B$36,N38+M39-V38)))</f>
        <v>248.19999999999987</v>
      </c>
      <c r="O39" s="13">
        <f>N39*VLOOKUP('Données projet'!$B$9,Paramètres!$A$1:$I$89,3,0)*VLOOKUP('Données projet'!$B$9,Paramètres!$A$1:$I$89,5,0)</f>
        <v>181.98023999999992</v>
      </c>
      <c r="P39" s="13">
        <f t="shared" si="33"/>
        <v>45.762472145848697</v>
      </c>
      <c r="Q39" s="20">
        <f t="shared" si="53"/>
        <v>396.65189032068633</v>
      </c>
      <c r="R39" s="59">
        <f t="shared" si="0"/>
        <v>689.98522365401959</v>
      </c>
      <c r="S39" s="59">
        <f ca="1">AVERAGE(OFFSET($R$3,0,0,'Données projet'!$E$9+1,1))-AVERAGE(OFFSET($H$3,0,0,'Données projet'!$E$9+1,1))</f>
        <v>284.62668108124626</v>
      </c>
      <c r="T39" s="59">
        <f t="shared" si="34"/>
        <v>333.70864452711021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2.5996337476405413</v>
      </c>
      <c r="AA39" s="21">
        <f>EXP(-LN(2)/25)*AA38+(1-EXP(-LN(2)/25))/(LN(2)/25)*Calculateur!V39*Calculateur!X39*VLOOKUP('Données projet'!$B$9,Paramètres!$A$1:$I$89,3,0)*0.475*44/12</f>
        <v>16.08513185813257</v>
      </c>
      <c r="AB39" s="21">
        <f>EXP(-LN(2)/2)*AB38+(1-EXP(-LN(2)/2))/(LN(2)/2)*V39*Y39*VLOOKUP('Données projet'!$B$9,Paramètres!$A$1:$I$89,3,0)*0.475*44/12</f>
        <v>3.3256228414105178</v>
      </c>
      <c r="AC39" s="22">
        <f t="shared" si="3"/>
        <v>22.01038844718363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11</v>
      </c>
      <c r="AI39" s="13">
        <f>IF('Données projet'!$A$62&gt;35,AI38+AH39-AQ38,IF(A39&lt;'Données projet'!$A$62,$AF$205^A39,IF(A39='Données projet'!$A$62,'Données projet'!$B$62,AI38+AH39-AQ38)))</f>
        <v>159</v>
      </c>
      <c r="AJ39" s="13">
        <f>AI39*VLOOKUP('Données projet'!$B$10,Paramètres!$A$1:$I$89,3,0)*VLOOKUP('Données projet'!$B$10,Paramètres!$A$1:$I$89,5,0)</f>
        <v>143.86320000000001</v>
      </c>
      <c r="AK39" s="13">
        <f t="shared" si="35"/>
        <v>37.180603445028773</v>
      </c>
      <c r="AL39" s="20">
        <f t="shared" si="4"/>
        <v>315.31795766675845</v>
      </c>
      <c r="AM39" s="59">
        <f t="shared" si="5"/>
        <v>608.65129100009176</v>
      </c>
      <c r="AN39" s="59">
        <f ca="1">AVERAGE(OFFSET($AM$3,0,0,'Données projet'!$E$10+1,1))-AVERAGE(OFFSET($H$3,0,0,'Données projet'!$E$10+1,1))</f>
        <v>318.40875902853116</v>
      </c>
      <c r="AO39" s="59">
        <f t="shared" si="36"/>
        <v>234.87694492493506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2.1387057782007295</v>
      </c>
      <c r="AV39" s="21">
        <f>EXP(-LN(2)/25)*AV38+(1-EXP(-LN(2)/25))/(LN(2)/25)*Calculateur!AQ39*Calculateur!AS39*VLOOKUP('Données projet'!$B$10,Paramètres!$A$1:$I$89,3,0)*0.475*44/12</f>
        <v>9.5536735908692965</v>
      </c>
      <c r="AW39" s="21">
        <f>EXP(-LN(2)/2)*AW38+(1-EXP(-LN(2)/2))/(LN(2)/2)*AQ39*AT39*VLOOKUP('Données projet'!$B$10,Paramètres!$A$1:$I$89,3,0)*0.475*44/12</f>
        <v>2.6941670967633229</v>
      </c>
      <c r="AX39" s="21">
        <f t="shared" si="6"/>
        <v>14.386546465833348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26.8</v>
      </c>
      <c r="BD39" s="12">
        <f>IF('Données projet'!$A$88&gt;35,BD38+BC39-BL38,IF(A39&lt;'Données projet'!$A$88,$BA$205^A39,IF(A39='Données projet'!$A$88,'Données projet'!$B$88,BD38+BC39-BL38)))</f>
        <v>419.80000000000007</v>
      </c>
      <c r="BE39" s="13">
        <f>BD39*VLOOKUP('Données projet'!$B$11,Paramètres!$A$1:$I$89,3,0)*VLOOKUP('Données projet'!$B$11,Paramètres!$A$1:$I$89,5,0)</f>
        <v>234.66820000000007</v>
      </c>
      <c r="BF39" s="13">
        <f t="shared" si="37"/>
        <v>57.290872093206247</v>
      </c>
      <c r="BG39" s="20">
        <f t="shared" si="7"/>
        <v>508.4953838956676</v>
      </c>
      <c r="BH39" s="59">
        <f t="shared" si="8"/>
        <v>801.82871722900086</v>
      </c>
      <c r="BI39" s="59">
        <f ca="1">AVERAGE(OFFSET($BH$3,0,0,'Données projet'!$E$11+1,1))-AVERAGE(OFFSET($H$3,0,0,'Données projet'!$E$11+1,1))</f>
        <v>415.91544298418842</v>
      </c>
      <c r="BJ39" s="59">
        <f t="shared" si="38"/>
        <v>422.79312683312583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10.140415327675877</v>
      </c>
      <c r="BQ39" s="21">
        <f>EXP(-LN(2)/25)*BQ38+(1-EXP(-LN(2)/25))/(LN(2)/25)*Calculateur!BL39*Calculateur!BN39*VLOOKUP('Données projet'!$B$11,Paramètres!$A$1:$I$89,3,0)*0.475*44/12</f>
        <v>32.819348816414767</v>
      </c>
      <c r="BR39" s="21">
        <f>EXP(-LN(2)/2)*BR38+(1-EXP(-LN(2)/2))/(LN(2)/2)*BL39*BO39*VLOOKUP('Données projet'!$B$11,Paramètres!$A$1:$I$89,3,0)*0.475*44/12</f>
        <v>4.558986419379262</v>
      </c>
      <c r="BS39" s="22">
        <f t="shared" si="9"/>
        <v>47.518750563469901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25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32.900399999999991</v>
      </c>
      <c r="D40" s="11">
        <f t="shared" si="32"/>
        <v>10.096039146303498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331.90233726971115</v>
      </c>
      <c r="H40" s="67">
        <f t="shared" si="1"/>
        <v>368.21879817981187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14.2</v>
      </c>
      <c r="N40" s="13">
        <f>IF('Données projet'!$A$36&gt;35,N39+M40-V39,IF(A40&lt;'Données projet'!$A$36,$K$205^A40,IF(A40='Données projet'!$A$36,'Données projet'!$B$36,N39+M40-V39)))</f>
        <v>262.39999999999986</v>
      </c>
      <c r="O40" s="13">
        <f>N40*VLOOKUP('Données projet'!$B$9,Paramètres!$A$1:$I$89,3,0)*VLOOKUP('Données projet'!$B$9,Paramètres!$A$1:$I$89,5,0)</f>
        <v>192.39167999999989</v>
      </c>
      <c r="P40" s="13">
        <f t="shared" si="33"/>
        <v>48.068333764993156</v>
      </c>
      <c r="Q40" s="20">
        <f t="shared" si="53"/>
        <v>418.80119064069623</v>
      </c>
      <c r="R40" s="59">
        <f t="shared" si="0"/>
        <v>712.13452397402955</v>
      </c>
      <c r="S40" s="59">
        <f ca="1">AVERAGE(OFFSET($R$3,0,0,'Données projet'!$E$9+1,1))-AVERAGE(OFFSET($H$3,0,0,'Données projet'!$E$9+1,1))</f>
        <v>284.62668108124626</v>
      </c>
      <c r="T40" s="59">
        <f t="shared" si="34"/>
        <v>333.70864452711021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2.5486565154693293</v>
      </c>
      <c r="AA40" s="21">
        <f>EXP(-LN(2)/25)*AA39+(1-EXP(-LN(2)/25))/(LN(2)/25)*Calculateur!V40*Calculateur!X40*VLOOKUP('Données projet'!$B$9,Paramètres!$A$1:$I$89,3,0)*0.475*44/12</f>
        <v>15.645283081591613</v>
      </c>
      <c r="AB40" s="21">
        <f>EXP(-LN(2)/2)*AB39+(1-EXP(-LN(2)/2))/(LN(2)/2)*V40*Y40*VLOOKUP('Données projet'!$B$9,Paramètres!$A$1:$I$89,3,0)*0.475*44/12</f>
        <v>2.3515704628302516</v>
      </c>
      <c r="AC40" s="22">
        <f t="shared" si="3"/>
        <v>20.545510059891196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11</v>
      </c>
      <c r="AI40" s="13">
        <f>IF('Données projet'!$A$62&gt;35,AI39+AH40-AQ39,IF(A40&lt;'Données projet'!$A$62,$AF$205^A40,IF(A40='Données projet'!$A$62,'Données projet'!$B$62,AI39+AH40-AQ39)))</f>
        <v>170</v>
      </c>
      <c r="AJ40" s="13">
        <f>AI40*VLOOKUP('Données projet'!$B$10,Paramètres!$A$1:$I$89,3,0)*VLOOKUP('Données projet'!$B$10,Paramètres!$A$1:$I$89,5,0)</f>
        <v>153.816</v>
      </c>
      <c r="AK40" s="13">
        <f t="shared" si="35"/>
        <v>39.444513325737063</v>
      </c>
      <c r="AL40" s="20">
        <f t="shared" si="4"/>
        <v>336.59539404232538</v>
      </c>
      <c r="AM40" s="59">
        <f t="shared" si="5"/>
        <v>629.9287273756587</v>
      </c>
      <c r="AN40" s="59">
        <f ca="1">AVERAGE(OFFSET($AM$3,0,0,'Données projet'!$E$10+1,1))-AVERAGE(OFFSET($H$3,0,0,'Données projet'!$E$10+1,1))</f>
        <v>318.40875902853116</v>
      </c>
      <c r="AO40" s="59">
        <f t="shared" si="36"/>
        <v>234.87694492493506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2.096767062371931</v>
      </c>
      <c r="AV40" s="21">
        <f>EXP(-LN(2)/25)*AV39+(1-EXP(-LN(2)/25))/(LN(2)/25)*Calculateur!AQ40*Calculateur!AS40*VLOOKUP('Données projet'!$B$10,Paramètres!$A$1:$I$89,3,0)*0.475*44/12</f>
        <v>9.2924278841211159</v>
      </c>
      <c r="AW40" s="21">
        <f>EXP(-LN(2)/2)*AW39+(1-EXP(-LN(2)/2))/(LN(2)/2)*AQ40*AT40*VLOOKUP('Données projet'!$B$10,Paramètres!$A$1:$I$89,3,0)*0.475*44/12</f>
        <v>1.9050638237710191</v>
      </c>
      <c r="AX40" s="21">
        <f t="shared" si="6"/>
        <v>13.294258770264067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26.8</v>
      </c>
      <c r="BD40" s="12">
        <f>IF('Données projet'!$A$88&gt;35,BD39+BC40-BL39,IF(A40&lt;'Données projet'!$A$88,$BA$205^A40,IF(A40='Données projet'!$A$88,'Données projet'!$B$88,BD39+BC40-BL39)))</f>
        <v>446.60000000000008</v>
      </c>
      <c r="BE40" s="13">
        <f>BD40*VLOOKUP('Données projet'!$B$11,Paramètres!$A$1:$I$89,3,0)*VLOOKUP('Données projet'!$B$11,Paramètres!$A$1:$I$89,5,0)</f>
        <v>249.64940000000007</v>
      </c>
      <c r="BF40" s="13">
        <f t="shared" si="37"/>
        <v>60.510859008247188</v>
      </c>
      <c r="BG40" s="20">
        <f t="shared" si="7"/>
        <v>540.19578443936393</v>
      </c>
      <c r="BH40" s="59">
        <f t="shared" si="8"/>
        <v>833.52911777269719</v>
      </c>
      <c r="BI40" s="59">
        <f ca="1">AVERAGE(OFFSET($BH$3,0,0,'Données projet'!$E$11+1,1))-AVERAGE(OFFSET($H$3,0,0,'Données projet'!$E$11+1,1))</f>
        <v>415.91544298418842</v>
      </c>
      <c r="BJ40" s="59">
        <f t="shared" si="38"/>
        <v>422.79312683312583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9.9415679681427811</v>
      </c>
      <c r="BQ40" s="21">
        <f>EXP(-LN(2)/25)*BQ39+(1-EXP(-LN(2)/25))/(LN(2)/25)*Calculateur!BL40*Calculateur!BN40*VLOOKUP('Données projet'!$B$11,Paramètres!$A$1:$I$89,3,0)*0.475*44/12</f>
        <v>31.921901997135361</v>
      </c>
      <c r="BR40" s="21">
        <f>EXP(-LN(2)/2)*BR39+(1-EXP(-LN(2)/2))/(LN(2)/2)*BL40*BO40*VLOOKUP('Données projet'!$B$11,Paramètres!$A$1:$I$89,3,0)*0.475*44/12</f>
        <v>3.2236902124804536</v>
      </c>
      <c r="BS40" s="22">
        <f t="shared" si="9"/>
        <v>45.087160177758598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25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33.789599999999993</v>
      </c>
      <c r="D41" s="11">
        <f t="shared" si="32"/>
        <v>10.336767985889495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340.62459497879604</v>
      </c>
      <c r="H41" s="67">
        <f t="shared" si="1"/>
        <v>370.18675757542417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14.2</v>
      </c>
      <c r="N41" s="13">
        <f>IF('Données projet'!$A$36&gt;35,N40+M41-V40,IF(A41&lt;'Données projet'!$A$36,$K$205^A41,IF(A41='Données projet'!$A$36,'Données projet'!$B$36,N40+M41-V40)))</f>
        <v>276.59999999999985</v>
      </c>
      <c r="O41" s="13">
        <f>N41*VLOOKUP('Données projet'!$B$9,Paramètres!$A$1:$I$89,3,0)*VLOOKUP('Données projet'!$B$9,Paramètres!$A$1:$I$89,5,0)</f>
        <v>202.80311999999989</v>
      </c>
      <c r="P41" s="13">
        <f t="shared" si="33"/>
        <v>50.359708751568157</v>
      </c>
      <c r="Q41" s="20">
        <f t="shared" si="53"/>
        <v>440.92526007564766</v>
      </c>
      <c r="R41" s="59">
        <f t="shared" si="0"/>
        <v>734.25859340898091</v>
      </c>
      <c r="S41" s="59">
        <f ca="1">AVERAGE(OFFSET($R$3,0,0,'Données projet'!$E$9+1,1))-AVERAGE(OFFSET($H$3,0,0,'Données projet'!$E$9+1,1))</f>
        <v>284.62668108124626</v>
      </c>
      <c r="T41" s="59">
        <f t="shared" si="34"/>
        <v>333.70864452711021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2.4986789157279534</v>
      </c>
      <c r="AA41" s="21">
        <f>EXP(-LN(2)/25)*AA40+(1-EXP(-LN(2)/25))/(LN(2)/25)*Calculateur!V41*Calculateur!X41*VLOOKUP('Données projet'!$B$9,Paramètres!$A$1:$I$89,3,0)*0.475*44/12</f>
        <v>15.21746199297581</v>
      </c>
      <c r="AB41" s="21">
        <f>EXP(-LN(2)/2)*AB40+(1-EXP(-LN(2)/2))/(LN(2)/2)*V41*Y41*VLOOKUP('Données projet'!$B$9,Paramètres!$A$1:$I$89,3,0)*0.475*44/12</f>
        <v>1.6628114207052591</v>
      </c>
      <c r="AC41" s="22">
        <f t="shared" si="3"/>
        <v>19.378952329409024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11</v>
      </c>
      <c r="AI41" s="13">
        <f>IF('Données projet'!$A$62&gt;35,AI40+AH41-AQ40,IF(A41&lt;'Données projet'!$A$62,$AF$205^A41,IF(A41='Données projet'!$A$62,'Données projet'!$B$62,AI40+AH41-AQ40)))</f>
        <v>181</v>
      </c>
      <c r="AJ41" s="13">
        <f>AI41*VLOOKUP('Données projet'!$B$10,Paramètres!$A$1:$I$89,3,0)*VLOOKUP('Données projet'!$B$10,Paramètres!$A$1:$I$89,5,0)</f>
        <v>163.7688</v>
      </c>
      <c r="AK41" s="13">
        <f t="shared" si="35"/>
        <v>41.691423503509803</v>
      </c>
      <c r="AL41" s="20">
        <f t="shared" si="4"/>
        <v>357.84322260194625</v>
      </c>
      <c r="AM41" s="59">
        <f t="shared" si="5"/>
        <v>651.17655593527957</v>
      </c>
      <c r="AN41" s="59">
        <f ca="1">AVERAGE(OFFSET($AM$3,0,0,'Données projet'!$E$10+1,1))-AVERAGE(OFFSET($H$3,0,0,'Données projet'!$E$10+1,1))</f>
        <v>318.40875902853116</v>
      </c>
      <c r="AO41" s="59">
        <f t="shared" si="36"/>
        <v>234.87694492493506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2.0556507391804444</v>
      </c>
      <c r="AV41" s="21">
        <f>EXP(-LN(2)/25)*AV40+(1-EXP(-LN(2)/25))/(LN(2)/25)*Calculateur!AQ41*Calculateur!AS41*VLOOKUP('Données projet'!$B$10,Paramètres!$A$1:$I$89,3,0)*0.475*44/12</f>
        <v>9.0383259549622803</v>
      </c>
      <c r="AW41" s="21">
        <f>EXP(-LN(2)/2)*AW40+(1-EXP(-LN(2)/2))/(LN(2)/2)*AQ41*AT41*VLOOKUP('Données projet'!$B$10,Paramètres!$A$1:$I$89,3,0)*0.475*44/12</f>
        <v>1.3470835483816617</v>
      </c>
      <c r="AX41" s="21">
        <f t="shared" si="6"/>
        <v>12.441060242524387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26.8</v>
      </c>
      <c r="BD41" s="12">
        <f>IF('Données projet'!$A$88&gt;35,BD40+BC41-BL40,IF(A41&lt;'Données projet'!$A$88,$BA$205^A41,IF(A41='Données projet'!$A$88,'Données projet'!$B$88,BD40+BC41-BL40)))</f>
        <v>473.40000000000009</v>
      </c>
      <c r="BE41" s="13">
        <f>BD41*VLOOKUP('Données projet'!$B$11,Paramètres!$A$1:$I$89,3,0)*VLOOKUP('Données projet'!$B$11,Paramètres!$A$1:$I$89,5,0)</f>
        <v>264.63060000000007</v>
      </c>
      <c r="BF41" s="13">
        <f t="shared" si="37"/>
        <v>63.708418341323984</v>
      </c>
      <c r="BG41" s="20">
        <f t="shared" si="7"/>
        <v>571.8571236111394</v>
      </c>
      <c r="BH41" s="59">
        <f t="shared" si="8"/>
        <v>865.19045694447277</v>
      </c>
      <c r="BI41" s="59">
        <f ca="1">AVERAGE(OFFSET($BH$3,0,0,'Données projet'!$E$11+1,1))-AVERAGE(OFFSET($H$3,0,0,'Données projet'!$E$11+1,1))</f>
        <v>415.91544298418842</v>
      </c>
      <c r="BJ41" s="59">
        <f t="shared" si="38"/>
        <v>422.79312683312583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9.7466198840452147</v>
      </c>
      <c r="BQ41" s="21">
        <f>EXP(-LN(2)/25)*BQ40+(1-EXP(-LN(2)/25))/(LN(2)/25)*Calculateur!BL41*Calculateur!BN41*VLOOKUP('Données projet'!$B$11,Paramètres!$A$1:$I$89,3,0)*0.475*44/12</f>
        <v>31.048995908323828</v>
      </c>
      <c r="BR41" s="21">
        <f>EXP(-LN(2)/2)*BR40+(1-EXP(-LN(2)/2))/(LN(2)/2)*BL41*BO41*VLOOKUP('Données projet'!$B$11,Paramètres!$A$1:$I$89,3,0)*0.475*44/12</f>
        <v>2.279493209689631</v>
      </c>
      <c r="BS41" s="22">
        <f t="shared" si="9"/>
        <v>43.075109002058674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25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34.678799999999995</v>
      </c>
      <c r="D42" s="11">
        <f t="shared" si="32"/>
        <v>10.576760473435781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349.34116856687268</v>
      </c>
      <c r="H42" s="67">
        <f t="shared" si="1"/>
        <v>372.15343449123395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14.2</v>
      </c>
      <c r="N42" s="13">
        <f>IF('Données projet'!$A$36&gt;35,N41+M42-V41,IF(A42&lt;'Données projet'!$A$36,$K$205^A42,IF(A42='Données projet'!$A$36,'Données projet'!$B$36,N41+M42-V41)))</f>
        <v>290.79999999999984</v>
      </c>
      <c r="O42" s="13">
        <f>N42*VLOOKUP('Données projet'!$B$9,Paramètres!$A$1:$I$89,3,0)*VLOOKUP('Données projet'!$B$9,Paramètres!$A$1:$I$89,5,0)</f>
        <v>213.21455999999989</v>
      </c>
      <c r="P42" s="13">
        <f t="shared" si="33"/>
        <v>52.637425653537463</v>
      </c>
      <c r="Q42" s="20">
        <f t="shared" si="53"/>
        <v>463.02554167991076</v>
      </c>
      <c r="R42" s="59">
        <f t="shared" si="0"/>
        <v>756.35887501324407</v>
      </c>
      <c r="S42" s="59">
        <f ca="1">AVERAGE(OFFSET($R$3,0,0,'Données projet'!$E$9+1,1))-AVERAGE(OFFSET($H$3,0,0,'Données projet'!$E$9+1,1))</f>
        <v>284.62668108124626</v>
      </c>
      <c r="T42" s="59">
        <f t="shared" si="34"/>
        <v>333.70864452711021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2.44968134623418</v>
      </c>
      <c r="AA42" s="21">
        <f>EXP(-LN(2)/25)*AA41+(1-EXP(-LN(2)/25))/(LN(2)/25)*Calculateur!V42*Calculateur!X42*VLOOKUP('Données projet'!$B$9,Paramètres!$A$1:$I$89,3,0)*0.475*44/12</f>
        <v>14.801339694526341</v>
      </c>
      <c r="AB42" s="21">
        <f>EXP(-LN(2)/2)*AB41+(1-EXP(-LN(2)/2))/(LN(2)/2)*V42*Y42*VLOOKUP('Données projet'!$B$9,Paramètres!$A$1:$I$89,3,0)*0.475*44/12</f>
        <v>1.175785231415126</v>
      </c>
      <c r="AC42" s="22">
        <f t="shared" si="3"/>
        <v>18.426806272175646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11</v>
      </c>
      <c r="AI42" s="13">
        <f>IF('Données projet'!$A$62&gt;35,AI41+AH42-AQ41,IF(A42&lt;'Données projet'!$A$62,$AF$205^A42,IF(A42='Données projet'!$A$62,'Données projet'!$B$62,AI41+AH42-AQ41)))</f>
        <v>192</v>
      </c>
      <c r="AJ42" s="13">
        <f>AI42*VLOOKUP('Données projet'!$B$10,Paramètres!$A$1:$I$89,3,0)*VLOOKUP('Données projet'!$B$10,Paramètres!$A$1:$I$89,5,0)</f>
        <v>173.7216</v>
      </c>
      <c r="AK42" s="13">
        <f t="shared" si="35"/>
        <v>43.922484755075111</v>
      </c>
      <c r="AL42" s="20">
        <f t="shared" si="4"/>
        <v>379.06344761508916</v>
      </c>
      <c r="AM42" s="59">
        <f t="shared" si="5"/>
        <v>672.39678094842247</v>
      </c>
      <c r="AN42" s="59">
        <f ca="1">AVERAGE(OFFSET($AM$3,0,0,'Données projet'!$E$10+1,1))-AVERAGE(OFFSET($H$3,0,0,'Données projet'!$E$10+1,1))</f>
        <v>318.40875902853116</v>
      </c>
      <c r="AO42" s="59">
        <f t="shared" si="36"/>
        <v>234.87694492493506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2.015340682008262</v>
      </c>
      <c r="AV42" s="21">
        <f>EXP(-LN(2)/25)*AV41+(1-EXP(-LN(2)/25))/(LN(2)/25)*Calculateur!AQ42*Calculateur!AS42*VLOOKUP('Données projet'!$B$10,Paramètres!$A$1:$I$89,3,0)*0.475*44/12</f>
        <v>8.7911724564189324</v>
      </c>
      <c r="AW42" s="21">
        <f>EXP(-LN(2)/2)*AW41+(1-EXP(-LN(2)/2))/(LN(2)/2)*AQ42*AT42*VLOOKUP('Données projet'!$B$10,Paramètres!$A$1:$I$89,3,0)*0.475*44/12</f>
        <v>0.95253191188550967</v>
      </c>
      <c r="AX42" s="21">
        <f t="shared" si="6"/>
        <v>11.759045050312704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26.8</v>
      </c>
      <c r="BD42" s="12">
        <f>IF('Données projet'!$A$88&gt;35,BD41+BC42-BL41,IF(A42&lt;'Données projet'!$A$88,$BA$205^A42,IF(A42='Données projet'!$A$88,'Données projet'!$B$88,BD41+BC42-BL41)))</f>
        <v>500.2000000000001</v>
      </c>
      <c r="BE42" s="13">
        <f>BD42*VLOOKUP('Données projet'!$B$11,Paramètres!$A$1:$I$89,3,0)*VLOOKUP('Données projet'!$B$11,Paramètres!$A$1:$I$89,5,0)</f>
        <v>279.61180000000007</v>
      </c>
      <c r="BF42" s="13">
        <f t="shared" si="37"/>
        <v>66.884964438617615</v>
      </c>
      <c r="BG42" s="20">
        <f t="shared" si="7"/>
        <v>603.48186473059241</v>
      </c>
      <c r="BH42" s="59">
        <f t="shared" si="8"/>
        <v>896.81519806392566</v>
      </c>
      <c r="BI42" s="59">
        <f ca="1">AVERAGE(OFFSET($BH$3,0,0,'Données projet'!$E$11+1,1))-AVERAGE(OFFSET($H$3,0,0,'Données projet'!$E$11+1,1))</f>
        <v>415.91544298418842</v>
      </c>
      <c r="BJ42" s="59">
        <f t="shared" si="38"/>
        <v>422.79312683312583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9.5554946129702127</v>
      </c>
      <c r="BQ42" s="21">
        <f>EXP(-LN(2)/25)*BQ41+(1-EXP(-LN(2)/25))/(LN(2)/25)*Calculateur!BL42*Calculateur!BN42*VLOOKUP('Données projet'!$B$11,Paramètres!$A$1:$I$89,3,0)*0.475*44/12</f>
        <v>30.199959482414982</v>
      </c>
      <c r="BR42" s="21">
        <f>EXP(-LN(2)/2)*BR41+(1-EXP(-LN(2)/2))/(LN(2)/2)*BL42*BO42*VLOOKUP('Données projet'!$B$11,Paramètres!$A$1:$I$89,3,0)*0.475*44/12</f>
        <v>1.6118451062402268</v>
      </c>
      <c r="BS42" s="22">
        <f t="shared" si="9"/>
        <v>41.367299201625421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25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35.567999999999998</v>
      </c>
      <c r="D43" s="11">
        <f t="shared" si="32"/>
        <v>10.816037660735208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358.0522205390086</v>
      </c>
      <c r="H43" s="67">
        <f t="shared" si="1"/>
        <v>374.11886559244715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>
        <f>VLOOKUP(A43,'Données projet'!$A$35:$I$55,2,0)</f>
        <v>305</v>
      </c>
      <c r="L43" s="12">
        <f>VLOOKUP(A43,'Données projet'!$A$35:$I$55,9,0)</f>
        <v>14.2</v>
      </c>
      <c r="M43" s="12">
        <f t="array" ref="M43">INDEX(L:L,MIN(IF(ISNUMBER(L43:L239),ROW(L43:L239),"")))</f>
        <v>14.2</v>
      </c>
      <c r="N43" s="13">
        <f>IF('Données projet'!$A$36&gt;35,N42+M43-V42,IF(A43&lt;'Données projet'!$A$36,$K$205^A43,IF(A43='Données projet'!$A$36,'Données projet'!$B$36,N42+M43-V42)))</f>
        <v>304.99999999999983</v>
      </c>
      <c r="O43" s="13">
        <f>N43*VLOOKUP('Données projet'!$B$9,Paramètres!$A$1:$I$89,3,0)*VLOOKUP('Données projet'!$B$9,Paramètres!$A$1:$I$89,5,0)</f>
        <v>223.62599999999986</v>
      </c>
      <c r="P43" s="13">
        <f t="shared" si="33"/>
        <v>54.902227529974901</v>
      </c>
      <c r="Q43" s="20">
        <f t="shared" si="53"/>
        <v>485.10332961470596</v>
      </c>
      <c r="R43" s="59">
        <f t="shared" si="0"/>
        <v>778.43666294803927</v>
      </c>
      <c r="S43" s="59">
        <f ca="1">AVERAGE(OFFSET($R$3,0,0,'Données projet'!$E$9+1,1))-AVERAGE(OFFSET($H$3,0,0,'Données projet'!$E$9+1,1))</f>
        <v>284.62668108124626</v>
      </c>
      <c r="T43" s="59">
        <f t="shared" si="34"/>
        <v>333.70864452711021</v>
      </c>
      <c r="U43" s="15">
        <f>IF(ISNA(VLOOKUP(A43,'Données projet'!$A$35:$I$55,3,0)),0,VLOOKUP(A43,'Données projet'!$A$35:$I$55,3,0))</f>
        <v>4</v>
      </c>
      <c r="V43" s="15">
        <f>IF(ISNA(VLOOKUP(A43,'Données projet'!$A$35:$I$55,4,0)),0,VLOOKUP(A43,'Données projet'!$A$35:$I$55,4,0))</f>
        <v>82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2.401644589192613</v>
      </c>
      <c r="AA43" s="21">
        <f>EXP(-LN(2)/25)*AA42+(1-EXP(-LN(2)/25))/(LN(2)/25)*Calculateur!V43*Calculateur!X43*VLOOKUP('Données projet'!$B$9,Paramètres!$A$1:$I$89,3,0)*0.475*44/12</f>
        <v>14.396596282210892</v>
      </c>
      <c r="AB43" s="21">
        <f>EXP(-LN(2)/2)*AB42+(1-EXP(-LN(2)/2))/(LN(2)/2)*V43*Y43*VLOOKUP('Données projet'!$B$9,Paramètres!$A$1:$I$89,3,0)*0.475*44/12</f>
        <v>0.83140571035262978</v>
      </c>
      <c r="AC43" s="22">
        <f t="shared" si="3"/>
        <v>17.629646581756134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>
        <f>VLOOKUP(A43,'Données projet'!$A$61:$I$81,2,0)</f>
        <v>203</v>
      </c>
      <c r="AG43" s="12">
        <f>VLOOKUP(A43,'Données projet'!$A$61:$I$81,9,0)</f>
        <v>11</v>
      </c>
      <c r="AH43" s="12">
        <f t="array" ref="AH43">INDEX(AG:AG,MIN(IF(ISNUMBER(AG43:AG239),ROW(AG43:AG239),"")))</f>
        <v>11</v>
      </c>
      <c r="AI43" s="13">
        <f>IF('Données projet'!$A$62&gt;35,AI42+AH43-AQ42,IF(A43&lt;'Données projet'!$A$62,$AF$205^A43,IF(A43='Données projet'!$A$62,'Données projet'!$B$62,AI42+AH43-AQ42)))</f>
        <v>203</v>
      </c>
      <c r="AJ43" s="13">
        <f>AI43*VLOOKUP('Données projet'!$B$10,Paramètres!$A$1:$I$89,3,0)*VLOOKUP('Données projet'!$B$10,Paramètres!$A$1:$I$89,5,0)</f>
        <v>183.67439999999999</v>
      </c>
      <c r="AK43" s="13">
        <f t="shared" si="35"/>
        <v>46.138708549418673</v>
      </c>
      <c r="AL43" s="20">
        <f t="shared" si="4"/>
        <v>400.25783072357081</v>
      </c>
      <c r="AM43" s="59">
        <f t="shared" si="5"/>
        <v>693.59116405690406</v>
      </c>
      <c r="AN43" s="59">
        <f ca="1">AVERAGE(OFFSET($AM$3,0,0,'Données projet'!$E$10+1,1))-AVERAGE(OFFSET($H$3,0,0,'Données projet'!$E$10+1,1))</f>
        <v>318.40875902853116</v>
      </c>
      <c r="AO43" s="59">
        <f t="shared" si="36"/>
        <v>234.87694492493506</v>
      </c>
      <c r="AP43" s="15">
        <f>IF(ISNA(VLOOKUP(A43,'Données projet'!$A$61:$I$81,3,0)),0,VLOOKUP(A43,'Données projet'!$A$61:$I$81,3,0))</f>
        <v>3</v>
      </c>
      <c r="AQ43" s="15">
        <f>IF(ISNA(VLOOKUP(A43,'Données projet'!$A$61:$I$81,4,0)),0,VLOOKUP(A43,'Données projet'!$A$61:$I$81,4,0))</f>
        <v>56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1.975821080470519</v>
      </c>
      <c r="AV43" s="21">
        <f>EXP(-LN(2)/25)*AV42+(1-EXP(-LN(2)/25))/(LN(2)/25)*Calculateur!AQ43*Calculateur!AS43*VLOOKUP('Données projet'!$B$10,Paramètres!$A$1:$I$89,3,0)*0.475*44/12</f>
        <v>8.5507773832904892</v>
      </c>
      <c r="AW43" s="21">
        <f>EXP(-LN(2)/2)*AW42+(1-EXP(-LN(2)/2))/(LN(2)/2)*AQ43*AT43*VLOOKUP('Données projet'!$B$10,Paramètres!$A$1:$I$89,3,0)*0.475*44/12</f>
        <v>0.67354177419083094</v>
      </c>
      <c r="AX43" s="21">
        <f t="shared" si="6"/>
        <v>11.200140237951839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>
        <f>VLOOKUP(A43,'Données projet'!$A$87:$I$107,2,0)</f>
        <v>527</v>
      </c>
      <c r="BB43" s="12">
        <f>VLOOKUP(A43,'Données projet'!$A$87:$I$107,9,0)</f>
        <v>26.8</v>
      </c>
      <c r="BC43" s="12">
        <f t="array" ref="BC43">INDEX(BB:BB,MIN(IF(ISNUMBER(BB43:BB239),ROW(BB43:BB239),"")))</f>
        <v>26.8</v>
      </c>
      <c r="BD43" s="12">
        <f>IF('Données projet'!$A$88&gt;35,BD42+BC43-BL42,IF(A43&lt;'Données projet'!$A$88,$BA$205^A43,IF(A43='Données projet'!$A$88,'Données projet'!$B$88,BD42+BC43-BL42)))</f>
        <v>527.00000000000011</v>
      </c>
      <c r="BE43" s="13">
        <f>BD43*VLOOKUP('Données projet'!$B$11,Paramètres!$A$1:$I$89,3,0)*VLOOKUP('Données projet'!$B$11,Paramètres!$A$1:$I$89,5,0)</f>
        <v>294.59300000000007</v>
      </c>
      <c r="BF43" s="13">
        <f t="shared" si="37"/>
        <v>70.041751529321004</v>
      </c>
      <c r="BG43" s="20">
        <f t="shared" si="7"/>
        <v>635.07219224690084</v>
      </c>
      <c r="BH43" s="59">
        <f t="shared" si="8"/>
        <v>928.4055255802341</v>
      </c>
      <c r="BI43" s="59">
        <f ca="1">AVERAGE(OFFSET($BH$3,0,0,'Données projet'!$E$11+1,1))-AVERAGE(OFFSET($H$3,0,0,'Données projet'!$E$11+1,1))</f>
        <v>415.91544298418842</v>
      </c>
      <c r="BJ43" s="59">
        <f t="shared" si="38"/>
        <v>422.79312683312583</v>
      </c>
      <c r="BK43" s="15">
        <f>IF(ISNA(VLOOKUP(A43,'Données projet'!$A$87:$I$107,3,0)),0,VLOOKUP(A43,'Données projet'!$A$87:$I$107,3,0))</f>
        <v>3</v>
      </c>
      <c r="BL43" s="15">
        <f>IF(ISNA(VLOOKUP(A43,'Données projet'!$A$87:$I$107,4,0)),0,VLOOKUP(A43,'Données projet'!$A$87:$I$107,4,0))</f>
        <v>140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9.3681171918860855</v>
      </c>
      <c r="BQ43" s="21">
        <f>EXP(-LN(2)/25)*BQ42+(1-EXP(-LN(2)/25))/(LN(2)/25)*Calculateur!BL43*Calculateur!BN43*VLOOKUP('Données projet'!$B$11,Paramètres!$A$1:$I$89,3,0)*0.475*44/12</f>
        <v>29.374140002221498</v>
      </c>
      <c r="BR43" s="21">
        <f>EXP(-LN(2)/2)*BR42+(1-EXP(-LN(2)/2))/(LN(2)/2)*BL43*BO43*VLOOKUP('Données projet'!$B$11,Paramètres!$A$1:$I$89,3,0)*0.475*44/12</f>
        <v>1.1397466048448155</v>
      </c>
      <c r="BS43" s="22">
        <f t="shared" si="9"/>
        <v>39.882003798952397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25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36.4572</v>
      </c>
      <c r="D44" s="11">
        <f t="shared" si="32"/>
        <v>11.054619486999963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366.75790481192956</v>
      </c>
      <c r="H44" s="67">
        <f t="shared" si="1"/>
        <v>376.08308560652495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10.6</v>
      </c>
      <c r="N44" s="13">
        <f>IF('Données projet'!$A$36&gt;35,N43+M44-V43,IF(A44&lt;'Données projet'!$A$36,$K$205^A44,IF(A44='Données projet'!$A$36,'Données projet'!$B$36,N43+M44-V43)))</f>
        <v>233.59999999999985</v>
      </c>
      <c r="O44" s="13">
        <f>N44*VLOOKUP('Données projet'!$B$9,Paramètres!$A$1:$I$89,3,0)*VLOOKUP('Données projet'!$B$9,Paramètres!$A$1:$I$89,5,0)</f>
        <v>171.27551999999989</v>
      </c>
      <c r="P44" s="13">
        <f t="shared" si="33"/>
        <v>43.375573233670899</v>
      </c>
      <c r="Q44" s="20">
        <f t="shared" si="53"/>
        <v>373.85065404864326</v>
      </c>
      <c r="R44" s="59">
        <f t="shared" si="0"/>
        <v>667.18398738197652</v>
      </c>
      <c r="S44" s="59">
        <f ca="1">AVERAGE(OFFSET($R$3,0,0,'Données projet'!$E$9+1,1))-AVERAGE(OFFSET($H$3,0,0,'Données projet'!$E$9+1,1))</f>
        <v>284.62668108124626</v>
      </c>
      <c r="T44" s="59">
        <f t="shared" si="34"/>
        <v>333.70864452711021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2.3545498036571026</v>
      </c>
      <c r="AA44" s="21">
        <f>EXP(-LN(2)/25)*AA43+(1-EXP(-LN(2)/25))/(LN(2)/25)*Calculateur!V44*Calculateur!X44*VLOOKUP('Données projet'!$B$9,Paramètres!$A$1:$I$89,3,0)*0.475*44/12</f>
        <v>14.002920599789741</v>
      </c>
      <c r="AB44" s="21">
        <f>EXP(-LN(2)/2)*AB43+(1-EXP(-LN(2)/2))/(LN(2)/2)*V44*Y44*VLOOKUP('Données projet'!$B$9,Paramètres!$A$1:$I$89,3,0)*0.475*44/12</f>
        <v>0.58789261570756313</v>
      </c>
      <c r="AC44" s="22">
        <f t="shared" si="3"/>
        <v>16.945363019154406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11.2</v>
      </c>
      <c r="AI44" s="13">
        <f>IF('Données projet'!$A$62&gt;35,AI43+AH44-AQ43,IF(A44&lt;'Données projet'!$A$62,$AF$205^A44,IF(A44='Données projet'!$A$62,'Données projet'!$B$62,AI43+AH44-AQ43)))</f>
        <v>158.19999999999999</v>
      </c>
      <c r="AJ44" s="13">
        <f>AI44*VLOOKUP('Données projet'!$B$10,Paramètres!$A$1:$I$89,3,0)*VLOOKUP('Données projet'!$B$10,Paramètres!$A$1:$I$89,5,0)</f>
        <v>143.13935999999998</v>
      </c>
      <c r="AK44" s="13">
        <f t="shared" si="35"/>
        <v>37.015257937854066</v>
      </c>
      <c r="AL44" s="20">
        <f t="shared" si="4"/>
        <v>313.76929290842912</v>
      </c>
      <c r="AM44" s="59">
        <f t="shared" si="5"/>
        <v>607.10262624176244</v>
      </c>
      <c r="AN44" s="59">
        <f ca="1">AVERAGE(OFFSET($AM$3,0,0,'Données projet'!$E$10+1,1))-AVERAGE(OFFSET($H$3,0,0,'Données projet'!$E$10+1,1))</f>
        <v>318.40875902853116</v>
      </c>
      <c r="AO44" s="59">
        <f t="shared" si="36"/>
        <v>234.87694492493506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1.9370764342143543</v>
      </c>
      <c r="AV44" s="21">
        <f>EXP(-LN(2)/25)*AV43+(1-EXP(-LN(2)/25))/(LN(2)/25)*Calculateur!AQ44*Calculateur!AS44*VLOOKUP('Données projet'!$B$10,Paramètres!$A$1:$I$89,3,0)*0.475*44/12</f>
        <v>8.3169559260785704</v>
      </c>
      <c r="AW44" s="21">
        <f>EXP(-LN(2)/2)*AW43+(1-EXP(-LN(2)/2))/(LN(2)/2)*AQ44*AT44*VLOOKUP('Données projet'!$B$10,Paramètres!$A$1:$I$89,3,0)*0.475*44/12</f>
        <v>0.47626595594275495</v>
      </c>
      <c r="AX44" s="21">
        <f t="shared" si="6"/>
        <v>10.730298316235681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22.8</v>
      </c>
      <c r="BD44" s="12">
        <f>IF('Données projet'!$A$88&gt;35,BD43+BC44-BL43,IF(A44&lt;'Données projet'!$A$88,$BA$205^A44,IF(A44='Données projet'!$A$88,'Données projet'!$B$88,BD43+BC44-BL43)))</f>
        <v>409.80000000000007</v>
      </c>
      <c r="BE44" s="13">
        <f>BD44*VLOOKUP('Données projet'!$B$11,Paramètres!$A$1:$I$89,3,0)*VLOOKUP('Données projet'!$B$11,Paramètres!$A$1:$I$89,5,0)</f>
        <v>229.07820000000004</v>
      </c>
      <c r="BF44" s="13">
        <f t="shared" si="37"/>
        <v>56.083320258718402</v>
      </c>
      <c r="BG44" s="20">
        <f t="shared" si="7"/>
        <v>496.65631445060126</v>
      </c>
      <c r="BH44" s="59">
        <f t="shared" si="8"/>
        <v>789.98964778393452</v>
      </c>
      <c r="BI44" s="59">
        <f ca="1">AVERAGE(OFFSET($BH$3,0,0,'Données projet'!$E$11+1,1))-AVERAGE(OFFSET($H$3,0,0,'Données projet'!$E$11+1,1))</f>
        <v>415.91544298418842</v>
      </c>
      <c r="BJ44" s="59">
        <f t="shared" si="38"/>
        <v>422.79312683312583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9.1844141277404763</v>
      </c>
      <c r="BQ44" s="21">
        <f>EXP(-LN(2)/25)*BQ43+(1-EXP(-LN(2)/25))/(LN(2)/25)*Calculateur!BL44*Calculateur!BN44*VLOOKUP('Données projet'!$B$11,Paramètres!$A$1:$I$89,3,0)*0.475*44/12</f>
        <v>28.570902599141863</v>
      </c>
      <c r="BR44" s="21">
        <f>EXP(-LN(2)/2)*BR43+(1-EXP(-LN(2)/2))/(LN(2)/2)*BL44*BO44*VLOOKUP('Données projet'!$B$11,Paramètres!$A$1:$I$89,3,0)*0.475*44/12</f>
        <v>0.80592255312011341</v>
      </c>
      <c r="BS44" s="22">
        <f t="shared" si="9"/>
        <v>38.561239280002454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25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37.346400000000003</v>
      </c>
      <c r="D45" s="11">
        <f t="shared" si="32"/>
        <v>11.292524863342397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375.45836736615183</v>
      </c>
      <c r="H45" s="67">
        <f t="shared" si="1"/>
        <v>378.04612747032132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10.6</v>
      </c>
      <c r="N45" s="13">
        <f>IF('Données projet'!$A$36&gt;35,N44+M45-V44,IF(A45&lt;'Données projet'!$A$36,$K$205^A45,IF(A45='Données projet'!$A$36,'Données projet'!$B$36,N44+M45-V44)))</f>
        <v>244.19999999999985</v>
      </c>
      <c r="O45" s="13">
        <f>N45*VLOOKUP('Données projet'!$B$9,Paramètres!$A$1:$I$89,3,0)*VLOOKUP('Données projet'!$B$9,Paramètres!$A$1:$I$89,5,0)</f>
        <v>179.04743999999988</v>
      </c>
      <c r="P45" s="13">
        <f t="shared" si="33"/>
        <v>45.110193715192139</v>
      </c>
      <c r="Q45" s="20">
        <f t="shared" si="53"/>
        <v>390.40787872062606</v>
      </c>
      <c r="R45" s="59">
        <f t="shared" si="0"/>
        <v>683.74121205395932</v>
      </c>
      <c r="S45" s="59">
        <f ca="1">AVERAGE(OFFSET($R$3,0,0,'Données projet'!$E$9+1,1))-AVERAGE(OFFSET($H$3,0,0,'Données projet'!$E$9+1,1))</f>
        <v>284.62668108124626</v>
      </c>
      <c r="T45" s="59">
        <f t="shared" si="34"/>
        <v>333.70864452711021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2.3083785181409606</v>
      </c>
      <c r="AA45" s="21">
        <f>EXP(-LN(2)/25)*AA44+(1-EXP(-LN(2)/25))/(LN(2)/25)*Calculateur!V45*Calculateur!X45*VLOOKUP('Données projet'!$B$9,Paramètres!$A$1:$I$89,3,0)*0.475*44/12</f>
        <v>13.6200099996069</v>
      </c>
      <c r="AB45" s="21">
        <f>EXP(-LN(2)/2)*AB44+(1-EXP(-LN(2)/2))/(LN(2)/2)*V45*Y45*VLOOKUP('Données projet'!$B$9,Paramètres!$A$1:$I$89,3,0)*0.475*44/12</f>
        <v>0.41570285517631494</v>
      </c>
      <c r="AC45" s="22">
        <f t="shared" si="3"/>
        <v>16.344091372924176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11.2</v>
      </c>
      <c r="AI45" s="13">
        <f>IF('Données projet'!$A$62&gt;35,AI44+AH45-AQ44,IF(A45&lt;'Données projet'!$A$62,$AF$205^A45,IF(A45='Données projet'!$A$62,'Données projet'!$B$62,AI44+AH45-AQ44)))</f>
        <v>169.39999999999998</v>
      </c>
      <c r="AJ45" s="13">
        <f>AI45*VLOOKUP('Données projet'!$B$10,Paramètres!$A$1:$I$89,3,0)*VLOOKUP('Données projet'!$B$10,Paramètres!$A$1:$I$89,5,0)</f>
        <v>153.27311999999998</v>
      </c>
      <c r="AK45" s="13">
        <f t="shared" si="35"/>
        <v>39.321476829336504</v>
      </c>
      <c r="AL45" s="20">
        <f t="shared" si="4"/>
        <v>335.43558947776097</v>
      </c>
      <c r="AM45" s="59">
        <f t="shared" si="5"/>
        <v>628.76892281109428</v>
      </c>
      <c r="AN45" s="59">
        <f ca="1">AVERAGE(OFFSET($AM$3,0,0,'Données projet'!$E$10+1,1))-AVERAGE(OFFSET($H$3,0,0,'Données projet'!$E$10+1,1))</f>
        <v>318.40875902853116</v>
      </c>
      <c r="AO45" s="59">
        <f t="shared" si="36"/>
        <v>234.87694492493506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1.8990915468393723</v>
      </c>
      <c r="AV45" s="21">
        <f>EXP(-LN(2)/25)*AV44+(1-EXP(-LN(2)/25))/(LN(2)/25)*Calculateur!AQ45*Calculateur!AS45*VLOOKUP('Données projet'!$B$10,Paramètres!$A$1:$I$89,3,0)*0.475*44/12</f>
        <v>8.089528328910248</v>
      </c>
      <c r="AW45" s="21">
        <f>EXP(-LN(2)/2)*AW44+(1-EXP(-LN(2)/2))/(LN(2)/2)*AQ45*AT45*VLOOKUP('Données projet'!$B$10,Paramètres!$A$1:$I$89,3,0)*0.475*44/12</f>
        <v>0.33677088709541553</v>
      </c>
      <c r="AX45" s="21">
        <f t="shared" si="6"/>
        <v>10.325390762845036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22.8</v>
      </c>
      <c r="BD45" s="12">
        <f>IF('Données projet'!$A$88&gt;35,BD44+BC45-BL44,IF(A45&lt;'Données projet'!$A$88,$BA$205^A45,IF(A45='Données projet'!$A$88,'Données projet'!$B$88,BD44+BC45-BL44)))</f>
        <v>432.60000000000008</v>
      </c>
      <c r="BE45" s="13">
        <f>BD45*VLOOKUP('Données projet'!$B$11,Paramètres!$A$1:$I$89,3,0)*VLOOKUP('Données projet'!$B$11,Paramètres!$A$1:$I$89,5,0)</f>
        <v>241.82340000000005</v>
      </c>
      <c r="BF45" s="13">
        <f t="shared" si="37"/>
        <v>58.831670892221915</v>
      </c>
      <c r="BG45" s="20">
        <f t="shared" si="7"/>
        <v>523.64091513728647</v>
      </c>
      <c r="BH45" s="59">
        <f t="shared" si="8"/>
        <v>816.97424847061984</v>
      </c>
      <c r="BI45" s="59">
        <f ca="1">AVERAGE(OFFSET($BH$3,0,0,'Données projet'!$E$11+1,1))-AVERAGE(OFFSET($H$3,0,0,'Données projet'!$E$11+1,1))</f>
        <v>415.91544298418842</v>
      </c>
      <c r="BJ45" s="59">
        <f t="shared" si="38"/>
        <v>422.79312683312583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9.004313368634957</v>
      </c>
      <c r="BQ45" s="21">
        <f>EXP(-LN(2)/25)*BQ44+(1-EXP(-LN(2)/25))/(LN(2)/25)*Calculateur!BL45*Calculateur!BN45*VLOOKUP('Données projet'!$B$11,Paramètres!$A$1:$I$89,3,0)*0.475*44/12</f>
        <v>27.78962976508986</v>
      </c>
      <c r="BR45" s="21">
        <f>EXP(-LN(2)/2)*BR44+(1-EXP(-LN(2)/2))/(LN(2)/2)*BL45*BO45*VLOOKUP('Données projet'!$B$11,Paramètres!$A$1:$I$89,3,0)*0.475*44/12</f>
        <v>0.56987330242240775</v>
      </c>
      <c r="BS45" s="22">
        <f t="shared" si="9"/>
        <v>37.363816436147225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25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38.235600000000005</v>
      </c>
      <c r="D46" s="11">
        <f t="shared" si="32"/>
        <v>11.529771748983352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384.15374683425745</v>
      </c>
      <c r="H46" s="67">
        <f t="shared" si="1"/>
        <v>380.00802246281268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10.6</v>
      </c>
      <c r="N46" s="13">
        <f>IF('Données projet'!$A$36&gt;35,N45+M46-V45,IF(A46&lt;'Données projet'!$A$36,$K$205^A46,IF(A46='Données projet'!$A$36,'Données projet'!$B$36,N45+M46-V45)))</f>
        <v>254.79999999999984</v>
      </c>
      <c r="O46" s="13">
        <f>N46*VLOOKUP('Données projet'!$B$9,Paramètres!$A$1:$I$89,3,0)*VLOOKUP('Données projet'!$B$9,Paramètres!$A$1:$I$89,5,0)</f>
        <v>186.81935999999988</v>
      </c>
      <c r="P46" s="13">
        <f t="shared" si="33"/>
        <v>46.836069092125932</v>
      </c>
      <c r="Q46" s="20">
        <f t="shared" si="53"/>
        <v>406.94987233545248</v>
      </c>
      <c r="R46" s="59">
        <f t="shared" si="0"/>
        <v>700.28320566878574</v>
      </c>
      <c r="S46" s="59">
        <f ca="1">AVERAGE(OFFSET($R$3,0,0,'Données projet'!$E$9+1,1))-AVERAGE(OFFSET($H$3,0,0,'Données projet'!$E$9+1,1))</f>
        <v>284.62668108124626</v>
      </c>
      <c r="T46" s="59">
        <f t="shared" si="34"/>
        <v>333.70864452711021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2.2631126233720869</v>
      </c>
      <c r="AA46" s="21">
        <f>EXP(-LN(2)/25)*AA45+(1-EXP(-LN(2)/25))/(LN(2)/25)*Calculateur!V46*Calculateur!X46*VLOOKUP('Données projet'!$B$9,Paramètres!$A$1:$I$89,3,0)*0.475*44/12</f>
        <v>13.247570109922453</v>
      </c>
      <c r="AB46" s="21">
        <f>EXP(-LN(2)/2)*AB45+(1-EXP(-LN(2)/2))/(LN(2)/2)*V46*Y46*VLOOKUP('Données projet'!$B$9,Paramètres!$A$1:$I$89,3,0)*0.475*44/12</f>
        <v>0.29394630785378162</v>
      </c>
      <c r="AC46" s="22">
        <f t="shared" si="3"/>
        <v>15.804629041148322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11.2</v>
      </c>
      <c r="AI46" s="13">
        <f>IF('Données projet'!$A$62&gt;35,AI45+AH46-AQ45,IF(A46&lt;'Données projet'!$A$62,$AF$205^A46,IF(A46='Données projet'!$A$62,'Données projet'!$B$62,AI45+AH46-AQ45)))</f>
        <v>180.59999999999997</v>
      </c>
      <c r="AJ46" s="13">
        <f>AI46*VLOOKUP('Données projet'!$B$10,Paramètres!$A$1:$I$89,3,0)*VLOOKUP('Données projet'!$B$10,Paramètres!$A$1:$I$89,5,0)</f>
        <v>163.40687999999997</v>
      </c>
      <c r="AK46" s="13">
        <f t="shared" si="35"/>
        <v>41.610001881769797</v>
      </c>
      <c r="AL46" s="20">
        <f t="shared" si="4"/>
        <v>357.07106927741569</v>
      </c>
      <c r="AM46" s="59">
        <f t="shared" si="5"/>
        <v>650.404402610749</v>
      </c>
      <c r="AN46" s="59">
        <f ca="1">AVERAGE(OFFSET($AM$3,0,0,'Données projet'!$E$10+1,1))-AVERAGE(OFFSET($H$3,0,0,'Données projet'!$E$10+1,1))</f>
        <v>318.40875902853116</v>
      </c>
      <c r="AO46" s="59">
        <f t="shared" si="36"/>
        <v>234.87694492493506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1.86185151993732</v>
      </c>
      <c r="AV46" s="21">
        <f>EXP(-LN(2)/25)*AV45+(1-EXP(-LN(2)/25))/(LN(2)/25)*Calculateur!AQ46*Calculateur!AS46*VLOOKUP('Données projet'!$B$10,Paramètres!$A$1:$I$89,3,0)*0.475*44/12</f>
        <v>7.8683197513463909</v>
      </c>
      <c r="AW46" s="21">
        <f>EXP(-LN(2)/2)*AW45+(1-EXP(-LN(2)/2))/(LN(2)/2)*AQ46*AT46*VLOOKUP('Données projet'!$B$10,Paramètres!$A$1:$I$89,3,0)*0.475*44/12</f>
        <v>0.2381329779713775</v>
      </c>
      <c r="AX46" s="21">
        <f t="shared" si="6"/>
        <v>9.9683042492550875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22.8</v>
      </c>
      <c r="BD46" s="12">
        <f>IF('Données projet'!$A$88&gt;35,BD45+BC46-BL45,IF(A46&lt;'Données projet'!$A$88,$BA$205^A46,IF(A46='Données projet'!$A$88,'Données projet'!$B$88,BD45+BC46-BL45)))</f>
        <v>455.40000000000009</v>
      </c>
      <c r="BE46" s="13">
        <f>BD46*VLOOKUP('Données projet'!$B$11,Paramètres!$A$1:$I$89,3,0)*VLOOKUP('Données projet'!$B$11,Paramètres!$A$1:$I$89,5,0)</f>
        <v>254.56860000000006</v>
      </c>
      <c r="BF46" s="13">
        <f t="shared" si="37"/>
        <v>61.563204302796244</v>
      </c>
      <c r="BG46" s="20">
        <f t="shared" si="7"/>
        <v>550.59622582737018</v>
      </c>
      <c r="BH46" s="59">
        <f t="shared" si="8"/>
        <v>843.92955916070355</v>
      </c>
      <c r="BI46" s="59">
        <f ca="1">AVERAGE(OFFSET($BH$3,0,0,'Données projet'!$E$11+1,1))-AVERAGE(OFFSET($H$3,0,0,'Données projet'!$E$11+1,1))</f>
        <v>415.91544298418842</v>
      </c>
      <c r="BJ46" s="59">
        <f t="shared" si="38"/>
        <v>422.79312683312583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8.8277442755648821</v>
      </c>
      <c r="BQ46" s="21">
        <f>EXP(-LN(2)/25)*BQ45+(1-EXP(-LN(2)/25))/(LN(2)/25)*Calculateur!BL46*Calculateur!BN46*VLOOKUP('Données projet'!$B$11,Paramètres!$A$1:$I$89,3,0)*0.475*44/12</f>
        <v>27.029720877770362</v>
      </c>
      <c r="BR46" s="21">
        <f>EXP(-LN(2)/2)*BR45+(1-EXP(-LN(2)/2))/(LN(2)/2)*BL46*BO46*VLOOKUP('Données projet'!$B$11,Paramètres!$A$1:$I$89,3,0)*0.475*44/12</f>
        <v>0.4029612765600567</v>
      </c>
      <c r="BS46" s="22">
        <f t="shared" si="9"/>
        <v>36.260426429895297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25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39.124800000000008</v>
      </c>
      <c r="D47" s="11">
        <f t="shared" si="32"/>
        <v>11.766377220171686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392.84417503290433</v>
      </c>
      <c r="H47" s="67">
        <f t="shared" si="1"/>
        <v>381.96880032513235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10.6</v>
      </c>
      <c r="N47" s="13">
        <f>IF('Données projet'!$A$36&gt;35,N46+M47-V46,IF(A47&lt;'Données projet'!$A$36,$K$205^A47,IF(A47='Données projet'!$A$36,'Données projet'!$B$36,N46+M47-V46)))</f>
        <v>265.39999999999986</v>
      </c>
      <c r="O47" s="13">
        <f>N47*VLOOKUP('Données projet'!$B$9,Paramètres!$A$1:$I$89,3,0)*VLOOKUP('Données projet'!$B$9,Paramètres!$A$1:$I$89,5,0)</f>
        <v>194.5912799999999</v>
      </c>
      <c r="P47" s="13">
        <f t="shared" si="33"/>
        <v>48.553604775680185</v>
      </c>
      <c r="Q47" s="20">
        <f t="shared" si="53"/>
        <v>423.47734098430942</v>
      </c>
      <c r="R47" s="59">
        <f t="shared" si="0"/>
        <v>716.81067431764268</v>
      </c>
      <c r="S47" s="59">
        <f ca="1">AVERAGE(OFFSET($R$3,0,0,'Données projet'!$E$9+1,1))-AVERAGE(OFFSET($H$3,0,0,'Données projet'!$E$9+1,1))</f>
        <v>284.62668108124626</v>
      </c>
      <c r="T47" s="59">
        <f t="shared" si="34"/>
        <v>333.70864452711021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2.2187343651901612</v>
      </c>
      <c r="AA47" s="21">
        <f>EXP(-LN(2)/25)*AA46+(1-EXP(-LN(2)/25))/(LN(2)/25)*Calculateur!V47*Calculateur!X47*VLOOKUP('Données projet'!$B$9,Paramètres!$A$1:$I$89,3,0)*0.475*44/12</f>
        <v>12.885314608607189</v>
      </c>
      <c r="AB47" s="21">
        <f>EXP(-LN(2)/2)*AB46+(1-EXP(-LN(2)/2))/(LN(2)/2)*V47*Y47*VLOOKUP('Données projet'!$B$9,Paramètres!$A$1:$I$89,3,0)*0.475*44/12</f>
        <v>0.2078514275881575</v>
      </c>
      <c r="AC47" s="22">
        <f t="shared" si="3"/>
        <v>15.311900401385508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11.2</v>
      </c>
      <c r="AI47" s="13">
        <f>IF('Données projet'!$A$62&gt;35,AI46+AH47-AQ46,IF(A47&lt;'Données projet'!$A$62,$AF$205^A47,IF(A47='Données projet'!$A$62,'Données projet'!$B$62,AI46+AH47-AQ46)))</f>
        <v>191.79999999999995</v>
      </c>
      <c r="AJ47" s="13">
        <f>AI47*VLOOKUP('Données projet'!$B$10,Paramètres!$A$1:$I$89,3,0)*VLOOKUP('Données projet'!$B$10,Paramètres!$A$1:$I$89,5,0)</f>
        <v>173.54063999999997</v>
      </c>
      <c r="AK47" s="13">
        <f t="shared" si="35"/>
        <v>43.882055316228445</v>
      </c>
      <c r="AL47" s="20">
        <f t="shared" si="4"/>
        <v>378.6778610090978</v>
      </c>
      <c r="AM47" s="59">
        <f t="shared" si="5"/>
        <v>672.01119434243105</v>
      </c>
      <c r="AN47" s="59">
        <f ca="1">AVERAGE(OFFSET($AM$3,0,0,'Données projet'!$E$10+1,1))-AVERAGE(OFFSET($H$3,0,0,'Données projet'!$E$10+1,1))</f>
        <v>318.40875902853116</v>
      </c>
      <c r="AO47" s="59">
        <f t="shared" si="36"/>
        <v>234.87694492493506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1.8253417472486435</v>
      </c>
      <c r="AV47" s="21">
        <f>EXP(-LN(2)/25)*AV46+(1-EXP(-LN(2)/25))/(LN(2)/25)*Calculateur!AQ47*Calculateur!AS47*VLOOKUP('Données projet'!$B$10,Paramètres!$A$1:$I$89,3,0)*0.475*44/12</f>
        <v>7.6531601339688713</v>
      </c>
      <c r="AW47" s="21">
        <f>EXP(-LN(2)/2)*AW46+(1-EXP(-LN(2)/2))/(LN(2)/2)*AQ47*AT47*VLOOKUP('Données projet'!$B$10,Paramètres!$A$1:$I$89,3,0)*0.475*44/12</f>
        <v>0.16838544354770779</v>
      </c>
      <c r="AX47" s="21">
        <f t="shared" si="6"/>
        <v>9.6468873247652223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22.8</v>
      </c>
      <c r="BD47" s="12">
        <f>IF('Données projet'!$A$88&gt;35,BD46+BC47-BL46,IF(A47&lt;'Données projet'!$A$88,$BA$205^A47,IF(A47='Données projet'!$A$88,'Données projet'!$B$88,BD46+BC47-BL46)))</f>
        <v>478.2000000000001</v>
      </c>
      <c r="BE47" s="13">
        <f>BD47*VLOOKUP('Données projet'!$B$11,Paramètres!$A$1:$I$89,3,0)*VLOOKUP('Données projet'!$B$11,Paramètres!$A$1:$I$89,5,0)</f>
        <v>267.31380000000007</v>
      </c>
      <c r="BF47" s="13">
        <f t="shared" si="37"/>
        <v>64.278858533693665</v>
      </c>
      <c r="BG47" s="20">
        <f t="shared" si="7"/>
        <v>577.52388027951656</v>
      </c>
      <c r="BH47" s="59">
        <f t="shared" si="8"/>
        <v>870.85721361284982</v>
      </c>
      <c r="BI47" s="59">
        <f ca="1">AVERAGE(OFFSET($BH$3,0,0,'Données projet'!$E$11+1,1))-AVERAGE(OFFSET($H$3,0,0,'Données projet'!$E$11+1,1))</f>
        <v>415.91544298418842</v>
      </c>
      <c r="BJ47" s="59">
        <f t="shared" si="38"/>
        <v>422.79312683312583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8.6546375947133978</v>
      </c>
      <c r="BQ47" s="21">
        <f>EXP(-LN(2)/25)*BQ46+(1-EXP(-LN(2)/25))/(LN(2)/25)*Calculateur!BL47*Calculateur!BN47*VLOOKUP('Données projet'!$B$11,Paramètres!$A$1:$I$89,3,0)*0.475*44/12</f>
        <v>26.290591738936488</v>
      </c>
      <c r="BR47" s="21">
        <f>EXP(-LN(2)/2)*BR46+(1-EXP(-LN(2)/2))/(LN(2)/2)*BL47*BO47*VLOOKUP('Données projet'!$B$11,Paramètres!$A$1:$I$89,3,0)*0.475*44/12</f>
        <v>0.28493665121120387</v>
      </c>
      <c r="BS47" s="22">
        <f t="shared" si="9"/>
        <v>35.230165984861088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25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40.01400000000001</v>
      </c>
      <c r="D48" s="11">
        <f t="shared" si="32"/>
        <v>12.002357532661732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401.52977744510821</v>
      </c>
      <c r="H48" s="67">
        <f t="shared" si="1"/>
        <v>383.92848936938583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10.6</v>
      </c>
      <c r="N48" s="13">
        <f>IF('Données projet'!$A$36&gt;35,N47+M48-V47,IF(A48&lt;'Données projet'!$A$36,$K$205^A48,IF(A48='Données projet'!$A$36,'Données projet'!$B$36,N47+M48-V47)))</f>
        <v>275.99999999999989</v>
      </c>
      <c r="O48" s="13">
        <f>N48*VLOOKUP('Données projet'!$B$9,Paramètres!$A$1:$I$89,3,0)*VLOOKUP('Données projet'!$B$9,Paramètres!$A$1:$I$89,5,0)</f>
        <v>202.36319999999992</v>
      </c>
      <c r="P48" s="13">
        <f t="shared" si="33"/>
        <v>50.263171959975132</v>
      </c>
      <c r="Q48" s="20">
        <f t="shared" si="53"/>
        <v>439.9909311636232</v>
      </c>
      <c r="R48" s="59">
        <f t="shared" si="0"/>
        <v>733.32426449695652</v>
      </c>
      <c r="S48" s="59">
        <f ca="1">AVERAGE(OFFSET($R$3,0,0,'Données projet'!$E$9+1,1))-AVERAGE(OFFSET($H$3,0,0,'Données projet'!$E$9+1,1))</f>
        <v>284.62668108124626</v>
      </c>
      <c r="T48" s="59">
        <f t="shared" si="34"/>
        <v>333.70864452711021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2.1752263375831182</v>
      </c>
      <c r="AA48" s="21">
        <f>EXP(-LN(2)/25)*AA47+(1-EXP(-LN(2)/25))/(LN(2)/25)*Calculateur!V48*Calculateur!X48*VLOOKUP('Données projet'!$B$9,Paramètres!$A$1:$I$89,3,0)*0.475*44/12</f>
        <v>12.532965003025581</v>
      </c>
      <c r="AB48" s="21">
        <f>EXP(-LN(2)/2)*AB47+(1-EXP(-LN(2)/2))/(LN(2)/2)*V48*Y48*VLOOKUP('Données projet'!$B$9,Paramètres!$A$1:$I$89,3,0)*0.475*44/12</f>
        <v>0.14697315392689081</v>
      </c>
      <c r="AC48" s="22">
        <f t="shared" si="3"/>
        <v>14.85516449453559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11.2</v>
      </c>
      <c r="AI48" s="13">
        <f>IF('Données projet'!$A$62&gt;35,AI47+AH48-AQ47,IF(A48&lt;'Données projet'!$A$62,$AF$205^A48,IF(A48='Données projet'!$A$62,'Données projet'!$B$62,AI47+AH48-AQ47)))</f>
        <v>202.99999999999994</v>
      </c>
      <c r="AJ48" s="13">
        <f>AI48*VLOOKUP('Données projet'!$B$10,Paramètres!$A$1:$I$89,3,0)*VLOOKUP('Données projet'!$B$10,Paramètres!$A$1:$I$89,5,0)</f>
        <v>183.67439999999993</v>
      </c>
      <c r="AK48" s="13">
        <f t="shared" si="35"/>
        <v>46.138708549418673</v>
      </c>
      <c r="AL48" s="20">
        <f t="shared" si="4"/>
        <v>400.25783072357075</v>
      </c>
      <c r="AM48" s="59">
        <f t="shared" si="5"/>
        <v>693.59116405690406</v>
      </c>
      <c r="AN48" s="59">
        <f ca="1">AVERAGE(OFFSET($AM$3,0,0,'Données projet'!$E$10+1,1))-AVERAGE(OFFSET($H$3,0,0,'Données projet'!$E$10+1,1))</f>
        <v>318.40875902853116</v>
      </c>
      <c r="AO48" s="59">
        <f t="shared" si="36"/>
        <v>234.87694492493506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1.7895479089336295</v>
      </c>
      <c r="AV48" s="21">
        <f>EXP(-LN(2)/25)*AV47+(1-EXP(-LN(2)/25))/(LN(2)/25)*Calculateur!AQ48*Calculateur!AS48*VLOOKUP('Données projet'!$B$10,Paramètres!$A$1:$I$89,3,0)*0.475*44/12</f>
        <v>7.4438840676432925</v>
      </c>
      <c r="AW48" s="21">
        <f>EXP(-LN(2)/2)*AW47+(1-EXP(-LN(2)/2))/(LN(2)/2)*AQ48*AT48*VLOOKUP('Données projet'!$B$10,Paramètres!$A$1:$I$89,3,0)*0.475*44/12</f>
        <v>0.11906648898568878</v>
      </c>
      <c r="AX48" s="21">
        <f t="shared" si="6"/>
        <v>9.3524984655626113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22.8</v>
      </c>
      <c r="BD48" s="12">
        <f>IF('Données projet'!$A$88&gt;35,BD47+BC48-BL47,IF(A48&lt;'Données projet'!$A$88,$BA$205^A48,IF(A48='Données projet'!$A$88,'Données projet'!$B$88,BD47+BC48-BL47)))</f>
        <v>501.00000000000011</v>
      </c>
      <c r="BE48" s="13">
        <f>BD48*VLOOKUP('Données projet'!$B$11,Paramètres!$A$1:$I$89,3,0)*VLOOKUP('Données projet'!$B$11,Paramètres!$A$1:$I$89,5,0)</f>
        <v>280.05900000000008</v>
      </c>
      <c r="BF48" s="13">
        <f t="shared" si="37"/>
        <v>66.979477124262175</v>
      </c>
      <c r="BG48" s="20">
        <f t="shared" si="7"/>
        <v>604.42534765809012</v>
      </c>
      <c r="BH48" s="59">
        <f t="shared" si="8"/>
        <v>897.75868099142349</v>
      </c>
      <c r="BI48" s="59">
        <f ca="1">AVERAGE(OFFSET($BH$3,0,0,'Données projet'!$E$11+1,1))-AVERAGE(OFFSET($H$3,0,0,'Données projet'!$E$11+1,1))</f>
        <v>415.91544298418842</v>
      </c>
      <c r="BJ48" s="59">
        <f t="shared" si="38"/>
        <v>422.79312683312583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8.4849254302887616</v>
      </c>
      <c r="BQ48" s="21">
        <f>EXP(-LN(2)/25)*BQ47+(1-EXP(-LN(2)/25))/(LN(2)/25)*Calculateur!BL48*Calculateur!BN48*VLOOKUP('Données projet'!$B$11,Paramètres!$A$1:$I$89,3,0)*0.475*44/12</f>
        <v>25.571674125273137</v>
      </c>
      <c r="BR48" s="21">
        <f>EXP(-LN(2)/2)*BR47+(1-EXP(-LN(2)/2))/(LN(2)/2)*BL48*BO48*VLOOKUP('Données projet'!$B$11,Paramètres!$A$1:$I$89,3,0)*0.475*44/12</f>
        <v>0.20148063828002835</v>
      </c>
      <c r="BS48" s="22">
        <f t="shared" si="9"/>
        <v>34.258080193841934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25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40.903200000000012</v>
      </c>
      <c r="D49" s="11">
        <f t="shared" si="32"/>
        <v>12.237728178480605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410.21067365844692</v>
      </c>
      <c r="H49" s="67">
        <f t="shared" si="1"/>
        <v>385.88711657752037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10.6</v>
      </c>
      <c r="N49" s="13">
        <f>IF('Données projet'!$A$36&gt;35,N48+M49-V48,IF(A49&lt;'Données projet'!$A$36,$K$205^A49,IF(A49='Données projet'!$A$36,'Données projet'!$B$36,N48+M49-V48)))</f>
        <v>286.59999999999991</v>
      </c>
      <c r="O49" s="13">
        <f>N49*VLOOKUP('Données projet'!$B$9,Paramètres!$A$1:$I$89,3,0)*VLOOKUP('Données projet'!$B$9,Paramètres!$A$1:$I$89,5,0)</f>
        <v>210.13511999999992</v>
      </c>
      <c r="P49" s="13">
        <f t="shared" si="33"/>
        <v>51.96511171241719</v>
      </c>
      <c r="Q49" s="20">
        <f t="shared" si="53"/>
        <v>456.49123689912636</v>
      </c>
      <c r="R49" s="59">
        <f t="shared" si="0"/>
        <v>749.82457023245968</v>
      </c>
      <c r="S49" s="59">
        <f ca="1">AVERAGE(OFFSET($R$3,0,0,'Données projet'!$E$9+1,1))-AVERAGE(OFFSET($H$3,0,0,'Données projet'!$E$9+1,1))</f>
        <v>284.62668108124626</v>
      </c>
      <c r="T49" s="59">
        <f t="shared" si="34"/>
        <v>333.70864452711021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2.132571475860173</v>
      </c>
      <c r="AA49" s="21">
        <f>EXP(-LN(2)/25)*AA48+(1-EXP(-LN(2)/25))/(LN(2)/25)*Calculateur!V49*Calculateur!X49*VLOOKUP('Données projet'!$B$9,Paramètres!$A$1:$I$89,3,0)*0.475*44/12</f>
        <v>12.190250415937861</v>
      </c>
      <c r="AB49" s="21">
        <f>EXP(-LN(2)/2)*AB48+(1-EXP(-LN(2)/2))/(LN(2)/2)*V49*Y49*VLOOKUP('Données projet'!$B$9,Paramètres!$A$1:$I$89,3,0)*0.475*44/12</f>
        <v>0.10392571379407875</v>
      </c>
      <c r="AC49" s="22">
        <f t="shared" si="3"/>
        <v>14.426747605592112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11.2</v>
      </c>
      <c r="AI49" s="13">
        <f>IF('Données projet'!$A$62&gt;35,AI48+AH49-AQ48,IF(A49&lt;'Données projet'!$A$62,$AF$205^A49,IF(A49='Données projet'!$A$62,'Données projet'!$B$62,AI48+AH49-AQ48)))</f>
        <v>214.19999999999993</v>
      </c>
      <c r="AJ49" s="13">
        <f>AI49*VLOOKUP('Données projet'!$B$10,Paramètres!$A$1:$I$89,3,0)*VLOOKUP('Données projet'!$B$10,Paramètres!$A$1:$I$89,5,0)</f>
        <v>193.80815999999993</v>
      </c>
      <c r="AK49" s="13">
        <f t="shared" si="35"/>
        <v>48.380908095574689</v>
      </c>
      <c r="AL49" s="20">
        <f t="shared" si="4"/>
        <v>421.81262693312578</v>
      </c>
      <c r="AM49" s="59">
        <f t="shared" si="5"/>
        <v>715.14596026645904</v>
      </c>
      <c r="AN49" s="59">
        <f ca="1">AVERAGE(OFFSET($AM$3,0,0,'Données projet'!$E$10+1,1))-AVERAGE(OFFSET($H$3,0,0,'Données projet'!$E$10+1,1))</f>
        <v>318.40875902853116</v>
      </c>
      <c r="AO49" s="59">
        <f t="shared" si="36"/>
        <v>234.87694492493506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1.7544559659558872</v>
      </c>
      <c r="AV49" s="21">
        <f>EXP(-LN(2)/25)*AV48+(1-EXP(-LN(2)/25))/(LN(2)/25)*Calculateur!AQ49*Calculateur!AS49*VLOOKUP('Données projet'!$B$10,Paramètres!$A$1:$I$89,3,0)*0.475*44/12</f>
        <v>7.2403306663567371</v>
      </c>
      <c r="AW49" s="21">
        <f>EXP(-LN(2)/2)*AW48+(1-EXP(-LN(2)/2))/(LN(2)/2)*AQ49*AT49*VLOOKUP('Données projet'!$B$10,Paramètres!$A$1:$I$89,3,0)*0.475*44/12</f>
        <v>8.419272177385391E-2</v>
      </c>
      <c r="AX49" s="21">
        <f t="shared" si="6"/>
        <v>9.0789793540864796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22.8</v>
      </c>
      <c r="BD49" s="12">
        <f>IF('Données projet'!$A$88&gt;35,BD48+BC49-BL48,IF(A49&lt;'Données projet'!$A$88,$BA$205^A49,IF(A49='Données projet'!$A$88,'Données projet'!$B$88,BD48+BC49-BL48)))</f>
        <v>523.80000000000007</v>
      </c>
      <c r="BE49" s="13">
        <f>BD49*VLOOKUP('Données projet'!$B$11,Paramètres!$A$1:$I$89,3,0)*VLOOKUP('Données projet'!$B$11,Paramètres!$A$1:$I$89,5,0)</f>
        <v>292.80420000000004</v>
      </c>
      <c r="BF49" s="13">
        <f t="shared" si="37"/>
        <v>69.665822496730271</v>
      </c>
      <c r="BG49" s="20">
        <f t="shared" si="7"/>
        <v>631.30195584847183</v>
      </c>
      <c r="BH49" s="59">
        <f t="shared" si="8"/>
        <v>924.63528918180509</v>
      </c>
      <c r="BI49" s="59">
        <f ca="1">AVERAGE(OFFSET($BH$3,0,0,'Données projet'!$E$11+1,1))-AVERAGE(OFFSET($H$3,0,0,'Données projet'!$E$11+1,1))</f>
        <v>415.91544298418842</v>
      </c>
      <c r="BJ49" s="59">
        <f t="shared" si="38"/>
        <v>422.79312683312583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8.3185412178942943</v>
      </c>
      <c r="BQ49" s="21">
        <f>EXP(-LN(2)/25)*BQ48+(1-EXP(-LN(2)/25))/(LN(2)/25)*Calculateur!BL49*Calculateur!BN49*VLOOKUP('Données projet'!$B$11,Paramètres!$A$1:$I$89,3,0)*0.475*44/12</f>
        <v>24.872415351561646</v>
      </c>
      <c r="BR49" s="21">
        <f>EXP(-LN(2)/2)*BR48+(1-EXP(-LN(2)/2))/(LN(2)/2)*BL49*BO49*VLOOKUP('Données projet'!$B$11,Paramètres!$A$1:$I$89,3,0)*0.475*44/12</f>
        <v>0.14246832560560194</v>
      </c>
      <c r="BS49" s="22">
        <f t="shared" si="9"/>
        <v>33.33342489506154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25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41.792400000000015</v>
      </c>
      <c r="D50" s="11">
        <f t="shared" si="32"/>
        <v>12.472503937619972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418.88697776408418</v>
      </c>
      <c r="H50" s="67">
        <f t="shared" si="1"/>
        <v>387.84470769135481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10.6</v>
      </c>
      <c r="N50" s="13">
        <f>IF('Données projet'!$A$36&gt;35,N49+M50-V49,IF(A50&lt;'Données projet'!$A$36,$K$205^A50,IF(A50='Données projet'!$A$36,'Données projet'!$B$36,N49+M50-V49)))</f>
        <v>297.19999999999993</v>
      </c>
      <c r="O50" s="13">
        <f>N50*VLOOKUP('Données projet'!$B$9,Paramètres!$A$1:$I$89,3,0)*VLOOKUP('Données projet'!$B$9,Paramètres!$A$1:$I$89,5,0)</f>
        <v>217.90703999999997</v>
      </c>
      <c r="P50" s="13">
        <f t="shared" si="33"/>
        <v>53.659738441925789</v>
      </c>
      <c r="Q50" s="20">
        <f t="shared" si="53"/>
        <v>472.97880578635403</v>
      </c>
      <c r="R50" s="59">
        <f t="shared" si="0"/>
        <v>766.31213911968734</v>
      </c>
      <c r="S50" s="59">
        <f ca="1">AVERAGE(OFFSET($R$3,0,0,'Données projet'!$E$9+1,1))-AVERAGE(OFFSET($H$3,0,0,'Données projet'!$E$9+1,1))</f>
        <v>284.62668108124626</v>
      </c>
      <c r="T50" s="59">
        <f t="shared" si="34"/>
        <v>333.70864452711021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2.0907530499587179</v>
      </c>
      <c r="AA50" s="21">
        <f>EXP(-LN(2)/25)*AA49+(1-EXP(-LN(2)/25))/(LN(2)/25)*Calculateur!V50*Calculateur!X50*VLOOKUP('Données projet'!$B$9,Paramètres!$A$1:$I$89,3,0)*0.475*44/12</f>
        <v>11.856907377256633</v>
      </c>
      <c r="AB50" s="21">
        <f>EXP(-LN(2)/2)*AB49+(1-EXP(-LN(2)/2))/(LN(2)/2)*V50*Y50*VLOOKUP('Données projet'!$B$9,Paramètres!$A$1:$I$89,3,0)*0.475*44/12</f>
        <v>7.3486576963445405E-2</v>
      </c>
      <c r="AC50" s="22">
        <f t="shared" si="3"/>
        <v>14.021147004178795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11.2</v>
      </c>
      <c r="AI50" s="13">
        <f>IF('Données projet'!$A$62&gt;35,AI49+AH50-AQ49,IF(A50&lt;'Données projet'!$A$62,$AF$205^A50,IF(A50='Données projet'!$A$62,'Données projet'!$B$62,AI49+AH50-AQ49)))</f>
        <v>225.39999999999992</v>
      </c>
      <c r="AJ50" s="13">
        <f>AI50*VLOOKUP('Données projet'!$B$10,Paramètres!$A$1:$I$89,3,0)*VLOOKUP('Données projet'!$B$10,Paramètres!$A$1:$I$89,5,0)</f>
        <v>203.94191999999993</v>
      </c>
      <c r="AK50" s="13">
        <f t="shared" si="35"/>
        <v>50.609495896501116</v>
      </c>
      <c r="AL50" s="20">
        <f t="shared" si="4"/>
        <v>443.3437160197393</v>
      </c>
      <c r="AM50" s="59">
        <f t="shared" si="5"/>
        <v>736.67704935307256</v>
      </c>
      <c r="AN50" s="59">
        <f ca="1">AVERAGE(OFFSET($AM$3,0,0,'Données projet'!$E$10+1,1))-AVERAGE(OFFSET($H$3,0,0,'Données projet'!$E$10+1,1))</f>
        <v>318.40875902853116</v>
      </c>
      <c r="AO50" s="59">
        <f t="shared" si="36"/>
        <v>234.87694492493506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1.7200521545759666</v>
      </c>
      <c r="AV50" s="21">
        <f>EXP(-LN(2)/25)*AV49+(1-EXP(-LN(2)/25))/(LN(2)/25)*Calculateur!AQ50*Calculateur!AS50*VLOOKUP('Données projet'!$B$10,Paramètres!$A$1:$I$89,3,0)*0.475*44/12</f>
        <v>7.0423434435327703</v>
      </c>
      <c r="AW50" s="21">
        <f>EXP(-LN(2)/2)*AW49+(1-EXP(-LN(2)/2))/(LN(2)/2)*AQ50*AT50*VLOOKUP('Données projet'!$B$10,Paramètres!$A$1:$I$89,3,0)*0.475*44/12</f>
        <v>5.9533244492844396E-2</v>
      </c>
      <c r="AX50" s="21">
        <f t="shared" si="6"/>
        <v>8.8219288426015812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22.8</v>
      </c>
      <c r="BD50" s="12">
        <f>IF('Données projet'!$A$88&gt;35,BD49+BC50-BL49,IF(A50&lt;'Données projet'!$A$88,$BA$205^A50,IF(A50='Données projet'!$A$88,'Données projet'!$B$88,BD49+BC50-BL49)))</f>
        <v>546.6</v>
      </c>
      <c r="BE50" s="13">
        <f>BD50*VLOOKUP('Données projet'!$B$11,Paramètres!$A$1:$I$89,3,0)*VLOOKUP('Données projet'!$B$11,Paramètres!$A$1:$I$89,5,0)</f>
        <v>305.54940000000005</v>
      </c>
      <c r="BF50" s="13">
        <f t="shared" si="37"/>
        <v>72.338586946416783</v>
      </c>
      <c r="BG50" s="20">
        <f t="shared" si="7"/>
        <v>658.15491059834255</v>
      </c>
      <c r="BH50" s="59">
        <f t="shared" si="8"/>
        <v>951.48824393167592</v>
      </c>
      <c r="BI50" s="59">
        <f ca="1">AVERAGE(OFFSET($BH$3,0,0,'Données projet'!$E$11+1,1))-AVERAGE(OFFSET($H$3,0,0,'Données projet'!$E$11+1,1))</f>
        <v>415.91544298418842</v>
      </c>
      <c r="BJ50" s="59">
        <f t="shared" si="38"/>
        <v>422.79312683312583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8.1554196984205323</v>
      </c>
      <c r="BQ50" s="21">
        <f>EXP(-LN(2)/25)*BQ49+(1-EXP(-LN(2)/25))/(LN(2)/25)*Calculateur!BL50*Calculateur!BN50*VLOOKUP('Données projet'!$B$11,Paramètres!$A$1:$I$89,3,0)*0.475*44/12</f>
        <v>24.192277845789715</v>
      </c>
      <c r="BR50" s="21">
        <f>EXP(-LN(2)/2)*BR49+(1-EXP(-LN(2)/2))/(LN(2)/2)*BL50*BO50*VLOOKUP('Données projet'!$B$11,Paramètres!$A$1:$I$89,3,0)*0.475*44/12</f>
        <v>0.10074031914001418</v>
      </c>
      <c r="BS50" s="22">
        <f t="shared" si="9"/>
        <v>32.448437863350264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25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42.681600000000017</v>
      </c>
      <c r="D51" s="11">
        <f t="shared" si="32"/>
        <v>12.706698925204435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427.55879872087644</v>
      </c>
      <c r="H51" s="67">
        <f t="shared" si="1"/>
        <v>389.80128729473108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10.6</v>
      </c>
      <c r="N51" s="13">
        <f>IF('Données projet'!$A$36&gt;35,N50+M51-V50,IF(A51&lt;'Données projet'!$A$36,$K$205^A51,IF(A51='Données projet'!$A$36,'Données projet'!$B$36,N50+M51-V50)))</f>
        <v>307.79999999999995</v>
      </c>
      <c r="O51" s="13">
        <f>N51*VLOOKUP('Données projet'!$B$9,Paramètres!$A$1:$I$89,3,0)*VLOOKUP('Données projet'!$B$9,Paramètres!$A$1:$I$89,5,0)</f>
        <v>225.67895999999996</v>
      </c>
      <c r="P51" s="13">
        <f t="shared" si="33"/>
        <v>55.347342858462454</v>
      </c>
      <c r="Q51" s="20">
        <f t="shared" si="53"/>
        <v>489.45414414515534</v>
      </c>
      <c r="R51" s="59">
        <f t="shared" si="0"/>
        <v>782.78747747848865</v>
      </c>
      <c r="S51" s="59">
        <f ca="1">AVERAGE(OFFSET($R$3,0,0,'Données projet'!$E$9+1,1))-AVERAGE(OFFSET($H$3,0,0,'Données projet'!$E$9+1,1))</f>
        <v>284.62668108124626</v>
      </c>
      <c r="T51" s="59">
        <f t="shared" si="34"/>
        <v>333.70864452711021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2.049754657882469</v>
      </c>
      <c r="AA51" s="21">
        <f>EXP(-LN(2)/25)*AA50+(1-EXP(-LN(2)/25))/(LN(2)/25)*Calculateur!V51*Calculateur!X51*VLOOKUP('Données projet'!$B$9,Paramètres!$A$1:$I$89,3,0)*0.475*44/12</f>
        <v>11.532679621497891</v>
      </c>
      <c r="AB51" s="21">
        <f>EXP(-LN(2)/2)*AB50+(1-EXP(-LN(2)/2))/(LN(2)/2)*V51*Y51*VLOOKUP('Données projet'!$B$9,Paramètres!$A$1:$I$89,3,0)*0.475*44/12</f>
        <v>5.1962856897039375E-2</v>
      </c>
      <c r="AC51" s="22">
        <f t="shared" si="3"/>
        <v>13.6343971362774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11.2</v>
      </c>
      <c r="AI51" s="13">
        <f>IF('Données projet'!$A$62&gt;35,AI50+AH51-AQ50,IF(A51&lt;'Données projet'!$A$62,$AF$205^A51,IF(A51='Données projet'!$A$62,'Données projet'!$B$62,AI50+AH51-AQ50)))</f>
        <v>236.59999999999991</v>
      </c>
      <c r="AJ51" s="13">
        <f>AI51*VLOOKUP('Données projet'!$B$10,Paramètres!$A$1:$I$89,3,0)*VLOOKUP('Données projet'!$B$10,Paramètres!$A$1:$I$89,5,0)</f>
        <v>214.07567999999992</v>
      </c>
      <c r="AK51" s="13">
        <f t="shared" si="35"/>
        <v>52.825225496078176</v>
      </c>
      <c r="AL51" s="20">
        <f t="shared" si="4"/>
        <v>464.85241040566939</v>
      </c>
      <c r="AM51" s="59">
        <f t="shared" si="5"/>
        <v>758.18574373900265</v>
      </c>
      <c r="AN51" s="59">
        <f ca="1">AVERAGE(OFFSET($AM$3,0,0,'Données projet'!$E$10+1,1))-AVERAGE(OFFSET($H$3,0,0,'Données projet'!$E$10+1,1))</f>
        <v>318.40875902853116</v>
      </c>
      <c r="AO51" s="59">
        <f t="shared" si="36"/>
        <v>234.87694492493506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1.6863229809529534</v>
      </c>
      <c r="AV51" s="21">
        <f>EXP(-LN(2)/25)*AV50+(1-EXP(-LN(2)/25))/(LN(2)/25)*Calculateur!AQ51*Calculateur!AS51*VLOOKUP('Données projet'!$B$10,Paramètres!$A$1:$I$89,3,0)*0.475*44/12</f>
        <v>6.8497701917286209</v>
      </c>
      <c r="AW51" s="21">
        <f>EXP(-LN(2)/2)*AW50+(1-EXP(-LN(2)/2))/(LN(2)/2)*AQ51*AT51*VLOOKUP('Données projet'!$B$10,Paramètres!$A$1:$I$89,3,0)*0.475*44/12</f>
        <v>4.2096360886926962E-2</v>
      </c>
      <c r="AX51" s="21">
        <f t="shared" si="6"/>
        <v>8.5781895335685014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22.8</v>
      </c>
      <c r="BD51" s="12">
        <f>IF('Données projet'!$A$88&gt;35,BD50+BC51-BL50,IF(A51&lt;'Données projet'!$A$88,$BA$205^A51,IF(A51='Données projet'!$A$88,'Données projet'!$B$88,BD50+BC51-BL50)))</f>
        <v>569.4</v>
      </c>
      <c r="BE51" s="13">
        <f>BD51*VLOOKUP('Données projet'!$B$11,Paramètres!$A$1:$I$89,3,0)*VLOOKUP('Données projet'!$B$11,Paramètres!$A$1:$I$89,5,0)</f>
        <v>318.2946</v>
      </c>
      <c r="BF51" s="13">
        <f t="shared" si="37"/>
        <v>74.998401746556283</v>
      </c>
      <c r="BG51" s="20">
        <f t="shared" si="7"/>
        <v>684.98531137525208</v>
      </c>
      <c r="BH51" s="59">
        <f t="shared" si="8"/>
        <v>978.31864470858545</v>
      </c>
      <c r="BI51" s="59">
        <f ca="1">AVERAGE(OFFSET($BH$3,0,0,'Données projet'!$E$11+1,1))-AVERAGE(OFFSET($H$3,0,0,'Données projet'!$E$11+1,1))</f>
        <v>415.91544298418842</v>
      </c>
      <c r="BJ51" s="59">
        <f t="shared" si="38"/>
        <v>422.79312683312583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7.9954968924493492</v>
      </c>
      <c r="BQ51" s="21">
        <f>EXP(-LN(2)/25)*BQ50+(1-EXP(-LN(2)/25))/(LN(2)/25)*Calculateur!BL51*Calculateur!BN51*VLOOKUP('Données projet'!$B$11,Paramètres!$A$1:$I$89,3,0)*0.475*44/12</f>
        <v>23.530738735879996</v>
      </c>
      <c r="BR51" s="21">
        <f>EXP(-LN(2)/2)*BR50+(1-EXP(-LN(2)/2))/(LN(2)/2)*BL51*BO51*VLOOKUP('Données projet'!$B$11,Paramètres!$A$1:$I$89,3,0)*0.475*44/12</f>
        <v>7.1234162802800968E-2</v>
      </c>
      <c r="BS51" s="22">
        <f t="shared" si="9"/>
        <v>31.597469791132145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25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43.57080000000002</v>
      </c>
      <c r="D52" s="11">
        <f t="shared" si="32"/>
        <v>12.940326634618209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436.22624068828105</v>
      </c>
      <c r="H52" s="67">
        <f t="shared" si="1"/>
        <v>391.75687888862672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10.6</v>
      </c>
      <c r="N52" s="13">
        <f>IF('Données projet'!$A$36&gt;35,N51+M52-V51,IF(A52&lt;'Données projet'!$A$36,$K$205^A52,IF(A52='Données projet'!$A$36,'Données projet'!$B$36,N51+M52-V51)))</f>
        <v>318.39999999999998</v>
      </c>
      <c r="O52" s="13">
        <f>N52*VLOOKUP('Données projet'!$B$9,Paramètres!$A$1:$I$89,3,0)*VLOOKUP('Données projet'!$B$9,Paramètres!$A$1:$I$89,5,0)</f>
        <v>233.45087999999996</v>
      </c>
      <c r="P52" s="13">
        <f t="shared" si="33"/>
        <v>57.028194513425717</v>
      </c>
      <c r="Q52" s="20">
        <f t="shared" si="53"/>
        <v>505.91772144421634</v>
      </c>
      <c r="R52" s="59">
        <f t="shared" si="0"/>
        <v>799.2510547775496</v>
      </c>
      <c r="S52" s="59">
        <f ca="1">AVERAGE(OFFSET($R$3,0,0,'Données projet'!$E$9+1,1))-AVERAGE(OFFSET($H$3,0,0,'Données projet'!$E$9+1,1))</f>
        <v>284.62668108124626</v>
      </c>
      <c r="T52" s="59">
        <f t="shared" si="34"/>
        <v>333.70864452711021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2.0095602192682853</v>
      </c>
      <c r="AA52" s="21">
        <f>EXP(-LN(2)/25)*AA51+(1-EXP(-LN(2)/25))/(LN(2)/25)*Calculateur!V52*Calculateur!X52*VLOOKUP('Données projet'!$B$9,Paramètres!$A$1:$I$89,3,0)*0.475*44/12</f>
        <v>11.217317890770769</v>
      </c>
      <c r="AB52" s="21">
        <f>EXP(-LN(2)/2)*AB51+(1-EXP(-LN(2)/2))/(LN(2)/2)*V52*Y52*VLOOKUP('Données projet'!$B$9,Paramètres!$A$1:$I$89,3,0)*0.475*44/12</f>
        <v>3.6743288481722702E-2</v>
      </c>
      <c r="AC52" s="22">
        <f t="shared" si="3"/>
        <v>13.263621398520778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11.2</v>
      </c>
      <c r="AI52" s="13">
        <f>IF('Données projet'!$A$62&gt;35,AI51+AH52-AQ51,IF(A52&lt;'Données projet'!$A$62,$AF$205^A52,IF(A52='Données projet'!$A$62,'Données projet'!$B$62,AI51+AH52-AQ51)))</f>
        <v>247.7999999999999</v>
      </c>
      <c r="AJ52" s="13">
        <f>AI52*VLOOKUP('Données projet'!$B$10,Paramètres!$A$1:$I$89,3,0)*VLOOKUP('Données projet'!$B$10,Paramètres!$A$1:$I$89,5,0)</f>
        <v>224.20943999999992</v>
      </c>
      <c r="AK52" s="13">
        <f t="shared" si="35"/>
        <v>55.028775065392324</v>
      </c>
      <c r="AL52" s="20">
        <f t="shared" si="4"/>
        <v>486.33989123889143</v>
      </c>
      <c r="AM52" s="59">
        <f t="shared" si="5"/>
        <v>779.67322457222474</v>
      </c>
      <c r="AN52" s="59">
        <f ca="1">AVERAGE(OFFSET($AM$3,0,0,'Données projet'!$E$10+1,1))-AVERAGE(OFFSET($H$3,0,0,'Données projet'!$E$10+1,1))</f>
        <v>318.40875902853116</v>
      </c>
      <c r="AO52" s="59">
        <f t="shared" si="36"/>
        <v>234.87694492493506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1.6532552158519229</v>
      </c>
      <c r="AV52" s="21">
        <f>EXP(-LN(2)/25)*AV51+(1-EXP(-LN(2)/25))/(LN(2)/25)*Calculateur!AQ52*Calculateur!AS52*VLOOKUP('Données projet'!$B$10,Paramètres!$A$1:$I$89,3,0)*0.475*44/12</f>
        <v>6.662462865622043</v>
      </c>
      <c r="AW52" s="21">
        <f>EXP(-LN(2)/2)*AW51+(1-EXP(-LN(2)/2))/(LN(2)/2)*AQ52*AT52*VLOOKUP('Données projet'!$B$10,Paramètres!$A$1:$I$89,3,0)*0.475*44/12</f>
        <v>2.9766622246422202E-2</v>
      </c>
      <c r="AX52" s="21">
        <f t="shared" si="6"/>
        <v>8.3454847037203876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22.8</v>
      </c>
      <c r="BD52" s="12">
        <f>IF('Données projet'!$A$88&gt;35,BD51+BC52-BL51,IF(A52&lt;'Données projet'!$A$88,$BA$205^A52,IF(A52='Données projet'!$A$88,'Données projet'!$B$88,BD51+BC52-BL51)))</f>
        <v>592.19999999999993</v>
      </c>
      <c r="BE52" s="13">
        <f>BD52*VLOOKUP('Données projet'!$B$11,Paramètres!$A$1:$I$89,3,0)*VLOOKUP('Données projet'!$B$11,Paramètres!$A$1:$I$89,5,0)</f>
        <v>331.03979999999996</v>
      </c>
      <c r="BF52" s="13">
        <f t="shared" si="37"/>
        <v>77.64584475376725</v>
      </c>
      <c r="BG52" s="20">
        <f t="shared" si="7"/>
        <v>711.79416461281119</v>
      </c>
      <c r="BH52" s="59">
        <f t="shared" si="8"/>
        <v>1005.1274979461446</v>
      </c>
      <c r="BI52" s="59">
        <f ca="1">AVERAGE(OFFSET($BH$3,0,0,'Données projet'!$E$11+1,1))-AVERAGE(OFFSET($H$3,0,0,'Données projet'!$E$11+1,1))</f>
        <v>415.91544298418842</v>
      </c>
      <c r="BJ52" s="59">
        <f t="shared" si="38"/>
        <v>422.79312683312583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7.8387100751599803</v>
      </c>
      <c r="BQ52" s="21">
        <f>EXP(-LN(2)/25)*BQ51+(1-EXP(-LN(2)/25))/(LN(2)/25)*Calculateur!BL52*Calculateur!BN52*VLOOKUP('Données projet'!$B$11,Paramètres!$A$1:$I$89,3,0)*0.475*44/12</f>
        <v>22.887289447719589</v>
      </c>
      <c r="BR52" s="21">
        <f>EXP(-LN(2)/2)*BR51+(1-EXP(-LN(2)/2))/(LN(2)/2)*BL52*BO52*VLOOKUP('Données projet'!$B$11,Paramètres!$A$1:$I$89,3,0)*0.475*44/12</f>
        <v>5.0370159570007088E-2</v>
      </c>
      <c r="BS52" s="22">
        <f t="shared" si="9"/>
        <v>30.776369682449577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25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44.460000000000022</v>
      </c>
      <c r="D53" s="11">
        <f t="shared" si="32"/>
        <v>13.17339997701186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444.88940333131978</v>
      </c>
      <c r="H53" s="67">
        <f t="shared" si="1"/>
        <v>393.71150495996233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>
        <f>VLOOKUP(A53,'Données projet'!$A$35:$I$55,2,0)</f>
        <v>329</v>
      </c>
      <c r="L53" s="12">
        <f>VLOOKUP(A53,'Données projet'!$A$35:$I$55,9,0)</f>
        <v>10.6</v>
      </c>
      <c r="M53" s="12">
        <f t="array" ref="M53">INDEX(L:L,MIN(IF(ISNUMBER(L53:L249),ROW(L53:L249),"")))</f>
        <v>10.6</v>
      </c>
      <c r="N53" s="13">
        <f>IF('Données projet'!$A$36&gt;35,N52+M53-V52,IF(A53&lt;'Données projet'!$A$36,$K$205^A53,IF(A53='Données projet'!$A$36,'Données projet'!$B$36,N52+M53-V52)))</f>
        <v>329</v>
      </c>
      <c r="O53" s="13">
        <f>N53*VLOOKUP('Données projet'!$B$9,Paramètres!$A$1:$I$89,3,0)*VLOOKUP('Données projet'!$B$9,Paramètres!$A$1:$I$89,5,0)</f>
        <v>241.22280000000001</v>
      </c>
      <c r="P53" s="13">
        <f t="shared" si="33"/>
        <v>58.702543992248827</v>
      </c>
      <c r="Q53" s="20">
        <f t="shared" si="53"/>
        <v>522.36997411983327</v>
      </c>
      <c r="R53" s="59">
        <f t="shared" si="0"/>
        <v>815.70330745316664</v>
      </c>
      <c r="S53" s="59">
        <f ca="1">AVERAGE(OFFSET($R$3,0,0,'Données projet'!$E$9+1,1))-AVERAGE(OFFSET($H$3,0,0,'Données projet'!$E$9+1,1))</f>
        <v>284.62668108124626</v>
      </c>
      <c r="T53" s="59">
        <f t="shared" si="34"/>
        <v>333.70864452711021</v>
      </c>
      <c r="U53" s="15">
        <f>IF(ISNA(VLOOKUP(A53,'Données projet'!$A$35:$I$55,3,0)),0,VLOOKUP(A53,'Données projet'!$A$35:$I$55,3,0))</f>
        <v>5</v>
      </c>
      <c r="V53" s="15">
        <f>IF(ISNA(VLOOKUP(A53,'Données projet'!$A$35:$I$55,4,0)),0,VLOOKUP(A53,'Données projet'!$A$35:$I$55,4,0))</f>
        <v>47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1.9701539690791392</v>
      </c>
      <c r="AA53" s="21">
        <f>EXP(-LN(2)/25)*AA52+(1-EXP(-LN(2)/25))/(LN(2)/25)*Calculateur!V53*Calculateur!X53*VLOOKUP('Données projet'!$B$9,Paramètres!$A$1:$I$89,3,0)*0.475*44/12</f>
        <v>10.910579743154532</v>
      </c>
      <c r="AB53" s="21">
        <f>EXP(-LN(2)/2)*AB52+(1-EXP(-LN(2)/2))/(LN(2)/2)*V53*Y53*VLOOKUP('Données projet'!$B$9,Paramètres!$A$1:$I$89,3,0)*0.475*44/12</f>
        <v>2.5981428448519688E-2</v>
      </c>
      <c r="AC53" s="22">
        <f t="shared" si="3"/>
        <v>12.90671514068219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259</v>
      </c>
      <c r="AG53" s="12">
        <f>VLOOKUP(A53,'Données projet'!$A$61:$I$81,9,0)</f>
        <v>11.2</v>
      </c>
      <c r="AH53" s="12">
        <f t="array" ref="AH53">INDEX(AG:AG,MIN(IF(ISNUMBER(AG53:AG249),ROW(AG53:AG249),"")))</f>
        <v>11.2</v>
      </c>
      <c r="AI53" s="13">
        <f>IF('Données projet'!$A$62&gt;35,AI52+AH53-AQ52,IF(A53&lt;'Données projet'!$A$62,$AF$205^A53,IF(A53='Données projet'!$A$62,'Données projet'!$B$62,AI52+AH53-AQ52)))</f>
        <v>258.99999999999989</v>
      </c>
      <c r="AJ53" s="13">
        <f>AI53*VLOOKUP('Données projet'!$B$10,Paramètres!$A$1:$I$89,3,0)*VLOOKUP('Données projet'!$B$10,Paramètres!$A$1:$I$89,5,0)</f>
        <v>234.34319999999988</v>
      </c>
      <c r="AK53" s="13">
        <f t="shared" si="35"/>
        <v>57.220758006491614</v>
      </c>
      <c r="AL53" s="20">
        <f t="shared" si="4"/>
        <v>507.80722686130594</v>
      </c>
      <c r="AM53" s="59">
        <f t="shared" si="5"/>
        <v>801.14056019463919</v>
      </c>
      <c r="AN53" s="59">
        <f ca="1">AVERAGE(OFFSET($AM$3,0,0,'Données projet'!$E$10+1,1))-AVERAGE(OFFSET($H$3,0,0,'Données projet'!$E$10+1,1))</f>
        <v>318.40875902853116</v>
      </c>
      <c r="AO53" s="59">
        <f t="shared" si="36"/>
        <v>234.87694492493506</v>
      </c>
      <c r="AP53" s="15">
        <f>IF(ISNA(VLOOKUP(A53,'Données projet'!$A$61:$I$81,3,0)),0,VLOOKUP(A53,'Données projet'!$A$61:$I$81,3,0))</f>
        <v>4</v>
      </c>
      <c r="AQ53" s="15">
        <f>IF(ISNA(VLOOKUP(A53,'Données projet'!$A$61:$I$81,4,0)),0,VLOOKUP(A53,'Données projet'!$A$61:$I$81,4,0))</f>
        <v>56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1.6208358894551784</v>
      </c>
      <c r="AV53" s="21">
        <f>EXP(-LN(2)/25)*AV52+(1-EXP(-LN(2)/25))/(LN(2)/25)*Calculateur!AQ53*Calculateur!AS53*VLOOKUP('Données projet'!$B$10,Paramètres!$A$1:$I$89,3,0)*0.475*44/12</f>
        <v>6.4802774681979134</v>
      </c>
      <c r="AW53" s="21">
        <f>EXP(-LN(2)/2)*AW52+(1-EXP(-LN(2)/2))/(LN(2)/2)*AQ53*AT53*VLOOKUP('Données projet'!$B$10,Paramètres!$A$1:$I$89,3,0)*0.475*44/12</f>
        <v>2.1048180443463484E-2</v>
      </c>
      <c r="AX53" s="21">
        <f t="shared" si="6"/>
        <v>8.1221615380965542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>
        <f>VLOOKUP(A53,'Données projet'!$A$87:$I$107,2,0)</f>
        <v>615</v>
      </c>
      <c r="BB53" s="12">
        <f>VLOOKUP(A53,'Données projet'!$A$87:$I$107,9,0)</f>
        <v>22.8</v>
      </c>
      <c r="BC53" s="12">
        <f t="array" ref="BC53">INDEX(BB:BB,MIN(IF(ISNUMBER(BB53:BB249),ROW(BB53:BB249),"")))</f>
        <v>22.8</v>
      </c>
      <c r="BD53" s="12">
        <f>IF('Données projet'!$A$88&gt;35,BD52+BC53-BL52,IF(A53&lt;'Données projet'!$A$88,$BA$205^A53,IF(A53='Données projet'!$A$88,'Données projet'!$B$88,BD52+BC53-BL52)))</f>
        <v>614.99999999999989</v>
      </c>
      <c r="BE53" s="13">
        <f>BD53*VLOOKUP('Données projet'!$B$11,Paramètres!$A$1:$I$89,3,0)*VLOOKUP('Données projet'!$B$11,Paramètres!$A$1:$I$89,5,0)</f>
        <v>343.78499999999991</v>
      </c>
      <c r="BF53" s="13">
        <f t="shared" si="37"/>
        <v>80.281446809317075</v>
      </c>
      <c r="BG53" s="20">
        <f t="shared" si="7"/>
        <v>738.58239485956028</v>
      </c>
      <c r="BH53" s="59">
        <f t="shared" si="8"/>
        <v>1031.9157281928935</v>
      </c>
      <c r="BI53" s="59">
        <f ca="1">AVERAGE(OFFSET($BH$3,0,0,'Données projet'!$E$11+1,1))-AVERAGE(OFFSET($H$3,0,0,'Données projet'!$E$11+1,1))</f>
        <v>415.91544298418842</v>
      </c>
      <c r="BJ53" s="59">
        <f t="shared" si="38"/>
        <v>422.79312683312583</v>
      </c>
      <c r="BK53" s="15">
        <f>IF(ISNA(VLOOKUP(A53,'Données projet'!$A$87:$I$107,3,0)),0,VLOOKUP(A53,'Données projet'!$A$87:$I$107,3,0))</f>
        <v>4</v>
      </c>
      <c r="BL53" s="15">
        <f>IF(ISNA(VLOOKUP(A53,'Données projet'!$A$87:$I$107,4,0)),0,VLOOKUP(A53,'Données projet'!$A$87:$I$107,4,0))</f>
        <v>129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7.6849977517271402</v>
      </c>
      <c r="BQ53" s="21">
        <f>EXP(-LN(2)/25)*BQ52+(1-EXP(-LN(2)/25))/(LN(2)/25)*Calculateur!BL53*Calculateur!BN53*VLOOKUP('Données projet'!$B$11,Paramètres!$A$1:$I$89,3,0)*0.475*44/12</f>
        <v>22.261435314181455</v>
      </c>
      <c r="BR53" s="21">
        <f>EXP(-LN(2)/2)*BR52+(1-EXP(-LN(2)/2))/(LN(2)/2)*BL53*BO53*VLOOKUP('Données projet'!$B$11,Paramètres!$A$1:$I$89,3,0)*0.475*44/12</f>
        <v>3.5617081401400484E-2</v>
      </c>
      <c r="BS53" s="22">
        <f t="shared" si="9"/>
        <v>29.982050147309995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25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45.349200000000025</v>
      </c>
      <c r="D54" s="11">
        <f t="shared" si="32"/>
        <v>13.405931317559242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453.54838210045756</v>
      </c>
      <c r="H54" s="67">
        <f t="shared" si="1"/>
        <v>395.66518704474902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7.9</v>
      </c>
      <c r="N54" s="13">
        <f>IF('Données projet'!$A$36&gt;35,N53+M54-V53,IF(A54&lt;'Données projet'!$A$36,$K$205^A54,IF(A54='Données projet'!$A$36,'Données projet'!$B$36,N53+M54-V53)))</f>
        <v>289.89999999999998</v>
      </c>
      <c r="O54" s="13">
        <f>N54*VLOOKUP('Données projet'!$B$9,Paramètres!$A$1:$I$89,3,0)*VLOOKUP('Données projet'!$B$9,Paramètres!$A$1:$I$89,5,0)</f>
        <v>212.55467999999999</v>
      </c>
      <c r="P54" s="13">
        <f t="shared" si="33"/>
        <v>52.493454075317501</v>
      </c>
      <c r="Q54" s="20">
        <f t="shared" si="53"/>
        <v>461.62550018117787</v>
      </c>
      <c r="R54" s="59">
        <f t="shared" si="0"/>
        <v>754.95883351451118</v>
      </c>
      <c r="S54" s="59">
        <f ca="1">AVERAGE(OFFSET($R$3,0,0,'Données projet'!$E$9+1,1))-AVERAGE(OFFSET($H$3,0,0,'Données projet'!$E$9+1,1))</f>
        <v>284.62668108124626</v>
      </c>
      <c r="T54" s="59">
        <f t="shared" si="34"/>
        <v>333.70864452711021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1.9315204514207629</v>
      </c>
      <c r="AA54" s="21">
        <f>EXP(-LN(2)/25)*AA53+(1-EXP(-LN(2)/25))/(LN(2)/25)*Calculateur!V54*Calculateur!X54*VLOOKUP('Données projet'!$B$9,Paramètres!$A$1:$I$89,3,0)*0.475*44/12</f>
        <v>10.612229366315519</v>
      </c>
      <c r="AB54" s="21">
        <f>EXP(-LN(2)/2)*AB53+(1-EXP(-LN(2)/2))/(LN(2)/2)*V54*Y54*VLOOKUP('Données projet'!$B$9,Paramètres!$A$1:$I$89,3,0)*0.475*44/12</f>
        <v>1.8371644240861351E-2</v>
      </c>
      <c r="AC54" s="22">
        <f t="shared" si="3"/>
        <v>12.562121461977144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9.8000000000000007</v>
      </c>
      <c r="AI54" s="13">
        <f>IF('Données projet'!$A$62&gt;35,AI53+AH54-AQ53,IF(A54&lt;'Données projet'!$A$62,$AF$205^A54,IF(A54='Données projet'!$A$62,'Données projet'!$B$62,AI53+AH54-AQ53)))</f>
        <v>212.7999999999999</v>
      </c>
      <c r="AJ54" s="13">
        <f>AI54*VLOOKUP('Données projet'!$B$10,Paramètres!$A$1:$I$89,3,0)*VLOOKUP('Données projet'!$B$10,Paramètres!$A$1:$I$89,5,0)</f>
        <v>192.54143999999991</v>
      </c>
      <c r="AK54" s="13">
        <f t="shared" si="35"/>
        <v>48.101393902059698</v>
      </c>
      <c r="AL54" s="20">
        <f t="shared" si="4"/>
        <v>419.11960237942048</v>
      </c>
      <c r="AM54" s="59">
        <f t="shared" si="5"/>
        <v>712.45293571275374</v>
      </c>
      <c r="AN54" s="59">
        <f ca="1">AVERAGE(OFFSET($AM$3,0,0,'Données projet'!$E$10+1,1))-AVERAGE(OFFSET($H$3,0,0,'Données projet'!$E$10+1,1))</f>
        <v>318.40875902853116</v>
      </c>
      <c r="AO54" s="59">
        <f t="shared" si="36"/>
        <v>234.87694492493506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1.5890522862752376</v>
      </c>
      <c r="AV54" s="21">
        <f>EXP(-LN(2)/25)*AV53+(1-EXP(-LN(2)/25))/(LN(2)/25)*Calculateur!AQ54*Calculateur!AS54*VLOOKUP('Données projet'!$B$10,Paramètres!$A$1:$I$89,3,0)*0.475*44/12</f>
        <v>6.3030739400470601</v>
      </c>
      <c r="AW54" s="21">
        <f>EXP(-LN(2)/2)*AW53+(1-EXP(-LN(2)/2))/(LN(2)/2)*AQ54*AT54*VLOOKUP('Données projet'!$B$10,Paramètres!$A$1:$I$89,3,0)*0.475*44/12</f>
        <v>1.4883311123211104E-2</v>
      </c>
      <c r="AX54" s="21">
        <f t="shared" si="6"/>
        <v>7.9070095374455089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19.3</v>
      </c>
      <c r="BD54" s="12">
        <f>IF('Données projet'!$A$88&gt;35,BD53+BC54-BL53,IF(A54&lt;'Données projet'!$A$88,$BA$205^A54,IF(A54='Données projet'!$A$88,'Données projet'!$B$88,BD53+BC54-BL53)))</f>
        <v>505.29999999999984</v>
      </c>
      <c r="BE54" s="13">
        <f>BD54*VLOOKUP('Données projet'!$B$11,Paramètres!$A$1:$I$89,3,0)*VLOOKUP('Données projet'!$B$11,Paramètres!$A$1:$I$89,5,0)</f>
        <v>282.46269999999993</v>
      </c>
      <c r="BF54" s="13">
        <f t="shared" si="37"/>
        <v>67.487182645718548</v>
      </c>
      <c r="BG54" s="20">
        <f t="shared" si="7"/>
        <v>609.49604560795967</v>
      </c>
      <c r="BH54" s="59">
        <f t="shared" si="8"/>
        <v>902.82937894129304</v>
      </c>
      <c r="BI54" s="59">
        <f ca="1">AVERAGE(OFFSET($BH$3,0,0,'Données projet'!$E$11+1,1))-AVERAGE(OFFSET($H$3,0,0,'Données projet'!$E$11+1,1))</f>
        <v>415.91544298418842</v>
      </c>
      <c r="BJ54" s="59">
        <f t="shared" si="38"/>
        <v>422.79312683312583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7.5342996332015586</v>
      </c>
      <c r="BQ54" s="21">
        <f>EXP(-LN(2)/25)*BQ53+(1-EXP(-LN(2)/25))/(LN(2)/25)*Calculateur!BL54*Calculateur!BN54*VLOOKUP('Données projet'!$B$11,Paramètres!$A$1:$I$89,3,0)*0.475*44/12</f>
        <v>21.652695194837158</v>
      </c>
      <c r="BR54" s="21">
        <f>EXP(-LN(2)/2)*BR53+(1-EXP(-LN(2)/2))/(LN(2)/2)*BL54*BO54*VLOOKUP('Données projet'!$B$11,Paramètres!$A$1:$I$89,3,0)*0.475*44/12</f>
        <v>2.5185079785003544E-2</v>
      </c>
      <c r="BS54" s="22">
        <f t="shared" si="9"/>
        <v>29.212179907823721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25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46.238400000000027</v>
      </c>
      <c r="D55" s="11">
        <f t="shared" si="32"/>
        <v>13.637932508790366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462.20326848890824</v>
      </c>
      <c r="H55" s="67">
        <f t="shared" si="1"/>
        <v>397.61794578614325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7.9</v>
      </c>
      <c r="N55" s="13">
        <f>IF('Données projet'!$A$36&gt;35,N54+M55-V54,IF(A55&lt;'Données projet'!$A$36,$K$205^A55,IF(A55='Données projet'!$A$36,'Données projet'!$B$36,N54+M55-V54)))</f>
        <v>297.79999999999995</v>
      </c>
      <c r="O55" s="13">
        <f>N55*VLOOKUP('Données projet'!$B$9,Paramètres!$A$1:$I$89,3,0)*VLOOKUP('Données projet'!$B$9,Paramètres!$A$1:$I$89,5,0)</f>
        <v>218.34695999999997</v>
      </c>
      <c r="P55" s="13">
        <f t="shared" si="33"/>
        <v>53.755448088182881</v>
      </c>
      <c r="Q55" s="20">
        <f t="shared" si="53"/>
        <v>473.91169408691849</v>
      </c>
      <c r="R55" s="59">
        <f t="shared" si="0"/>
        <v>767.24502742025174</v>
      </c>
      <c r="S55" s="59">
        <f ca="1">AVERAGE(OFFSET($R$3,0,0,'Données projet'!$E$9+1,1))-AVERAGE(OFFSET($H$3,0,0,'Données projet'!$E$9+1,1))</f>
        <v>284.62668108124626</v>
      </c>
      <c r="T55" s="59">
        <f t="shared" si="34"/>
        <v>333.70864452711021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1.8936445134795483</v>
      </c>
      <c r="AA55" s="21">
        <f>EXP(-LN(2)/25)*AA54+(1-EXP(-LN(2)/25))/(LN(2)/25)*Calculateur!V55*Calculateur!X55*VLOOKUP('Données projet'!$B$9,Paramètres!$A$1:$I$89,3,0)*0.475*44/12</f>
        <v>10.322037396220734</v>
      </c>
      <c r="AB55" s="21">
        <f>EXP(-LN(2)/2)*AB54+(1-EXP(-LN(2)/2))/(LN(2)/2)*V55*Y55*VLOOKUP('Données projet'!$B$9,Paramètres!$A$1:$I$89,3,0)*0.475*44/12</f>
        <v>1.2990714224259844E-2</v>
      </c>
      <c r="AC55" s="22">
        <f t="shared" si="3"/>
        <v>12.228672623924544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9.8000000000000007</v>
      </c>
      <c r="AI55" s="13">
        <f>IF('Données projet'!$A$62&gt;35,AI54+AH55-AQ54,IF(A55&lt;'Données projet'!$A$62,$AF$205^A55,IF(A55='Données projet'!$A$62,'Données projet'!$B$62,AI54+AH55-AQ54)))</f>
        <v>222.59999999999991</v>
      </c>
      <c r="AJ55" s="13">
        <f>AI55*VLOOKUP('Données projet'!$B$10,Paramètres!$A$1:$I$89,3,0)*VLOOKUP('Données projet'!$B$10,Paramètres!$A$1:$I$89,5,0)</f>
        <v>201.40847999999991</v>
      </c>
      <c r="AK55" s="13">
        <f t="shared" si="35"/>
        <v>50.053582459229212</v>
      </c>
      <c r="AL55" s="20">
        <f t="shared" si="4"/>
        <v>437.96309211649071</v>
      </c>
      <c r="AM55" s="59">
        <f t="shared" si="5"/>
        <v>731.29642544982403</v>
      </c>
      <c r="AN55" s="59">
        <f ca="1">AVERAGE(OFFSET($AM$3,0,0,'Données projet'!$E$10+1,1))-AVERAGE(OFFSET($H$3,0,0,'Données projet'!$E$10+1,1))</f>
        <v>318.40875902853116</v>
      </c>
      <c r="AO55" s="59">
        <f t="shared" si="36"/>
        <v>234.87694492493506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1.5578919401675717</v>
      </c>
      <c r="AV55" s="21">
        <f>EXP(-LN(2)/25)*AV54+(1-EXP(-LN(2)/25))/(LN(2)/25)*Calculateur!AQ55*Calculateur!AS55*VLOOKUP('Données projet'!$B$10,Paramètres!$A$1:$I$89,3,0)*0.475*44/12</f>
        <v>6.1307160516922208</v>
      </c>
      <c r="AW55" s="21">
        <f>EXP(-LN(2)/2)*AW54+(1-EXP(-LN(2)/2))/(LN(2)/2)*AQ55*AT55*VLOOKUP('Données projet'!$B$10,Paramètres!$A$1:$I$89,3,0)*0.475*44/12</f>
        <v>1.0524090221731744E-2</v>
      </c>
      <c r="AX55" s="21">
        <f t="shared" si="6"/>
        <v>7.6991320820815243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19.3</v>
      </c>
      <c r="BD55" s="12">
        <f>IF('Données projet'!$A$88&gt;35,BD54+BC55-BL54,IF(A55&lt;'Données projet'!$A$88,$BA$205^A55,IF(A55='Données projet'!$A$88,'Données projet'!$B$88,BD54+BC55-BL54)))</f>
        <v>524.5999999999998</v>
      </c>
      <c r="BE55" s="13">
        <f>BD55*VLOOKUP('Données projet'!$B$11,Paramètres!$A$1:$I$89,3,0)*VLOOKUP('Données projet'!$B$11,Paramètres!$A$1:$I$89,5,0)</f>
        <v>293.25139999999988</v>
      </c>
      <c r="BF55" s="13">
        <f t="shared" si="37"/>
        <v>69.759829754702025</v>
      </c>
      <c r="BG55" s="20">
        <f t="shared" si="7"/>
        <v>632.2445584894391</v>
      </c>
      <c r="BH55" s="59">
        <f t="shared" si="8"/>
        <v>925.57789182277247</v>
      </c>
      <c r="BI55" s="59">
        <f ca="1">AVERAGE(OFFSET($BH$3,0,0,'Données projet'!$E$11+1,1))-AVERAGE(OFFSET($H$3,0,0,'Données projet'!$E$11+1,1))</f>
        <v>415.91544298418842</v>
      </c>
      <c r="BJ55" s="59">
        <f t="shared" si="38"/>
        <v>422.79312683312583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7.3865566128634876</v>
      </c>
      <c r="BQ55" s="21">
        <f>EXP(-LN(2)/25)*BQ54+(1-EXP(-LN(2)/25))/(LN(2)/25)*Calculateur!BL55*Calculateur!BN55*VLOOKUP('Données projet'!$B$11,Paramètres!$A$1:$I$89,3,0)*0.475*44/12</f>
        <v>21.060601106068582</v>
      </c>
      <c r="BR55" s="21">
        <f>EXP(-LN(2)/2)*BR54+(1-EXP(-LN(2)/2))/(LN(2)/2)*BL55*BO55*VLOOKUP('Données projet'!$B$11,Paramètres!$A$1:$I$89,3,0)*0.475*44/12</f>
        <v>1.7808540700700242E-2</v>
      </c>
      <c r="BS55" s="22">
        <f t="shared" si="9"/>
        <v>28.464966259632767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25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47.127600000000029</v>
      </c>
      <c r="D56" s="11">
        <f t="shared" si="32"/>
        <v>13.869414921287754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470.85415026958998</v>
      </c>
      <c r="H56" s="67">
        <f t="shared" si="1"/>
        <v>399.56980098790956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7.9</v>
      </c>
      <c r="N56" s="13">
        <f>IF('Données projet'!$A$36&gt;35,N55+M56-V55,IF(A56&lt;'Données projet'!$A$36,$K$205^A56,IF(A56='Données projet'!$A$36,'Données projet'!$B$36,N55+M56-V55)))</f>
        <v>305.69999999999993</v>
      </c>
      <c r="O56" s="13">
        <f>N56*VLOOKUP('Données projet'!$B$9,Paramètres!$A$1:$I$89,3,0)*VLOOKUP('Données projet'!$B$9,Paramètres!$A$1:$I$89,5,0)</f>
        <v>224.13923999999997</v>
      </c>
      <c r="P56" s="13">
        <f t="shared" si="33"/>
        <v>55.013550788093823</v>
      </c>
      <c r="Q56" s="20">
        <f t="shared" si="53"/>
        <v>486.19111062259668</v>
      </c>
      <c r="R56" s="59">
        <f t="shared" si="0"/>
        <v>779.52444395593</v>
      </c>
      <c r="S56" s="59">
        <f ca="1">AVERAGE(OFFSET($R$3,0,0,'Données projet'!$E$9+1,1))-AVERAGE(OFFSET($H$3,0,0,'Données projet'!$E$9+1,1))</f>
        <v>284.62668108124626</v>
      </c>
      <c r="T56" s="59">
        <f t="shared" si="34"/>
        <v>333.70864452711021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1.8565112995793198</v>
      </c>
      <c r="AA56" s="21">
        <f>EXP(-LN(2)/25)*AA55+(1-EXP(-LN(2)/25))/(LN(2)/25)*Calculateur!V56*Calculateur!X56*VLOOKUP('Données projet'!$B$9,Paramètres!$A$1:$I$89,3,0)*0.475*44/12</f>
        <v>10.039780740808723</v>
      </c>
      <c r="AB56" s="21">
        <f>EXP(-LN(2)/2)*AB55+(1-EXP(-LN(2)/2))/(LN(2)/2)*V56*Y56*VLOOKUP('Données projet'!$B$9,Paramètres!$A$1:$I$89,3,0)*0.475*44/12</f>
        <v>9.1858221204306756E-3</v>
      </c>
      <c r="AC56" s="22">
        <f t="shared" si="3"/>
        <v>11.905477862508475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9.8000000000000007</v>
      </c>
      <c r="AI56" s="13">
        <f>IF('Données projet'!$A$62&gt;35,AI55+AH56-AQ55,IF(A56&lt;'Données projet'!$A$62,$AF$205^A56,IF(A56='Données projet'!$A$62,'Données projet'!$B$62,AI55+AH56-AQ55)))</f>
        <v>232.39999999999992</v>
      </c>
      <c r="AJ56" s="13">
        <f>AI56*VLOOKUP('Données projet'!$B$10,Paramètres!$A$1:$I$89,3,0)*VLOOKUP('Données projet'!$B$10,Paramètres!$A$1:$I$89,5,0)</f>
        <v>210.27551999999991</v>
      </c>
      <c r="AK56" s="13">
        <f t="shared" si="35"/>
        <v>51.995789155135654</v>
      </c>
      <c r="AL56" s="20">
        <f t="shared" si="4"/>
        <v>456.78919677852781</v>
      </c>
      <c r="AM56" s="59">
        <f t="shared" si="5"/>
        <v>750.12253011186112</v>
      </c>
      <c r="AN56" s="59">
        <f ca="1">AVERAGE(OFFSET($AM$3,0,0,'Données projet'!$E$10+1,1))-AVERAGE(OFFSET($H$3,0,0,'Données projet'!$E$10+1,1))</f>
        <v>318.40875902853116</v>
      </c>
      <c r="AO56" s="59">
        <f t="shared" si="36"/>
        <v>234.87694492493506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1.5273426294411427</v>
      </c>
      <c r="AV56" s="21">
        <f>EXP(-LN(2)/25)*AV55+(1-EXP(-LN(2)/25))/(LN(2)/25)*Calculateur!AQ56*Calculateur!AS56*VLOOKUP('Données projet'!$B$10,Paramètres!$A$1:$I$89,3,0)*0.475*44/12</f>
        <v>5.9630712988583516</v>
      </c>
      <c r="AW56" s="21">
        <f>EXP(-LN(2)/2)*AW55+(1-EXP(-LN(2)/2))/(LN(2)/2)*AQ56*AT56*VLOOKUP('Données projet'!$B$10,Paramètres!$A$1:$I$89,3,0)*0.475*44/12</f>
        <v>7.441655561605553E-3</v>
      </c>
      <c r="AX56" s="21">
        <f t="shared" si="6"/>
        <v>7.4978555838611003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19.3</v>
      </c>
      <c r="BD56" s="12">
        <f>IF('Données projet'!$A$88&gt;35,BD55+BC56-BL55,IF(A56&lt;'Données projet'!$A$88,$BA$205^A56,IF(A56='Données projet'!$A$88,'Données projet'!$B$88,BD55+BC56-BL55)))</f>
        <v>543.89999999999975</v>
      </c>
      <c r="BE56" s="13">
        <f>BD56*VLOOKUP('Données projet'!$B$11,Paramètres!$A$1:$I$89,3,0)*VLOOKUP('Données projet'!$B$11,Paramètres!$A$1:$I$89,5,0)</f>
        <v>304.04009999999988</v>
      </c>
      <c r="BF56" s="13">
        <f t="shared" si="37"/>
        <v>72.022763091018376</v>
      </c>
      <c r="BG56" s="20">
        <f t="shared" si="7"/>
        <v>654.97615321685669</v>
      </c>
      <c r="BH56" s="59">
        <f t="shared" si="8"/>
        <v>948.30948655019006</v>
      </c>
      <c r="BI56" s="59">
        <f ca="1">AVERAGE(OFFSET($BH$3,0,0,'Données projet'!$E$11+1,1))-AVERAGE(OFFSET($H$3,0,0,'Données projet'!$E$11+1,1))</f>
        <v>415.91544298418842</v>
      </c>
      <c r="BJ56" s="59">
        <f t="shared" si="38"/>
        <v>422.79312683312583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7.2417107430399019</v>
      </c>
      <c r="BQ56" s="21">
        <f>EXP(-LN(2)/25)*BQ55+(1-EXP(-LN(2)/25))/(LN(2)/25)*Calculateur!BL56*Calculateur!BN56*VLOOKUP('Données projet'!$B$11,Paramètres!$A$1:$I$89,3,0)*0.475*44/12</f>
        <v>20.484697861294258</v>
      </c>
      <c r="BR56" s="21">
        <f>EXP(-LN(2)/2)*BR55+(1-EXP(-LN(2)/2))/(LN(2)/2)*BL56*BO56*VLOOKUP('Données projet'!$B$11,Paramètres!$A$1:$I$89,3,0)*0.475*44/12</f>
        <v>1.2592539892501772E-2</v>
      </c>
      <c r="BS56" s="22">
        <f t="shared" si="9"/>
        <v>27.739001144226663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25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48.016800000000032</v>
      </c>
      <c r="D57" s="11">
        <f t="shared" si="32"/>
        <v>14.100389472000563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479.50111171368889</v>
      </c>
      <c r="H57" s="67">
        <f t="shared" si="1"/>
        <v>401.52077166373437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7.9</v>
      </c>
      <c r="N57" s="13">
        <f>IF('Données projet'!$A$36&gt;35,N56+M57-V56,IF(A57&lt;'Données projet'!$A$36,$K$205^A57,IF(A57='Données projet'!$A$36,'Données projet'!$B$36,N56+M57-V56)))</f>
        <v>313.59999999999991</v>
      </c>
      <c r="O57" s="13">
        <f>N57*VLOOKUP('Données projet'!$B$9,Paramètres!$A$1:$I$89,3,0)*VLOOKUP('Données projet'!$B$9,Paramètres!$A$1:$I$89,5,0)</f>
        <v>229.93151999999992</v>
      </c>
      <c r="P57" s="13">
        <f t="shared" si="33"/>
        <v>56.26787429746841</v>
      </c>
      <c r="Q57" s="20">
        <f t="shared" si="53"/>
        <v>498.4639450680906</v>
      </c>
      <c r="R57" s="59">
        <f t="shared" si="0"/>
        <v>791.79727840142391</v>
      </c>
      <c r="S57" s="59">
        <f ca="1">AVERAGE(OFFSET($R$3,0,0,'Données projet'!$E$9+1,1))-AVERAGE(OFFSET($H$3,0,0,'Données projet'!$E$9+1,1))</f>
        <v>284.62668108124626</v>
      </c>
      <c r="T57" s="59">
        <f t="shared" si="34"/>
        <v>333.70864452711021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1.8201062453546508</v>
      </c>
      <c r="AA57" s="21">
        <f>EXP(-LN(2)/25)*AA56+(1-EXP(-LN(2)/25))/(LN(2)/25)*Calculateur!V57*Calculateur!X57*VLOOKUP('Données projet'!$B$9,Paramètres!$A$1:$I$89,3,0)*0.475*44/12</f>
        <v>9.7652424084821856</v>
      </c>
      <c r="AB57" s="21">
        <f>EXP(-LN(2)/2)*AB56+(1-EXP(-LN(2)/2))/(LN(2)/2)*V57*Y57*VLOOKUP('Données projet'!$B$9,Paramètres!$A$1:$I$89,3,0)*0.475*44/12</f>
        <v>6.4953571121299219E-3</v>
      </c>
      <c r="AC57" s="22">
        <f t="shared" si="3"/>
        <v>11.591844010948966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9.8000000000000007</v>
      </c>
      <c r="AI57" s="13">
        <f>IF('Données projet'!$A$62&gt;35,AI56+AH57-AQ56,IF(A57&lt;'Données projet'!$A$62,$AF$205^A57,IF(A57='Données projet'!$A$62,'Données projet'!$B$62,AI56+AH57-AQ56)))</f>
        <v>242.19999999999993</v>
      </c>
      <c r="AJ57" s="13">
        <f>AI57*VLOOKUP('Données projet'!$B$10,Paramètres!$A$1:$I$89,3,0)*VLOOKUP('Données projet'!$B$10,Paramètres!$A$1:$I$89,5,0)</f>
        <v>219.14255999999992</v>
      </c>
      <c r="AK57" s="13">
        <f t="shared" si="35"/>
        <v>53.928483039139707</v>
      </c>
      <c r="AL57" s="20">
        <f t="shared" si="4"/>
        <v>475.59873329316815</v>
      </c>
      <c r="AM57" s="59">
        <f t="shared" si="5"/>
        <v>768.93206662650141</v>
      </c>
      <c r="AN57" s="59">
        <f ca="1">AVERAGE(OFFSET($AM$3,0,0,'Données projet'!$E$10+1,1))-AVERAGE(OFFSET($H$3,0,0,'Données projet'!$E$10+1,1))</f>
        <v>318.40875902853116</v>
      </c>
      <c r="AO57" s="59">
        <f t="shared" si="36"/>
        <v>234.87694492493506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1.4973923720648192</v>
      </c>
      <c r="AV57" s="21">
        <f>EXP(-LN(2)/25)*AV56+(1-EXP(-LN(2)/25))/(LN(2)/25)*Calculateur!AQ57*Calculateur!AS57*VLOOKUP('Données projet'!$B$10,Paramètres!$A$1:$I$89,3,0)*0.475*44/12</f>
        <v>5.8000108006067794</v>
      </c>
      <c r="AW57" s="21">
        <f>EXP(-LN(2)/2)*AW56+(1-EXP(-LN(2)/2))/(LN(2)/2)*AQ57*AT57*VLOOKUP('Données projet'!$B$10,Paramètres!$A$1:$I$89,3,0)*0.475*44/12</f>
        <v>5.2620451108658728E-3</v>
      </c>
      <c r="AX57" s="21">
        <f t="shared" si="6"/>
        <v>7.3026652177824651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19.3</v>
      </c>
      <c r="BD57" s="12">
        <f>IF('Données projet'!$A$88&gt;35,BD56+BC57-BL56,IF(A57&lt;'Données projet'!$A$88,$BA$205^A57,IF(A57='Données projet'!$A$88,'Données projet'!$B$88,BD56+BC57-BL56)))</f>
        <v>563.1999999999997</v>
      </c>
      <c r="BE57" s="13">
        <f>BD57*VLOOKUP('Données projet'!$B$11,Paramètres!$A$1:$I$89,3,0)*VLOOKUP('Données projet'!$B$11,Paramètres!$A$1:$I$89,5,0)</f>
        <v>314.82879999999983</v>
      </c>
      <c r="BF57" s="13">
        <f t="shared" si="37"/>
        <v>74.276366834686527</v>
      </c>
      <c r="BG57" s="20">
        <f t="shared" si="7"/>
        <v>677.69149890374536</v>
      </c>
      <c r="BH57" s="59">
        <f t="shared" si="8"/>
        <v>971.02483223707873</v>
      </c>
      <c r="BI57" s="59">
        <f ca="1">AVERAGE(OFFSET($BH$3,0,0,'Données projet'!$E$11+1,1))-AVERAGE(OFFSET($H$3,0,0,'Données projet'!$E$11+1,1))</f>
        <v>415.91544298418842</v>
      </c>
      <c r="BJ57" s="59">
        <f t="shared" si="38"/>
        <v>422.79312683312583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7.0997052123762998</v>
      </c>
      <c r="BQ57" s="21">
        <f>EXP(-LN(2)/25)*BQ56+(1-EXP(-LN(2)/25))/(LN(2)/25)*Calculateur!BL57*Calculateur!BN57*VLOOKUP('Données projet'!$B$11,Paramètres!$A$1:$I$89,3,0)*0.475*44/12</f>
        <v>19.924542721033724</v>
      </c>
      <c r="BR57" s="21">
        <f>EXP(-LN(2)/2)*BR56+(1-EXP(-LN(2)/2))/(LN(2)/2)*BL57*BO57*VLOOKUP('Données projet'!$B$11,Paramètres!$A$1:$I$89,3,0)*0.475*44/12</f>
        <v>8.904270350350121E-3</v>
      </c>
      <c r="BS57" s="22">
        <f t="shared" si="9"/>
        <v>27.033152203760373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25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48.906000000000034</v>
      </c>
      <c r="D58" s="11">
        <f t="shared" si="32"/>
        <v>14.330866650402033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488.14423379257738</v>
      </c>
      <c r="H58" s="67">
        <f t="shared" si="1"/>
        <v>403.47087608278355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7.9</v>
      </c>
      <c r="N58" s="13">
        <f>IF('Données projet'!$A$36&gt;35,N57+M58-V57,IF(A58&lt;'Données projet'!$A$36,$K$205^A58,IF(A58='Données projet'!$A$36,'Données projet'!$B$36,N57+M58-V57)))</f>
        <v>321.49999999999989</v>
      </c>
      <c r="O58" s="13">
        <f>N58*VLOOKUP('Données projet'!$B$9,Paramètres!$A$1:$I$89,3,0)*VLOOKUP('Données projet'!$B$9,Paramètres!$A$1:$I$89,5,0)</f>
        <v>235.7237999999999</v>
      </c>
      <c r="P58" s="13">
        <f t="shared" si="33"/>
        <v>57.518524767778118</v>
      </c>
      <c r="Q58" s="20">
        <f t="shared" si="53"/>
        <v>510.73038230388005</v>
      </c>
      <c r="R58" s="59">
        <f t="shared" si="0"/>
        <v>804.06371563721336</v>
      </c>
      <c r="S58" s="59">
        <f ca="1">AVERAGE(OFFSET($R$3,0,0,'Données projet'!$E$9+1,1))-AVERAGE(OFFSET($H$3,0,0,'Données projet'!$E$9+1,1))</f>
        <v>284.62668108124626</v>
      </c>
      <c r="T58" s="59">
        <f t="shared" si="34"/>
        <v>333.70864452711021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1.7844150720384371</v>
      </c>
      <c r="AA58" s="21">
        <f>EXP(-LN(2)/25)*AA57+(1-EXP(-LN(2)/25))/(LN(2)/25)*Calculateur!V58*Calculateur!X58*VLOOKUP('Données projet'!$B$9,Paramètres!$A$1:$I$89,3,0)*0.475*44/12</f>
        <v>9.4982113412904603</v>
      </c>
      <c r="AB58" s="21">
        <f>EXP(-LN(2)/2)*AB57+(1-EXP(-LN(2)/2))/(LN(2)/2)*V58*Y58*VLOOKUP('Données projet'!$B$9,Paramètres!$A$1:$I$89,3,0)*0.475*44/12</f>
        <v>4.5929110602153378E-3</v>
      </c>
      <c r="AC58" s="22">
        <f t="shared" si="3"/>
        <v>11.287219324389111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9.8000000000000007</v>
      </c>
      <c r="AI58" s="13">
        <f>IF('Données projet'!$A$62&gt;35,AI57+AH58-AQ57,IF(A58&lt;'Données projet'!$A$62,$AF$205^A58,IF(A58='Données projet'!$A$62,'Données projet'!$B$62,AI57+AH58-AQ57)))</f>
        <v>251.99999999999994</v>
      </c>
      <c r="AJ58" s="13">
        <f>AI58*VLOOKUP('Données projet'!$B$10,Paramètres!$A$1:$I$89,3,0)*VLOOKUP('Données projet'!$B$10,Paramètres!$A$1:$I$89,5,0)</f>
        <v>228.00959999999995</v>
      </c>
      <c r="AK58" s="13">
        <f t="shared" si="35"/>
        <v>55.852093054619829</v>
      </c>
      <c r="AL58" s="20">
        <f t="shared" si="4"/>
        <v>494.3924487367961</v>
      </c>
      <c r="AM58" s="59">
        <f t="shared" si="5"/>
        <v>787.72578207012941</v>
      </c>
      <c r="AN58" s="59">
        <f ca="1">AVERAGE(OFFSET($AM$3,0,0,'Données projet'!$E$10+1,1))-AVERAGE(OFFSET($H$3,0,0,'Données projet'!$E$10+1,1))</f>
        <v>318.40875902853116</v>
      </c>
      <c r="AO58" s="59">
        <f t="shared" si="36"/>
        <v>234.87694492493506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1.4680294209677922</v>
      </c>
      <c r="AV58" s="21">
        <f>EXP(-LN(2)/25)*AV57+(1-EXP(-LN(2)/25))/(LN(2)/25)*Calculateur!AQ58*Calculateur!AS58*VLOOKUP('Données projet'!$B$10,Paramètres!$A$1:$I$89,3,0)*0.475*44/12</f>
        <v>5.6414092002548752</v>
      </c>
      <c r="AW58" s="21">
        <f>EXP(-LN(2)/2)*AW57+(1-EXP(-LN(2)/2))/(LN(2)/2)*AQ58*AT58*VLOOKUP('Données projet'!$B$10,Paramètres!$A$1:$I$89,3,0)*0.475*44/12</f>
        <v>3.7208277808027774E-3</v>
      </c>
      <c r="AX58" s="21">
        <f t="shared" si="6"/>
        <v>7.1131594490034695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19.3</v>
      </c>
      <c r="BD58" s="12">
        <f>IF('Données projet'!$A$88&gt;35,BD57+BC58-BL57,IF(A58&lt;'Données projet'!$A$88,$BA$205^A58,IF(A58='Données projet'!$A$88,'Données projet'!$B$88,BD57+BC58-BL57)))</f>
        <v>582.49999999999966</v>
      </c>
      <c r="BE58" s="13">
        <f>BD58*VLOOKUP('Données projet'!$B$11,Paramètres!$A$1:$I$89,3,0)*VLOOKUP('Données projet'!$B$11,Paramètres!$A$1:$I$89,5,0)</f>
        <v>325.61749999999984</v>
      </c>
      <c r="BF58" s="13">
        <f t="shared" si="37"/>
        <v>76.520997341690872</v>
      </c>
      <c r="BG58" s="20">
        <f t="shared" si="7"/>
        <v>700.39121620344451</v>
      </c>
      <c r="BH58" s="59">
        <f t="shared" si="8"/>
        <v>993.72454953677789</v>
      </c>
      <c r="BI58" s="59">
        <f ca="1">AVERAGE(OFFSET($BH$3,0,0,'Données projet'!$E$11+1,1))-AVERAGE(OFFSET($H$3,0,0,'Données projet'!$E$11+1,1))</f>
        <v>415.91544298418842</v>
      </c>
      <c r="BJ58" s="59">
        <f t="shared" si="38"/>
        <v>422.79312683312583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6.9604843235541898</v>
      </c>
      <c r="BQ58" s="21">
        <f>EXP(-LN(2)/25)*BQ57+(1-EXP(-LN(2)/25))/(LN(2)/25)*Calculateur!BL58*Calculateur!BN58*VLOOKUP('Données projet'!$B$11,Paramètres!$A$1:$I$89,3,0)*0.475*44/12</f>
        <v>19.379705052540892</v>
      </c>
      <c r="BR58" s="21">
        <f>EXP(-LN(2)/2)*BR57+(1-EXP(-LN(2)/2))/(LN(2)/2)*BL58*BO58*VLOOKUP('Données projet'!$B$11,Paramètres!$A$1:$I$89,3,0)*0.475*44/12</f>
        <v>6.296269946250886E-3</v>
      </c>
      <c r="BS58" s="22">
        <f t="shared" si="9"/>
        <v>26.346485646041334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25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49.795200000000037</v>
      </c>
      <c r="D59" s="11">
        <f t="shared" si="32"/>
        <v>14.560856542690786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496.78359436463097</v>
      </c>
      <c r="H59" s="67">
        <f t="shared" si="1"/>
        <v>405.42013181185314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7.9</v>
      </c>
      <c r="N59" s="13">
        <f>IF('Données projet'!$A$36&gt;35,N58+M59-V58,IF(A59&lt;'Données projet'!$A$36,$K$205^A59,IF(A59='Données projet'!$A$36,'Données projet'!$B$36,N58+M59-V58)))</f>
        <v>329.39999999999986</v>
      </c>
      <c r="O59" s="13">
        <f>N59*VLOOKUP('Données projet'!$B$9,Paramètres!$A$1:$I$89,3,0)*VLOOKUP('Données projet'!$B$9,Paramètres!$A$1:$I$89,5,0)</f>
        <v>241.5160799999999</v>
      </c>
      <c r="P59" s="13">
        <f t="shared" si="33"/>
        <v>58.765602836317846</v>
      </c>
      <c r="Q59" s="20">
        <f t="shared" si="53"/>
        <v>522.99059760658679</v>
      </c>
      <c r="R59" s="59">
        <f t="shared" si="0"/>
        <v>816.32393093992005</v>
      </c>
      <c r="S59" s="59">
        <f ca="1">AVERAGE(OFFSET($R$3,0,0,'Données projet'!$E$9+1,1))-AVERAGE(OFFSET($H$3,0,0,'Données projet'!$E$9+1,1))</f>
        <v>284.62668108124626</v>
      </c>
      <c r="T59" s="59">
        <f t="shared" si="34"/>
        <v>333.70864452711021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1.7494237808614881</v>
      </c>
      <c r="AA59" s="21">
        <f>EXP(-LN(2)/25)*AA58+(1-EXP(-LN(2)/25))/(LN(2)/25)*Calculateur!V59*Calculateur!X59*VLOOKUP('Données projet'!$B$9,Paramètres!$A$1:$I$89,3,0)*0.475*44/12</f>
        <v>9.2384822526736468</v>
      </c>
      <c r="AB59" s="21">
        <f>EXP(-LN(2)/2)*AB58+(1-EXP(-LN(2)/2))/(LN(2)/2)*V59*Y59*VLOOKUP('Données projet'!$B$9,Paramètres!$A$1:$I$89,3,0)*0.475*44/12</f>
        <v>3.2476785560649609E-3</v>
      </c>
      <c r="AC59" s="22">
        <f t="shared" si="3"/>
        <v>10.991153712091199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9.8000000000000007</v>
      </c>
      <c r="AI59" s="13">
        <f>IF('Données projet'!$A$62&gt;35,AI58+AH59-AQ58,IF(A59&lt;'Données projet'!$A$62,$AF$205^A59,IF(A59='Données projet'!$A$62,'Données projet'!$B$62,AI58+AH59-AQ58)))</f>
        <v>261.79999999999995</v>
      </c>
      <c r="AJ59" s="13">
        <f>AI59*VLOOKUP('Données projet'!$B$10,Paramètres!$A$1:$I$89,3,0)*VLOOKUP('Données projet'!$B$10,Paramètres!$A$1:$I$89,5,0)</f>
        <v>236.87663999999995</v>
      </c>
      <c r="AK59" s="13">
        <f t="shared" si="35"/>
        <v>57.767012893614115</v>
      </c>
      <c r="AL59" s="20">
        <f t="shared" si="4"/>
        <v>513.17102878971104</v>
      </c>
      <c r="AM59" s="59">
        <f t="shared" si="5"/>
        <v>806.5043621230443</v>
      </c>
      <c r="AN59" s="59">
        <f ca="1">AVERAGE(OFFSET($AM$3,0,0,'Données projet'!$E$10+1,1))-AVERAGE(OFFSET($H$3,0,0,'Données projet'!$E$10+1,1))</f>
        <v>318.40875902853116</v>
      </c>
      <c r="AO59" s="59">
        <f t="shared" si="36"/>
        <v>234.87694492493506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1.4392422594321463</v>
      </c>
      <c r="AV59" s="21">
        <f>EXP(-LN(2)/25)*AV58+(1-EXP(-LN(2)/25))/(LN(2)/25)*Calculateur!AQ59*Calculateur!AS59*VLOOKUP('Données projet'!$B$10,Paramètres!$A$1:$I$89,3,0)*0.475*44/12</f>
        <v>5.4871445690050891</v>
      </c>
      <c r="AW59" s="21">
        <f>EXP(-LN(2)/2)*AW58+(1-EXP(-LN(2)/2))/(LN(2)/2)*AQ59*AT59*VLOOKUP('Données projet'!$B$10,Paramètres!$A$1:$I$89,3,0)*0.475*44/12</f>
        <v>2.6310225554329368E-3</v>
      </c>
      <c r="AX59" s="21">
        <f t="shared" si="6"/>
        <v>6.9290178509926683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19.3</v>
      </c>
      <c r="BD59" s="12">
        <f>IF('Données projet'!$A$88&gt;35,BD58+BC59-BL58,IF(A59&lt;'Données projet'!$A$88,$BA$205^A59,IF(A59='Données projet'!$A$88,'Données projet'!$B$88,BD58+BC59-BL58)))</f>
        <v>601.79999999999961</v>
      </c>
      <c r="BE59" s="13">
        <f>BD59*VLOOKUP('Données projet'!$B$11,Paramètres!$A$1:$I$89,3,0)*VLOOKUP('Données projet'!$B$11,Paramètres!$A$1:$I$89,5,0)</f>
        <v>336.40619999999979</v>
      </c>
      <c r="BF59" s="13">
        <f t="shared" si="37"/>
        <v>78.756986013586328</v>
      </c>
      <c r="BG59" s="20">
        <f t="shared" si="7"/>
        <v>723.07588230699582</v>
      </c>
      <c r="BH59" s="59">
        <f t="shared" si="8"/>
        <v>1016.4092156403292</v>
      </c>
      <c r="BI59" s="59">
        <f ca="1">AVERAGE(OFFSET($BH$3,0,0,'Données projet'!$E$11+1,1))-AVERAGE(OFFSET($H$3,0,0,'Données projet'!$E$11+1,1))</f>
        <v>415.91544298418842</v>
      </c>
      <c r="BJ59" s="59">
        <f t="shared" si="38"/>
        <v>422.79312683312583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6.8239934714455233</v>
      </c>
      <c r="BQ59" s="21">
        <f>EXP(-LN(2)/25)*BQ58+(1-EXP(-LN(2)/25))/(LN(2)/25)*Calculateur!BL59*Calculateur!BN59*VLOOKUP('Données projet'!$B$11,Paramètres!$A$1:$I$89,3,0)*0.475*44/12</f>
        <v>18.849765998744765</v>
      </c>
      <c r="BR59" s="21">
        <f>EXP(-LN(2)/2)*BR58+(1-EXP(-LN(2)/2))/(LN(2)/2)*BL59*BO59*VLOOKUP('Données projet'!$B$11,Paramètres!$A$1:$I$89,3,0)*0.475*44/12</f>
        <v>4.4521351751750605E-3</v>
      </c>
      <c r="BS59" s="22">
        <f t="shared" si="9"/>
        <v>25.678211605365462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25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50.684400000000039</v>
      </c>
      <c r="D60" s="11">
        <f t="shared" si="32"/>
        <v>14.790368854214481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505.41926834832265</v>
      </c>
      <c r="H60" s="67">
        <f t="shared" si="1"/>
        <v>407.3685557544236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7.9</v>
      </c>
      <c r="N60" s="13">
        <f>IF('Données projet'!$A$36&gt;35,N59+M60-V59,IF(A60&lt;'Données projet'!$A$36,$K$205^A60,IF(A60='Données projet'!$A$36,'Données projet'!$B$36,N59+M60-V59)))</f>
        <v>337.29999999999984</v>
      </c>
      <c r="O60" s="13">
        <f>N60*VLOOKUP('Données projet'!$B$9,Paramètres!$A$1:$I$89,3,0)*VLOOKUP('Données projet'!$B$9,Paramètres!$A$1:$I$89,5,0)</f>
        <v>247.30835999999988</v>
      </c>
      <c r="P60" s="13">
        <f t="shared" si="33"/>
        <v>60.009204037923119</v>
      </c>
      <c r="Q60" s="20">
        <f t="shared" si="53"/>
        <v>535.24475736604916</v>
      </c>
      <c r="R60" s="59">
        <f t="shared" si="0"/>
        <v>828.57809069938253</v>
      </c>
      <c r="S60" s="59">
        <f ca="1">AVERAGE(OFFSET($R$3,0,0,'Données projet'!$E$9+1,1))-AVERAGE(OFFSET($H$3,0,0,'Données projet'!$E$9+1,1))</f>
        <v>284.62668108124626</v>
      </c>
      <c r="T60" s="59">
        <f t="shared" si="34"/>
        <v>333.70864452711021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1.7151186475619389</v>
      </c>
      <c r="AA60" s="21">
        <f>EXP(-LN(2)/25)*AA59+(1-EXP(-LN(2)/25))/(LN(2)/25)*Calculateur!V60*Calculateur!X60*VLOOKUP('Données projet'!$B$9,Paramètres!$A$1:$I$89,3,0)*0.475*44/12</f>
        <v>8.985855469643619</v>
      </c>
      <c r="AB60" s="21">
        <f>EXP(-LN(2)/2)*AB59+(1-EXP(-LN(2)/2))/(LN(2)/2)*V60*Y60*VLOOKUP('Données projet'!$B$9,Paramètres!$A$1:$I$89,3,0)*0.475*44/12</f>
        <v>2.2964555301076689E-3</v>
      </c>
      <c r="AC60" s="22">
        <f t="shared" si="3"/>
        <v>10.703270572735665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9.8000000000000007</v>
      </c>
      <c r="AI60" s="13">
        <f>IF('Données projet'!$A$62&gt;35,AI59+AH60-AQ59,IF(A60&lt;'Données projet'!$A$62,$AF$205^A60,IF(A60='Données projet'!$A$62,'Données projet'!$B$62,AI59+AH60-AQ59)))</f>
        <v>271.59999999999997</v>
      </c>
      <c r="AJ60" s="13">
        <f>AI60*VLOOKUP('Données projet'!$B$10,Paramètres!$A$1:$I$89,3,0)*VLOOKUP('Données projet'!$B$10,Paramètres!$A$1:$I$89,5,0)</f>
        <v>245.74367999999996</v>
      </c>
      <c r="AK60" s="13">
        <f t="shared" si="35"/>
        <v>59.673605104126452</v>
      </c>
      <c r="AL60" s="20">
        <f t="shared" si="4"/>
        <v>531.93510488968684</v>
      </c>
      <c r="AM60" s="59">
        <f t="shared" si="5"/>
        <v>825.26843822302021</v>
      </c>
      <c r="AN60" s="59">
        <f ca="1">AVERAGE(OFFSET($AM$3,0,0,'Données projet'!$E$10+1,1))-AVERAGE(OFFSET($H$3,0,0,'Données projet'!$E$10+1,1))</f>
        <v>318.40875902853116</v>
      </c>
      <c r="AO60" s="59">
        <f t="shared" si="36"/>
        <v>234.87694492493506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1.4110195965757797</v>
      </c>
      <c r="AV60" s="21">
        <f>EXP(-LN(2)/25)*AV59+(1-EXP(-LN(2)/25))/(LN(2)/25)*Calculateur!AQ60*Calculateur!AS60*VLOOKUP('Données projet'!$B$10,Paramètres!$A$1:$I$89,3,0)*0.475*44/12</f>
        <v>5.3370983122092532</v>
      </c>
      <c r="AW60" s="21">
        <f>EXP(-LN(2)/2)*AW59+(1-EXP(-LN(2)/2))/(LN(2)/2)*AQ60*AT60*VLOOKUP('Données projet'!$B$10,Paramètres!$A$1:$I$89,3,0)*0.475*44/12</f>
        <v>1.8604138904013889E-3</v>
      </c>
      <c r="AX60" s="21">
        <f t="shared" si="6"/>
        <v>6.7499783226754344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19.3</v>
      </c>
      <c r="BD60" s="12">
        <f>IF('Données projet'!$A$88&gt;35,BD59+BC60-BL59,IF(A60&lt;'Données projet'!$A$88,$BA$205^A60,IF(A60='Données projet'!$A$88,'Données projet'!$B$88,BD59+BC60-BL59)))</f>
        <v>621.09999999999957</v>
      </c>
      <c r="BE60" s="13">
        <f>BD60*VLOOKUP('Données projet'!$B$11,Paramètres!$A$1:$I$89,3,0)*VLOOKUP('Données projet'!$B$11,Paramètres!$A$1:$I$89,5,0)</f>
        <v>347.19489999999979</v>
      </c>
      <c r="BF60" s="13">
        <f t="shared" si="37"/>
        <v>80.984641788647266</v>
      </c>
      <c r="BG60" s="20">
        <f t="shared" si="7"/>
        <v>745.74603528189357</v>
      </c>
      <c r="BH60" s="59">
        <f t="shared" si="8"/>
        <v>1039.0793686152269</v>
      </c>
      <c r="BI60" s="59">
        <f ca="1">AVERAGE(OFFSET($BH$3,0,0,'Données projet'!$E$11+1,1))-AVERAGE(OFFSET($H$3,0,0,'Données projet'!$E$11+1,1))</f>
        <v>415.91544298418842</v>
      </c>
      <c r="BJ60" s="59">
        <f t="shared" si="38"/>
        <v>422.79312683312583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6.6901791216955084</v>
      </c>
      <c r="BQ60" s="21">
        <f>EXP(-LN(2)/25)*BQ59+(1-EXP(-LN(2)/25))/(LN(2)/25)*Calculateur!BL60*Calculateur!BN60*VLOOKUP('Données projet'!$B$11,Paramètres!$A$1:$I$89,3,0)*0.475*44/12</f>
        <v>18.334318156242976</v>
      </c>
      <c r="BR60" s="21">
        <f>EXP(-LN(2)/2)*BR59+(1-EXP(-LN(2)/2))/(LN(2)/2)*BL60*BO60*VLOOKUP('Données projet'!$B$11,Paramètres!$A$1:$I$89,3,0)*0.475*44/12</f>
        <v>3.148134973125443E-3</v>
      </c>
      <c r="BS60" s="22">
        <f t="shared" si="9"/>
        <v>25.027645412911607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25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51.573600000000042</v>
      </c>
      <c r="D61" s="11">
        <f t="shared" si="32"/>
        <v>15.01941293027533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514.05132788282742</v>
      </c>
      <c r="H61" s="67">
        <f t="shared" si="1"/>
        <v>409.31616418689623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7.9</v>
      </c>
      <c r="N61" s="13">
        <f>IF('Données projet'!$A$36&gt;35,N60+M61-V60,IF(A61&lt;'Données projet'!$A$36,$K$205^A61,IF(A61='Données projet'!$A$36,'Données projet'!$B$36,N60+M61-V60)))</f>
        <v>345.19999999999982</v>
      </c>
      <c r="O61" s="13">
        <f>N61*VLOOKUP('Données projet'!$B$9,Paramètres!$A$1:$I$89,3,0)*VLOOKUP('Données projet'!$B$9,Paramètres!$A$1:$I$89,5,0)</f>
        <v>253.10063999999988</v>
      </c>
      <c r="P61" s="13">
        <f t="shared" si="33"/>
        <v>61.24941917702894</v>
      </c>
      <c r="Q61" s="20">
        <f t="shared" si="53"/>
        <v>547.49301973332513</v>
      </c>
      <c r="R61" s="59">
        <f t="shared" si="0"/>
        <v>840.82635306665838</v>
      </c>
      <c r="S61" s="59">
        <f ca="1">AVERAGE(OFFSET($R$3,0,0,'Données projet'!$E$9+1,1))-AVERAGE(OFFSET($H$3,0,0,'Données projet'!$E$9+1,1))</f>
        <v>284.62668108124626</v>
      </c>
      <c r="T61" s="59">
        <f t="shared" si="34"/>
        <v>333.70864452711021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1.6814862170023286</v>
      </c>
      <c r="AA61" s="21">
        <f>EXP(-LN(2)/25)*AA60+(1-EXP(-LN(2)/25))/(LN(2)/25)*Calculateur!V61*Calculateur!X61*VLOOKUP('Données projet'!$B$9,Paramètres!$A$1:$I$89,3,0)*0.475*44/12</f>
        <v>8.7401367792806131</v>
      </c>
      <c r="AB61" s="21">
        <f>EXP(-LN(2)/2)*AB60+(1-EXP(-LN(2)/2))/(LN(2)/2)*V61*Y61*VLOOKUP('Données projet'!$B$9,Paramètres!$A$1:$I$89,3,0)*0.475*44/12</f>
        <v>1.6238392780324805E-3</v>
      </c>
      <c r="AC61" s="22">
        <f t="shared" si="3"/>
        <v>10.423246835560974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9.8000000000000007</v>
      </c>
      <c r="AI61" s="13">
        <f>IF('Données projet'!$A$62&gt;35,AI60+AH61-AQ60,IF(A61&lt;'Données projet'!$A$62,$AF$205^A61,IF(A61='Données projet'!$A$62,'Données projet'!$B$62,AI60+AH61-AQ60)))</f>
        <v>281.39999999999998</v>
      </c>
      <c r="AJ61" s="13">
        <f>AI61*VLOOKUP('Données projet'!$B$10,Paramètres!$A$1:$I$89,3,0)*VLOOKUP('Données projet'!$B$10,Paramètres!$A$1:$I$89,5,0)</f>
        <v>254.61071999999999</v>
      </c>
      <c r="AK61" s="13">
        <f t="shared" si="35"/>
        <v>61.572204587965679</v>
      </c>
      <c r="AL61" s="20">
        <f t="shared" si="4"/>
        <v>550.68526032404009</v>
      </c>
      <c r="AM61" s="59">
        <f t="shared" si="5"/>
        <v>844.01859365737346</v>
      </c>
      <c r="AN61" s="59">
        <f ca="1">AVERAGE(OFFSET($AM$3,0,0,'Données projet'!$E$10+1,1))-AVERAGE(OFFSET($H$3,0,0,'Données projet'!$E$10+1,1))</f>
        <v>318.40875902853116</v>
      </c>
      <c r="AO61" s="59">
        <f t="shared" si="36"/>
        <v>234.87694492493506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1.3833503629239017</v>
      </c>
      <c r="AV61" s="21">
        <f>EXP(-LN(2)/25)*AV60+(1-EXP(-LN(2)/25))/(LN(2)/25)*Calculateur!AQ61*Calculateur!AS61*VLOOKUP('Données projet'!$B$10,Paramètres!$A$1:$I$89,3,0)*0.475*44/12</f>
        <v>5.1911550781960889</v>
      </c>
      <c r="AW61" s="21">
        <f>EXP(-LN(2)/2)*AW60+(1-EXP(-LN(2)/2))/(LN(2)/2)*AQ61*AT61*VLOOKUP('Données projet'!$B$10,Paramètres!$A$1:$I$89,3,0)*0.475*44/12</f>
        <v>1.3155112777164686E-3</v>
      </c>
      <c r="AX61" s="21">
        <f t="shared" si="6"/>
        <v>6.5758209523977067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19.3</v>
      </c>
      <c r="BD61" s="12">
        <f>IF('Données projet'!$A$88&gt;35,BD60+BC61-BL60,IF(A61&lt;'Données projet'!$A$88,$BA$205^A61,IF(A61='Données projet'!$A$88,'Données projet'!$B$88,BD60+BC61-BL60)))</f>
        <v>640.39999999999952</v>
      </c>
      <c r="BE61" s="13">
        <f>BD61*VLOOKUP('Données projet'!$B$11,Paramètres!$A$1:$I$89,3,0)*VLOOKUP('Données projet'!$B$11,Paramètres!$A$1:$I$89,5,0)</f>
        <v>357.98359999999974</v>
      </c>
      <c r="BF61" s="13">
        <f t="shared" si="37"/>
        <v>83.204253314675796</v>
      </c>
      <c r="BG61" s="20">
        <f t="shared" si="7"/>
        <v>768.40217785639322</v>
      </c>
      <c r="BH61" s="59">
        <f t="shared" si="8"/>
        <v>1061.7355111897266</v>
      </c>
      <c r="BI61" s="59">
        <f ca="1">AVERAGE(OFFSET($BH$3,0,0,'Données projet'!$E$11+1,1))-AVERAGE(OFFSET($H$3,0,0,'Données projet'!$E$11+1,1))</f>
        <v>415.91544298418842</v>
      </c>
      <c r="BJ61" s="59">
        <f t="shared" si="38"/>
        <v>422.79312683312583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6.5589887897253973</v>
      </c>
      <c r="BQ61" s="21">
        <f>EXP(-LN(2)/25)*BQ60+(1-EXP(-LN(2)/25))/(LN(2)/25)*Calculateur!BL61*Calculateur!BN61*VLOOKUP('Données projet'!$B$11,Paramètres!$A$1:$I$89,3,0)*0.475*44/12</f>
        <v>17.832965262100622</v>
      </c>
      <c r="BR61" s="21">
        <f>EXP(-LN(2)/2)*BR60+(1-EXP(-LN(2)/2))/(LN(2)/2)*BL61*BO61*VLOOKUP('Données projet'!$B$11,Paramètres!$A$1:$I$89,3,0)*0.475*44/12</f>
        <v>2.2260675875875303E-3</v>
      </c>
      <c r="BS61" s="22">
        <f t="shared" si="9"/>
        <v>24.394180119413608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25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52.462800000000044</v>
      </c>
      <c r="D62" s="11">
        <f t="shared" si="32"/>
        <v>15.247997775460181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522.67984247723678</v>
      </c>
      <c r="H62" s="67">
        <f t="shared" si="1"/>
        <v>411.26297279225986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7.9</v>
      </c>
      <c r="N62" s="13">
        <f>IF('Données projet'!$A$36&gt;35,N61+M62-V61,IF(A62&lt;'Données projet'!$A$36,$K$205^A62,IF(A62='Données projet'!$A$36,'Données projet'!$B$36,N61+M62-V61)))</f>
        <v>353.0999999999998</v>
      </c>
      <c r="O62" s="13">
        <f>N62*VLOOKUP('Données projet'!$B$9,Paramètres!$A$1:$I$89,3,0)*VLOOKUP('Données projet'!$B$9,Paramètres!$A$1:$I$89,5,0)</f>
        <v>258.89291999999989</v>
      </c>
      <c r="P62" s="13">
        <f t="shared" si="33"/>
        <v>62.486334664709602</v>
      </c>
      <c r="Q62" s="20">
        <f t="shared" si="53"/>
        <v>559.73553520770236</v>
      </c>
      <c r="R62" s="59">
        <f t="shared" si="0"/>
        <v>853.06886854103573</v>
      </c>
      <c r="S62" s="59">
        <f ca="1">AVERAGE(OFFSET($R$3,0,0,'Données projet'!$E$9+1,1))-AVERAGE(OFFSET($H$3,0,0,'Données projet'!$E$9+1,1))</f>
        <v>284.62668108124626</v>
      </c>
      <c r="T62" s="59">
        <f t="shared" si="34"/>
        <v>333.70864452711021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1.6485132978922352</v>
      </c>
      <c r="AA62" s="21">
        <f>EXP(-LN(2)/25)*AA61+(1-EXP(-LN(2)/25))/(LN(2)/25)*Calculateur!V62*Calculateur!X62*VLOOKUP('Données projet'!$B$9,Paramètres!$A$1:$I$89,3,0)*0.475*44/12</f>
        <v>8.5011372794273665</v>
      </c>
      <c r="AB62" s="21">
        <f>EXP(-LN(2)/2)*AB61+(1-EXP(-LN(2)/2))/(LN(2)/2)*V62*Y62*VLOOKUP('Données projet'!$B$9,Paramètres!$A$1:$I$89,3,0)*0.475*44/12</f>
        <v>1.1482277650538344E-3</v>
      </c>
      <c r="AC62" s="22">
        <f t="shared" si="3"/>
        <v>10.150798805084655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9.8000000000000007</v>
      </c>
      <c r="AI62" s="13">
        <f>IF('Données projet'!$A$62&gt;35,AI61+AH62-AQ61,IF(A62&lt;'Données projet'!$A$62,$AF$205^A62,IF(A62='Données projet'!$A$62,'Données projet'!$B$62,AI61+AH62-AQ61)))</f>
        <v>291.2</v>
      </c>
      <c r="AJ62" s="13">
        <f>AI62*VLOOKUP('Données projet'!$B$10,Paramètres!$A$1:$I$89,3,0)*VLOOKUP('Données projet'!$B$10,Paramètres!$A$1:$I$89,5,0)</f>
        <v>263.47775999999999</v>
      </c>
      <c r="AK62" s="13">
        <f t="shared" si="35"/>
        <v>63.46312159763346</v>
      </c>
      <c r="AL62" s="20">
        <f t="shared" si="4"/>
        <v>569.42203544921153</v>
      </c>
      <c r="AM62" s="59">
        <f t="shared" si="5"/>
        <v>862.75536878254479</v>
      </c>
      <c r="AN62" s="59">
        <f ca="1">AVERAGE(OFFSET($AM$3,0,0,'Données projet'!$E$10+1,1))-AVERAGE(OFFSET($H$3,0,0,'Données projet'!$E$10+1,1))</f>
        <v>318.40875902853116</v>
      </c>
      <c r="AO62" s="59">
        <f t="shared" si="36"/>
        <v>234.87694492493506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1.356223706067371</v>
      </c>
      <c r="AV62" s="21">
        <f>EXP(-LN(2)/25)*AV61+(1-EXP(-LN(2)/25))/(LN(2)/25)*Calculateur!AQ62*Calculateur!AS62*VLOOKUP('Données projet'!$B$10,Paramètres!$A$1:$I$89,3,0)*0.475*44/12</f>
        <v>5.0492026695918355</v>
      </c>
      <c r="AW62" s="21">
        <f>EXP(-LN(2)/2)*AW61+(1-EXP(-LN(2)/2))/(LN(2)/2)*AQ62*AT62*VLOOKUP('Données projet'!$B$10,Paramètres!$A$1:$I$89,3,0)*0.475*44/12</f>
        <v>9.3020694520069456E-4</v>
      </c>
      <c r="AX62" s="21">
        <f t="shared" si="6"/>
        <v>6.4063565826044071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19.3</v>
      </c>
      <c r="BD62" s="12">
        <f>IF('Données projet'!$A$88&gt;35,BD61+BC62-BL61,IF(A62&lt;'Données projet'!$A$88,$BA$205^A62,IF(A62='Données projet'!$A$88,'Données projet'!$B$88,BD61+BC62-BL61)))</f>
        <v>659.69999999999948</v>
      </c>
      <c r="BE62" s="13">
        <f>BD62*VLOOKUP('Données projet'!$B$11,Paramètres!$A$1:$I$89,3,0)*VLOOKUP('Données projet'!$B$11,Paramètres!$A$1:$I$89,5,0)</f>
        <v>368.77229999999969</v>
      </c>
      <c r="BF62" s="13">
        <f t="shared" si="37"/>
        <v>85.416090852521961</v>
      </c>
      <c r="BG62" s="20">
        <f t="shared" si="7"/>
        <v>791.04478073480857</v>
      </c>
      <c r="BH62" s="59">
        <f t="shared" si="8"/>
        <v>1084.3781140681419</v>
      </c>
      <c r="BI62" s="59">
        <f ca="1">AVERAGE(OFFSET($BH$3,0,0,'Données projet'!$E$11+1,1))-AVERAGE(OFFSET($H$3,0,0,'Données projet'!$E$11+1,1))</f>
        <v>415.91544298418842</v>
      </c>
      <c r="BJ62" s="59">
        <f t="shared" si="38"/>
        <v>422.79312683312583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6.4303710201470183</v>
      </c>
      <c r="BQ62" s="21">
        <f>EXP(-LN(2)/25)*BQ61+(1-EXP(-LN(2)/25))/(LN(2)/25)*Calculateur!BL62*Calculateur!BN62*VLOOKUP('Données projet'!$B$11,Paramètres!$A$1:$I$89,3,0)*0.475*44/12</f>
        <v>17.345321889213594</v>
      </c>
      <c r="BR62" s="21">
        <f>EXP(-LN(2)/2)*BR61+(1-EXP(-LN(2)/2))/(LN(2)/2)*BL62*BO62*VLOOKUP('Données projet'!$B$11,Paramètres!$A$1:$I$89,3,0)*0.475*44/12</f>
        <v>1.5740674865627215E-3</v>
      </c>
      <c r="BS62" s="22">
        <f t="shared" si="9"/>
        <v>23.777266976847173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25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53.352000000000046</v>
      </c>
      <c r="D63" s="11">
        <f t="shared" si="32"/>
        <v>15.476132071622855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531.30487914936975</v>
      </c>
      <c r="H63" s="67">
        <f t="shared" si="1"/>
        <v>413.20899669140988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>
        <f>VLOOKUP(A63,'Données projet'!$A$35:$I$55,2,0)</f>
        <v>361</v>
      </c>
      <c r="L63" s="12">
        <f>VLOOKUP(A63,'Données projet'!$A$35:$I$55,9,0)</f>
        <v>7.9</v>
      </c>
      <c r="M63" s="12">
        <f t="array" ref="M63">INDEX(L:L,MIN(IF(ISNUMBER(L63:L259),ROW(L63:L259),"")))</f>
        <v>7.9</v>
      </c>
      <c r="N63" s="13">
        <f>IF('Données projet'!$A$36&gt;35,N62+M63-V62,IF(A63&lt;'Données projet'!$A$36,$K$205^A63,IF(A63='Données projet'!$A$36,'Données projet'!$B$36,N62+M63-V62)))</f>
        <v>360.99999999999977</v>
      </c>
      <c r="O63" s="13">
        <f>N63*VLOOKUP('Données projet'!$B$9,Paramètres!$A$1:$I$89,3,0)*VLOOKUP('Données projet'!$B$9,Paramètres!$A$1:$I$89,5,0)</f>
        <v>264.68519999999984</v>
      </c>
      <c r="P63" s="13">
        <f t="shared" si="33"/>
        <v>63.720032824705598</v>
      </c>
      <c r="Q63" s="20">
        <f t="shared" si="53"/>
        <v>571.97244716969522</v>
      </c>
      <c r="R63" s="59">
        <f t="shared" si="0"/>
        <v>865.30578050302847</v>
      </c>
      <c r="S63" s="59">
        <f ca="1">AVERAGE(OFFSET($R$3,0,0,'Données projet'!$E$9+1,1))-AVERAGE(OFFSET($H$3,0,0,'Données projet'!$E$9+1,1))</f>
        <v>284.62668108124626</v>
      </c>
      <c r="T63" s="59">
        <f t="shared" si="34"/>
        <v>333.70864452711021</v>
      </c>
      <c r="U63" s="15">
        <f>IF(ISNA(VLOOKUP(A63,'Données projet'!$A$35:$I$55,3,0)),0,VLOOKUP(A63,'Données projet'!$A$35:$I$55,3,0))</f>
        <v>6</v>
      </c>
      <c r="V63" s="15">
        <f>IF(ISNA(VLOOKUP(A63,'Données projet'!$A$35:$I$55,4,0)),0,VLOOKUP(A63,'Données projet'!$A$35:$I$55,4,0))</f>
        <v>35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1.6161869576143959</v>
      </c>
      <c r="AA63" s="21">
        <f>EXP(-LN(2)/25)*AA62+(1-EXP(-LN(2)/25))/(LN(2)/25)*Calculateur!V63*Calculateur!X63*VLOOKUP('Données projet'!$B$9,Paramètres!$A$1:$I$89,3,0)*0.475*44/12</f>
        <v>8.2686732334660444</v>
      </c>
      <c r="AB63" s="21">
        <f>EXP(-LN(2)/2)*AB62+(1-EXP(-LN(2)/2))/(LN(2)/2)*V63*Y63*VLOOKUP('Données projet'!$B$9,Paramètres!$A$1:$I$89,3,0)*0.475*44/12</f>
        <v>8.1191963901624024E-4</v>
      </c>
      <c r="AC63" s="22">
        <f t="shared" si="3"/>
        <v>9.8856721107194563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301</v>
      </c>
      <c r="AG63" s="12">
        <f>VLOOKUP(A63,'Données projet'!$A$61:$I$81,9,0)</f>
        <v>9.8000000000000007</v>
      </c>
      <c r="AH63" s="12">
        <f t="array" ref="AH63">INDEX(AG:AG,MIN(IF(ISNUMBER(AG63:AG259),ROW(AG63:AG259),"")))</f>
        <v>9.8000000000000007</v>
      </c>
      <c r="AI63" s="13">
        <f>IF('Données projet'!$A$62&gt;35,AI62+AH63-AQ62,IF(A63&lt;'Données projet'!$A$62,$AF$205^A63,IF(A63='Données projet'!$A$62,'Données projet'!$B$62,AI62+AH63-AQ62)))</f>
        <v>301</v>
      </c>
      <c r="AJ63" s="13">
        <f>AI63*VLOOKUP('Données projet'!$B$10,Paramètres!$A$1:$I$89,3,0)*VLOOKUP('Données projet'!$B$10,Paramètres!$A$1:$I$89,5,0)</f>
        <v>272.34479999999996</v>
      </c>
      <c r="AK63" s="13">
        <f t="shared" si="35"/>
        <v>65.346644318451652</v>
      </c>
      <c r="AL63" s="20">
        <f t="shared" si="4"/>
        <v>588.14593218796983</v>
      </c>
      <c r="AM63" s="59">
        <f t="shared" si="5"/>
        <v>881.4792655213032</v>
      </c>
      <c r="AN63" s="59">
        <f ca="1">AVERAGE(OFFSET($AM$3,0,0,'Données projet'!$E$10+1,1))-AVERAGE(OFFSET($H$3,0,0,'Données projet'!$E$10+1,1))</f>
        <v>318.40875902853116</v>
      </c>
      <c r="AO63" s="59">
        <f t="shared" si="36"/>
        <v>234.87694492493506</v>
      </c>
      <c r="AP63" s="15">
        <f>IF(ISNA(VLOOKUP(A63,'Données projet'!$A$61:$I$81,3,0)),0,VLOOKUP(A63,'Données projet'!$A$61:$I$81,3,0))</f>
        <v>5</v>
      </c>
      <c r="AQ63" s="15">
        <f>IF(ISNA(VLOOKUP(A63,'Données projet'!$A$61:$I$81,4,0)),0,VLOOKUP(A63,'Données projet'!$A$61:$I$81,4,0))</f>
        <v>56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1.3296289864061699</v>
      </c>
      <c r="AV63" s="21">
        <f>EXP(-LN(2)/25)*AV62+(1-EXP(-LN(2)/25))/(LN(2)/25)*Calculateur!AQ63*Calculateur!AS63*VLOOKUP('Données projet'!$B$10,Paramètres!$A$1:$I$89,3,0)*0.475*44/12</f>
        <v>4.9111319570658187</v>
      </c>
      <c r="AW63" s="21">
        <f>EXP(-LN(2)/2)*AW62+(1-EXP(-LN(2)/2))/(LN(2)/2)*AQ63*AT63*VLOOKUP('Données projet'!$B$10,Paramètres!$A$1:$I$89,3,0)*0.475*44/12</f>
        <v>6.5775563885823443E-4</v>
      </c>
      <c r="AX63" s="21">
        <f t="shared" si="6"/>
        <v>6.2414186991108469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>
        <f>VLOOKUP(A63,'Données projet'!$A$87:$I$107,2,0)</f>
        <v>679</v>
      </c>
      <c r="BB63" s="12">
        <f>VLOOKUP(A63,'Données projet'!$A$87:$I$107,9,0)</f>
        <v>19.3</v>
      </c>
      <c r="BC63" s="12">
        <f t="array" ref="BC63">INDEX(BB:BB,MIN(IF(ISNUMBER(BB63:BB259),ROW(BB63:BB259),"")))</f>
        <v>19.3</v>
      </c>
      <c r="BD63" s="12">
        <f>IF('Données projet'!$A$88&gt;35,BD62+BC63-BL62,IF(A63&lt;'Données projet'!$A$88,$BA$205^A63,IF(A63='Données projet'!$A$88,'Données projet'!$B$88,BD62+BC63-BL62)))</f>
        <v>678.99999999999943</v>
      </c>
      <c r="BE63" s="13">
        <f>BD63*VLOOKUP('Données projet'!$B$11,Paramètres!$A$1:$I$89,3,0)*VLOOKUP('Données projet'!$B$11,Paramètres!$A$1:$I$89,5,0)</f>
        <v>379.56099999999969</v>
      </c>
      <c r="BF63" s="13">
        <f t="shared" si="37"/>
        <v>87.620407950587037</v>
      </c>
      <c r="BG63" s="20">
        <f t="shared" si="7"/>
        <v>813.67428551393857</v>
      </c>
      <c r="BH63" s="59">
        <f t="shared" si="8"/>
        <v>1107.0076188472719</v>
      </c>
      <c r="BI63" s="59">
        <f ca="1">AVERAGE(OFFSET($BH$3,0,0,'Données projet'!$E$11+1,1))-AVERAGE(OFFSET($H$3,0,0,'Données projet'!$E$11+1,1))</f>
        <v>415.91544298418842</v>
      </c>
      <c r="BJ63" s="59">
        <f t="shared" si="38"/>
        <v>422.79312683312583</v>
      </c>
      <c r="BK63" s="15">
        <f>IF(ISNA(VLOOKUP(A63,'Données projet'!$A$87:$I$107,3,0)),0,VLOOKUP(A63,'Données projet'!$A$87:$I$107,3,0))</f>
        <v>5</v>
      </c>
      <c r="BL63" s="15">
        <f>IF(ISNA(VLOOKUP(A63,'Données projet'!$A$87:$I$107,4,0)),0,VLOOKUP(A63,'Données projet'!$A$87:$I$107,4,0))</f>
        <v>96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6.3042753665809785</v>
      </c>
      <c r="BQ63" s="21">
        <f>EXP(-LN(2)/25)*BQ62+(1-EXP(-LN(2)/25))/(LN(2)/25)*Calculateur!BL63*Calculateur!BN63*VLOOKUP('Données projet'!$B$11,Paramètres!$A$1:$I$89,3,0)*0.475*44/12</f>
        <v>16.871013150002213</v>
      </c>
      <c r="BR63" s="21">
        <f>EXP(-LN(2)/2)*BR62+(1-EXP(-LN(2)/2))/(LN(2)/2)*BL63*BO63*VLOOKUP('Données projet'!$B$11,Paramètres!$A$1:$I$89,3,0)*0.475*44/12</f>
        <v>1.1130337937937651E-3</v>
      </c>
      <c r="BS63" s="22">
        <f t="shared" si="9"/>
        <v>23.176401550376983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25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54.241200000000049</v>
      </c>
      <c r="D64" s="11">
        <f t="shared" si="32"/>
        <v>15.703824194633762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539.92650255506805</v>
      </c>
      <c r="H64" s="67">
        <f t="shared" si="1"/>
        <v>415.15425047232054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5.6</v>
      </c>
      <c r="N64" s="13">
        <f>IF('Données projet'!$A$36&gt;35,N63+M64-V63,IF(A64&lt;'Données projet'!$A$36,$K$205^A64,IF(A64='Données projet'!$A$36,'Données projet'!$B$36,N63+M64-V63)))</f>
        <v>331.5999999999998</v>
      </c>
      <c r="O64" s="13">
        <f>N64*VLOOKUP('Données projet'!$B$9,Paramètres!$A$1:$I$89,3,0)*VLOOKUP('Données projet'!$B$9,Paramètres!$A$1:$I$89,5,0)</f>
        <v>243.12911999999983</v>
      </c>
      <c r="P64" s="13">
        <f t="shared" si="33"/>
        <v>59.112267488655689</v>
      </c>
      <c r="Q64" s="20">
        <f t="shared" si="53"/>
        <v>526.40374987607504</v>
      </c>
      <c r="R64" s="59">
        <f t="shared" si="0"/>
        <v>819.73708320940841</v>
      </c>
      <c r="S64" s="59">
        <f ca="1">AVERAGE(OFFSET($R$3,0,0,'Données projet'!$E$9+1,1))-AVERAGE(OFFSET($H$3,0,0,'Données projet'!$E$9+1,1))</f>
        <v>284.62668108124626</v>
      </c>
      <c r="T64" s="59">
        <f t="shared" si="34"/>
        <v>333.70864452711021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1.5844945171522844</v>
      </c>
      <c r="AA64" s="21">
        <f>EXP(-LN(2)/25)*AA63+(1-EXP(-LN(2)/25))/(LN(2)/25)*Calculateur!V64*Calculateur!X64*VLOOKUP('Données projet'!$B$9,Paramètres!$A$1:$I$89,3,0)*0.475*44/12</f>
        <v>8.0425659290662885</v>
      </c>
      <c r="AB64" s="21">
        <f>EXP(-LN(2)/2)*AB63+(1-EXP(-LN(2)/2))/(LN(2)/2)*V64*Y64*VLOOKUP('Données projet'!$B$9,Paramètres!$A$1:$I$89,3,0)*0.475*44/12</f>
        <v>5.7411388252691722E-4</v>
      </c>
      <c r="AC64" s="22">
        <f t="shared" si="3"/>
        <v>9.6276345601011002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8.5</v>
      </c>
      <c r="AI64" s="13">
        <f>IF('Données projet'!$A$62&gt;35,AI63+AH64-AQ63,IF(A64&lt;'Données projet'!$A$62,$AF$205^A64,IF(A64='Données projet'!$A$62,'Données projet'!$B$62,AI63+AH64-AQ63)))</f>
        <v>253.5</v>
      </c>
      <c r="AJ64" s="13">
        <f>AI64*VLOOKUP('Données projet'!$B$10,Paramètres!$A$1:$I$89,3,0)*VLOOKUP('Données projet'!$B$10,Paramètres!$A$1:$I$89,5,0)</f>
        <v>229.36680000000001</v>
      </c>
      <c r="AK64" s="13">
        <f t="shared" si="35"/>
        <v>56.14574692729505</v>
      </c>
      <c r="AL64" s="20">
        <f t="shared" si="4"/>
        <v>497.26768589837212</v>
      </c>
      <c r="AM64" s="59">
        <f t="shared" si="5"/>
        <v>790.60101923170544</v>
      </c>
      <c r="AN64" s="59">
        <f ca="1">AVERAGE(OFFSET($AM$3,0,0,'Données projet'!$E$10+1,1))-AVERAGE(OFFSET($H$3,0,0,'Données projet'!$E$10+1,1))</f>
        <v>318.40875902853116</v>
      </c>
      <c r="AO64" s="59">
        <f t="shared" si="36"/>
        <v>234.87694492493506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1.3035557729763476</v>
      </c>
      <c r="AV64" s="21">
        <f>EXP(-LN(2)/25)*AV63+(1-EXP(-LN(2)/25))/(LN(2)/25)*Calculateur!AQ64*Calculateur!AS64*VLOOKUP('Données projet'!$B$10,Paramètres!$A$1:$I$89,3,0)*0.475*44/12</f>
        <v>4.7768367954346491</v>
      </c>
      <c r="AW64" s="21">
        <f>EXP(-LN(2)/2)*AW63+(1-EXP(-LN(2)/2))/(LN(2)/2)*AQ64*AT64*VLOOKUP('Données projet'!$B$10,Paramètres!$A$1:$I$89,3,0)*0.475*44/12</f>
        <v>4.6510347260034739E-4</v>
      </c>
      <c r="AX64" s="21">
        <f t="shared" si="6"/>
        <v>6.0808576718835967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15.8</v>
      </c>
      <c r="BD64" s="12">
        <f>IF('Données projet'!$A$88&gt;35,BD63+BC64-BL63,IF(A64&lt;'Données projet'!$A$88,$BA$205^A64,IF(A64='Données projet'!$A$88,'Données projet'!$B$88,BD63+BC64-BL63)))</f>
        <v>598.79999999999939</v>
      </c>
      <c r="BE64" s="13">
        <f>BD64*VLOOKUP('Données projet'!$B$11,Paramètres!$A$1:$I$89,3,0)*VLOOKUP('Données projet'!$B$11,Paramètres!$A$1:$I$89,5,0)</f>
        <v>334.72919999999971</v>
      </c>
      <c r="BF64" s="13">
        <f t="shared" si="37"/>
        <v>78.409977536916543</v>
      </c>
      <c r="BG64" s="20">
        <f t="shared" si="7"/>
        <v>719.55073421012912</v>
      </c>
      <c r="BH64" s="59">
        <f t="shared" si="8"/>
        <v>1012.8840675434624</v>
      </c>
      <c r="BI64" s="59">
        <f ca="1">AVERAGE(OFFSET($BH$3,0,0,'Données projet'!$E$11+1,1))-AVERAGE(OFFSET($H$3,0,0,'Données projet'!$E$11+1,1))</f>
        <v>415.91544298418842</v>
      </c>
      <c r="BJ64" s="59">
        <f t="shared" si="38"/>
        <v>422.79312683312583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6.1806523718706146</v>
      </c>
      <c r="BQ64" s="21">
        <f>EXP(-LN(2)/25)*BQ63+(1-EXP(-LN(2)/25))/(LN(2)/25)*Calculateur!BL64*Calculateur!BN64*VLOOKUP('Données projet'!$B$11,Paramètres!$A$1:$I$89,3,0)*0.475*44/12</f>
        <v>16.40967440820738</v>
      </c>
      <c r="BR64" s="21">
        <f>EXP(-LN(2)/2)*BR63+(1-EXP(-LN(2)/2))/(LN(2)/2)*BL64*BO64*VLOOKUP('Données projet'!$B$11,Paramètres!$A$1:$I$89,3,0)*0.475*44/12</f>
        <v>7.8703374328136075E-4</v>
      </c>
      <c r="BS64" s="22">
        <f t="shared" si="9"/>
        <v>22.591113813821277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25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55.130400000000051</v>
      </c>
      <c r="D65" s="11">
        <f t="shared" si="32"/>
        <v>15.931082230000042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548.54477510877268</v>
      </c>
      <c r="H65" s="67">
        <f t="shared" si="1"/>
        <v>417.09874821725015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5.6</v>
      </c>
      <c r="N65" s="13">
        <f>IF('Données projet'!$A$36&gt;35,N64+M65-V64,IF(A65&lt;'Données projet'!$A$36,$K$205^A65,IF(A65='Données projet'!$A$36,'Données projet'!$B$36,N64+M65-V64)))</f>
        <v>337.19999999999982</v>
      </c>
      <c r="O65" s="13">
        <f>N65*VLOOKUP('Données projet'!$B$9,Paramètres!$A$1:$I$89,3,0)*VLOOKUP('Données projet'!$B$9,Paramètres!$A$1:$I$89,5,0)</f>
        <v>247.23503999999986</v>
      </c>
      <c r="P65" s="13">
        <f t="shared" si="33"/>
        <v>59.993483596860955</v>
      </c>
      <c r="Q65" s="20">
        <f t="shared" si="53"/>
        <v>535.08967859786583</v>
      </c>
      <c r="R65" s="59">
        <f t="shared" si="0"/>
        <v>828.4230119311992</v>
      </c>
      <c r="S65" s="59">
        <f ca="1">AVERAGE(OFFSET($R$3,0,0,'Données projet'!$E$9+1,1))-AVERAGE(OFFSET($H$3,0,0,'Données projet'!$E$9+1,1))</f>
        <v>284.62668108124626</v>
      </c>
      <c r="T65" s="59">
        <f t="shared" si="34"/>
        <v>333.70864452711021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1.5534235461171548</v>
      </c>
      <c r="AA65" s="21">
        <f>EXP(-LN(2)/25)*AA64+(1-EXP(-LN(2)/25))/(LN(2)/25)*Calculateur!V65*Calculateur!X65*VLOOKUP('Données projet'!$B$9,Paramètres!$A$1:$I$89,3,0)*0.475*44/12</f>
        <v>7.8226415407958099</v>
      </c>
      <c r="AB65" s="21">
        <f>EXP(-LN(2)/2)*AB64+(1-EXP(-LN(2)/2))/(LN(2)/2)*V65*Y65*VLOOKUP('Données projet'!$B$9,Paramètres!$A$1:$I$89,3,0)*0.475*44/12</f>
        <v>4.0595981950812012E-4</v>
      </c>
      <c r="AC65" s="22">
        <f t="shared" si="3"/>
        <v>9.3764710467324726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8.5</v>
      </c>
      <c r="AI65" s="13">
        <f>IF('Données projet'!$A$62&gt;35,AI64+AH65-AQ64,IF(A65&lt;'Données projet'!$A$62,$AF$205^A65,IF(A65='Données projet'!$A$62,'Données projet'!$B$62,AI64+AH65-AQ64)))</f>
        <v>262</v>
      </c>
      <c r="AJ65" s="13">
        <f>AI65*VLOOKUP('Données projet'!$B$10,Paramètres!$A$1:$I$89,3,0)*VLOOKUP('Données projet'!$B$10,Paramètres!$A$1:$I$89,5,0)</f>
        <v>237.05759999999998</v>
      </c>
      <c r="AK65" s="13">
        <f t="shared" si="35"/>
        <v>57.806004997354641</v>
      </c>
      <c r="AL65" s="20">
        <f t="shared" si="4"/>
        <v>513.55411203705933</v>
      </c>
      <c r="AM65" s="59">
        <f t="shared" si="5"/>
        <v>806.8874453703927</v>
      </c>
      <c r="AN65" s="59">
        <f ca="1">AVERAGE(OFFSET($AM$3,0,0,'Données projet'!$E$10+1,1))-AVERAGE(OFFSET($H$3,0,0,'Données projet'!$E$10+1,1))</f>
        <v>318.40875902853116</v>
      </c>
      <c r="AO65" s="59">
        <f t="shared" si="36"/>
        <v>234.87694492493506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1.2779938393587942</v>
      </c>
      <c r="AV65" s="21">
        <f>EXP(-LN(2)/25)*AV64+(1-EXP(-LN(2)/25))/(LN(2)/25)*Calculateur!AQ65*Calculateur!AS65*VLOOKUP('Données projet'!$B$10,Paramètres!$A$1:$I$89,3,0)*0.475*44/12</f>
        <v>4.6462139420605588</v>
      </c>
      <c r="AW65" s="21">
        <f>EXP(-LN(2)/2)*AW64+(1-EXP(-LN(2)/2))/(LN(2)/2)*AQ65*AT65*VLOOKUP('Données projet'!$B$10,Paramètres!$A$1:$I$89,3,0)*0.475*44/12</f>
        <v>3.2887781942911727E-4</v>
      </c>
      <c r="AX65" s="21">
        <f t="shared" si="6"/>
        <v>5.9245366592387825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15.8</v>
      </c>
      <c r="BD65" s="12">
        <f>IF('Données projet'!$A$88&gt;35,BD64+BC65-BL64,IF(A65&lt;'Données projet'!$A$88,$BA$205^A65,IF(A65='Données projet'!$A$88,'Données projet'!$B$88,BD64+BC65-BL64)))</f>
        <v>614.59999999999934</v>
      </c>
      <c r="BE65" s="13">
        <f>BD65*VLOOKUP('Données projet'!$B$11,Paramètres!$A$1:$I$89,3,0)*VLOOKUP('Données projet'!$B$11,Paramètres!$A$1:$I$89,5,0)</f>
        <v>343.56139999999965</v>
      </c>
      <c r="BF65" s="13">
        <f t="shared" si="37"/>
        <v>80.235307380202258</v>
      </c>
      <c r="BG65" s="20">
        <f t="shared" si="7"/>
        <v>738.11259868718491</v>
      </c>
      <c r="BH65" s="59">
        <f t="shared" si="8"/>
        <v>1031.4459320205183</v>
      </c>
      <c r="BI65" s="59">
        <f ca="1">AVERAGE(OFFSET($BH$3,0,0,'Données projet'!$E$11+1,1))-AVERAGE(OFFSET($H$3,0,0,'Données projet'!$E$11+1,1))</f>
        <v>415.91544298418842</v>
      </c>
      <c r="BJ65" s="59">
        <f t="shared" si="38"/>
        <v>422.79312683312583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6.0594535486839396</v>
      </c>
      <c r="BQ65" s="21">
        <f>EXP(-LN(2)/25)*BQ64+(1-EXP(-LN(2)/25))/(LN(2)/25)*Calculateur!BL65*Calculateur!BN65*VLOOKUP('Données projet'!$B$11,Paramètres!$A$1:$I$89,3,0)*0.475*44/12</f>
        <v>15.960950998567677</v>
      </c>
      <c r="BR65" s="21">
        <f>EXP(-LN(2)/2)*BR64+(1-EXP(-LN(2)/2))/(LN(2)/2)*BL65*BO65*VLOOKUP('Données projet'!$B$11,Paramètres!$A$1:$I$89,3,0)*0.475*44/12</f>
        <v>5.5651689689688256E-4</v>
      </c>
      <c r="BS65" s="22">
        <f t="shared" si="9"/>
        <v>22.020961064148512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25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56.019600000000054</v>
      </c>
      <c r="D66" s="11">
        <f t="shared" si="32"/>
        <v>16.157913987449295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557.15975709610018</v>
      </c>
      <c r="H66" s="67">
        <f t="shared" si="1"/>
        <v>419.04250352814091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5.6</v>
      </c>
      <c r="N66" s="13">
        <f>IF('Données projet'!$A$36&gt;35,N65+M66-V65,IF(A66&lt;'Données projet'!$A$36,$K$205^A66,IF(A66='Données projet'!$A$36,'Données projet'!$B$36,N65+M66-V65)))</f>
        <v>342.79999999999984</v>
      </c>
      <c r="O66" s="13">
        <f>N66*VLOOKUP('Données projet'!$B$9,Paramètres!$A$1:$I$89,3,0)*VLOOKUP('Données projet'!$B$9,Paramètres!$A$1:$I$89,5,0)</f>
        <v>251.34095999999991</v>
      </c>
      <c r="P66" s="13">
        <f t="shared" si="33"/>
        <v>60.872997792376296</v>
      </c>
      <c r="Q66" s="20">
        <f t="shared" si="53"/>
        <v>543.77264315505511</v>
      </c>
      <c r="R66" s="59">
        <f t="shared" si="0"/>
        <v>837.10597648838848</v>
      </c>
      <c r="S66" s="59">
        <f ca="1">AVERAGE(OFFSET($R$3,0,0,'Données projet'!$E$9+1,1))-AVERAGE(OFFSET($H$3,0,0,'Données projet'!$E$9+1,1))</f>
        <v>284.62668108124626</v>
      </c>
      <c r="T66" s="59">
        <f t="shared" si="34"/>
        <v>333.70864452711021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1.5229618578726032</v>
      </c>
      <c r="AA66" s="21">
        <f>EXP(-LN(2)/25)*AA65+(1-EXP(-LN(2)/25))/(LN(2)/25)*Calculateur!V66*Calculateur!X66*VLOOKUP('Données projet'!$B$9,Paramètres!$A$1:$I$89,3,0)*0.475*44/12</f>
        <v>7.6087309964879086</v>
      </c>
      <c r="AB66" s="21">
        <f>EXP(-LN(2)/2)*AB65+(1-EXP(-LN(2)/2))/(LN(2)/2)*V66*Y66*VLOOKUP('Données projet'!$B$9,Paramètres!$A$1:$I$89,3,0)*0.475*44/12</f>
        <v>2.8705694126345861E-4</v>
      </c>
      <c r="AC66" s="22">
        <f t="shared" si="3"/>
        <v>9.1319799113017766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8.5</v>
      </c>
      <c r="AI66" s="13">
        <f>IF('Données projet'!$A$62&gt;35,AI65+AH66-AQ65,IF(A66&lt;'Données projet'!$A$62,$AF$205^A66,IF(A66='Données projet'!$A$62,'Données projet'!$B$62,AI65+AH66-AQ65)))</f>
        <v>270.5</v>
      </c>
      <c r="AJ66" s="13">
        <f>AI66*VLOOKUP('Données projet'!$B$10,Paramètres!$A$1:$I$89,3,0)*VLOOKUP('Données projet'!$B$10,Paramètres!$A$1:$I$89,5,0)</f>
        <v>244.74839999999998</v>
      </c>
      <c r="AK66" s="13">
        <f t="shared" si="35"/>
        <v>59.460004038665112</v>
      </c>
      <c r="AL66" s="20">
        <f t="shared" si="4"/>
        <v>529.82963703400833</v>
      </c>
      <c r="AM66" s="59">
        <f t="shared" si="5"/>
        <v>823.16297036734159</v>
      </c>
      <c r="AN66" s="59">
        <f ca="1">AVERAGE(OFFSET($AM$3,0,0,'Données projet'!$E$10+1,1))-AVERAGE(OFFSET($H$3,0,0,'Données projet'!$E$10+1,1))</f>
        <v>318.40875902853116</v>
      </c>
      <c r="AO66" s="59">
        <f t="shared" si="36"/>
        <v>234.87694492493506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1.2529331596682411</v>
      </c>
      <c r="AV66" s="21">
        <f>EXP(-LN(2)/25)*AV65+(1-EXP(-LN(2)/25))/(LN(2)/25)*Calculateur!AQ66*Calculateur!AS66*VLOOKUP('Données projet'!$B$10,Paramètres!$A$1:$I$89,3,0)*0.475*44/12</f>
        <v>4.519162977481141</v>
      </c>
      <c r="AW66" s="21">
        <f>EXP(-LN(2)/2)*AW65+(1-EXP(-LN(2)/2))/(LN(2)/2)*AQ66*AT66*VLOOKUP('Données projet'!$B$10,Paramètres!$A$1:$I$89,3,0)*0.475*44/12</f>
        <v>2.3255173630017372E-4</v>
      </c>
      <c r="AX66" s="21">
        <f t="shared" si="6"/>
        <v>5.7723286888856817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15.8</v>
      </c>
      <c r="BD66" s="12">
        <f>IF('Données projet'!$A$88&gt;35,BD65+BC66-BL65,IF(A66&lt;'Données projet'!$A$88,$BA$205^A66,IF(A66='Données projet'!$A$88,'Données projet'!$B$88,BD65+BC66-BL65)))</f>
        <v>630.3999999999993</v>
      </c>
      <c r="BE66" s="13">
        <f>BD66*VLOOKUP('Données projet'!$B$11,Paramètres!$A$1:$I$89,3,0)*VLOOKUP('Données projet'!$B$11,Paramètres!$A$1:$I$89,5,0)</f>
        <v>352.39359999999965</v>
      </c>
      <c r="BF66" s="13">
        <f t="shared" si="37"/>
        <v>82.055182662578147</v>
      </c>
      <c r="BG66" s="20">
        <f t="shared" si="7"/>
        <v>756.66496313732296</v>
      </c>
      <c r="BH66" s="59">
        <f t="shared" si="8"/>
        <v>1049.9982964706562</v>
      </c>
      <c r="BI66" s="59">
        <f ca="1">AVERAGE(OFFSET($BH$3,0,0,'Données projet'!$E$11+1,1))-AVERAGE(OFFSET($H$3,0,0,'Données projet'!$E$11+1,1))</f>
        <v>415.91544298418842</v>
      </c>
      <c r="BJ66" s="59">
        <f t="shared" si="38"/>
        <v>422.79312683312583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5.9406313604959724</v>
      </c>
      <c r="BQ66" s="21">
        <f>EXP(-LN(2)/25)*BQ65+(1-EXP(-LN(2)/25))/(LN(2)/25)*Calculateur!BL66*Calculateur!BN66*VLOOKUP('Données projet'!$B$11,Paramètres!$A$1:$I$89,3,0)*0.475*44/12</f>
        <v>15.524497954161911</v>
      </c>
      <c r="BR66" s="21">
        <f>EXP(-LN(2)/2)*BR65+(1-EXP(-LN(2)/2))/(LN(2)/2)*BL66*BO66*VLOOKUP('Données projet'!$B$11,Paramètres!$A$1:$I$89,3,0)*0.475*44/12</f>
        <v>3.9351687164068037E-4</v>
      </c>
      <c r="BS66" s="22">
        <f t="shared" si="9"/>
        <v>21.465522831529523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25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56.908800000000056</v>
      </c>
      <c r="D67" s="11">
        <f t="shared" si="32"/>
        <v>16.384327014561212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565.77150677906945</v>
      </c>
      <c r="H67" s="67">
        <f t="shared" si="1"/>
        <v>420.98552955036087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5.6</v>
      </c>
      <c r="N67" s="13">
        <f>IF('Données projet'!$A$36&gt;35,N66+M67-V66,IF(A67&lt;'Données projet'!$A$36,$K$205^A67,IF(A67='Données projet'!$A$36,'Données projet'!$B$36,N66+M67-V66)))</f>
        <v>348.39999999999986</v>
      </c>
      <c r="O67" s="13">
        <f>N67*VLOOKUP('Données projet'!$B$9,Paramètres!$A$1:$I$89,3,0)*VLOOKUP('Données projet'!$B$9,Paramètres!$A$1:$I$89,5,0)</f>
        <v>255.44687999999991</v>
      </c>
      <c r="P67" s="13">
        <f t="shared" si="33"/>
        <v>61.750841087245945</v>
      </c>
      <c r="Q67" s="20">
        <f t="shared" ref="Q67:Q98" si="54">(O67+P67)*0.475*44/12</f>
        <v>552.45269756028654</v>
      </c>
      <c r="R67" s="59">
        <f t="shared" ref="R67:R130" si="55">Q67+(I67+J67)*44/12</f>
        <v>845.78603089361991</v>
      </c>
      <c r="S67" s="59">
        <f ca="1">AVERAGE(OFFSET($R$3,0,0,'Données projet'!$E$9+1,1))-AVERAGE(OFFSET($H$3,0,0,'Données projet'!$E$9+1,1))</f>
        <v>284.62668108124626</v>
      </c>
      <c r="T67" s="59">
        <f t="shared" si="34"/>
        <v>333.70864452711021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1.4930975047547319</v>
      </c>
      <c r="AA67" s="21">
        <f>EXP(-LN(2)/25)*AA66+(1-EXP(-LN(2)/25))/(LN(2)/25)*Calculateur!V67*Calculateur!X67*VLOOKUP('Données projet'!$B$9,Paramètres!$A$1:$I$89,3,0)*0.475*44/12</f>
        <v>7.400669847263174</v>
      </c>
      <c r="AB67" s="21">
        <f>EXP(-LN(2)/2)*AB66+(1-EXP(-LN(2)/2))/(LN(2)/2)*V67*Y67*VLOOKUP('Données projet'!$B$9,Paramètres!$A$1:$I$89,3,0)*0.475*44/12</f>
        <v>2.0297990975406006E-4</v>
      </c>
      <c r="AC67" s="22">
        <f t="shared" si="3"/>
        <v>8.8939703319276617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8.5</v>
      </c>
      <c r="AI67" s="13">
        <f>IF('Données projet'!$A$62&gt;35,AI66+AH67-AQ66,IF(A67&lt;'Données projet'!$A$62,$AF$205^A67,IF(A67='Données projet'!$A$62,'Données projet'!$B$62,AI66+AH67-AQ66)))</f>
        <v>279</v>
      </c>
      <c r="AJ67" s="13">
        <f>AI67*VLOOKUP('Données projet'!$B$10,Paramètres!$A$1:$I$89,3,0)*VLOOKUP('Données projet'!$B$10,Paramètres!$A$1:$I$89,5,0)</f>
        <v>252.4392</v>
      </c>
      <c r="AK67" s="13">
        <f t="shared" si="35"/>
        <v>61.107963296116218</v>
      </c>
      <c r="AL67" s="20">
        <f t="shared" si="4"/>
        <v>546.09464274073571</v>
      </c>
      <c r="AM67" s="59">
        <f t="shared" si="5"/>
        <v>839.42797607406897</v>
      </c>
      <c r="AN67" s="59">
        <f ca="1">AVERAGE(OFFSET($AM$3,0,0,'Données projet'!$E$10+1,1))-AVERAGE(OFFSET($H$3,0,0,'Données projet'!$E$10+1,1))</f>
        <v>318.40875902853116</v>
      </c>
      <c r="AO67" s="59">
        <f t="shared" si="36"/>
        <v>234.87694492493506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1.2283639046209145</v>
      </c>
      <c r="AV67" s="21">
        <f>EXP(-LN(2)/25)*AV66+(1-EXP(-LN(2)/25))/(LN(2)/25)*Calculateur!AQ67*Calculateur!AS67*VLOOKUP('Données projet'!$B$10,Paramètres!$A$1:$I$89,3,0)*0.475*44/12</f>
        <v>4.3955862282094671</v>
      </c>
      <c r="AW67" s="21">
        <f>EXP(-LN(2)/2)*AW66+(1-EXP(-LN(2)/2))/(LN(2)/2)*AQ67*AT67*VLOOKUP('Données projet'!$B$10,Paramètres!$A$1:$I$89,3,0)*0.475*44/12</f>
        <v>1.6443890971455866E-4</v>
      </c>
      <c r="AX67" s="21">
        <f t="shared" si="6"/>
        <v>5.6241145717400967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15.8</v>
      </c>
      <c r="BD67" s="12">
        <f>IF('Données projet'!$A$88&gt;35,BD66+BC67-BL66,IF(A67&lt;'Données projet'!$A$88,$BA$205^A67,IF(A67='Données projet'!$A$88,'Données projet'!$B$88,BD66+BC67-BL66)))</f>
        <v>646.19999999999925</v>
      </c>
      <c r="BE67" s="13">
        <f>BD67*VLOOKUP('Données projet'!$B$11,Paramètres!$A$1:$I$89,3,0)*VLOOKUP('Données projet'!$B$11,Paramètres!$A$1:$I$89,5,0)</f>
        <v>361.22579999999965</v>
      </c>
      <c r="BF67" s="13">
        <f t="shared" si="37"/>
        <v>83.869755817099659</v>
      </c>
      <c r="BG67" s="20">
        <f t="shared" si="7"/>
        <v>775.20809304811462</v>
      </c>
      <c r="BH67" s="59">
        <f t="shared" si="8"/>
        <v>1068.541426381448</v>
      </c>
      <c r="BI67" s="59">
        <f ca="1">AVERAGE(OFFSET($BH$3,0,0,'Données projet'!$E$11+1,1))-AVERAGE(OFFSET($H$3,0,0,'Données projet'!$E$11+1,1))</f>
        <v>415.91544298418842</v>
      </c>
      <c r="BJ67" s="59">
        <f t="shared" si="38"/>
        <v>422.79312683312583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5.8241392029439929</v>
      </c>
      <c r="BQ67" s="21">
        <f>EXP(-LN(2)/25)*BQ66+(1-EXP(-LN(2)/25))/(LN(2)/25)*Calculateur!BL67*Calculateur!BN67*VLOOKUP('Données projet'!$B$11,Paramètres!$A$1:$I$89,3,0)*0.475*44/12</f>
        <v>15.099979741207488</v>
      </c>
      <c r="BR67" s="21">
        <f>EXP(-LN(2)/2)*BR66+(1-EXP(-LN(2)/2))/(LN(2)/2)*BL67*BO67*VLOOKUP('Données projet'!$B$11,Paramètres!$A$1:$I$89,3,0)*0.475*44/12</f>
        <v>2.7825844844844128E-4</v>
      </c>
      <c r="BS67" s="22">
        <f t="shared" si="9"/>
        <v>20.924397202599931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25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57.798000000000059</v>
      </c>
      <c r="D68" s="11">
        <f t="shared" si="32"/>
        <v>16.610328609523005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574.38008049456403</v>
      </c>
      <c r="H68" s="67">
        <f t="shared" ref="H68:H131" si="56">(B68+E68+F68)*44/12+(C68+D68)*0.475*44/12</f>
        <v>422.92783899491928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5.6</v>
      </c>
      <c r="N68" s="13">
        <f>IF('Données projet'!$A$36&gt;35,N67+M68-V67,IF(A68&lt;'Données projet'!$A$36,$K$205^A68,IF(A68='Données projet'!$A$36,'Données projet'!$B$36,N67+M68-V67)))</f>
        <v>353.99999999999989</v>
      </c>
      <c r="O68" s="13">
        <f>N68*VLOOKUP('Données projet'!$B$9,Paramètres!$A$1:$I$89,3,0)*VLOOKUP('Données projet'!$B$9,Paramètres!$A$1:$I$89,5,0)</f>
        <v>259.55279999999993</v>
      </c>
      <c r="P68" s="13">
        <f t="shared" si="33"/>
        <v>62.627043439399927</v>
      </c>
      <c r="Q68" s="20">
        <f t="shared" si="54"/>
        <v>561.12989399028811</v>
      </c>
      <c r="R68" s="59">
        <f t="shared" si="55"/>
        <v>854.46322732362137</v>
      </c>
      <c r="S68" s="59">
        <f ca="1">AVERAGE(OFFSET($R$3,0,0,'Données projet'!$E$9+1,1))-AVERAGE(OFFSET($H$3,0,0,'Données projet'!$E$9+1,1))</f>
        <v>284.62668108124626</v>
      </c>
      <c r="T68" s="59">
        <f t="shared" si="34"/>
        <v>333.70864452711021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1.4638187733860455</v>
      </c>
      <c r="AA68" s="21">
        <f>EXP(-LN(2)/25)*AA67+(1-EXP(-LN(2)/25))/(LN(2)/25)*Calculateur!V68*Calculateur!X68*VLOOKUP('Données projet'!$B$9,Paramètres!$A$1:$I$89,3,0)*0.475*44/12</f>
        <v>7.1982981411054494</v>
      </c>
      <c r="AB68" s="21">
        <f>EXP(-LN(2)/2)*AB67+(1-EXP(-LN(2)/2))/(LN(2)/2)*V68*Y68*VLOOKUP('Données projet'!$B$9,Paramètres!$A$1:$I$89,3,0)*0.475*44/12</f>
        <v>1.4352847063172931E-4</v>
      </c>
      <c r="AC68" s="22">
        <f t="shared" ref="AC68:AC131" si="57">SUM(Z68:AB68)</f>
        <v>8.6622604429621273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8.5</v>
      </c>
      <c r="AI68" s="13">
        <f>IF('Données projet'!$A$62&gt;35,AI67+AH68-AQ67,IF(A68&lt;'Données projet'!$A$62,$AF$205^A68,IF(A68='Données projet'!$A$62,'Données projet'!$B$62,AI67+AH68-AQ67)))</f>
        <v>287.5</v>
      </c>
      <c r="AJ68" s="13">
        <f>AI68*VLOOKUP('Données projet'!$B$10,Paramètres!$A$1:$I$89,3,0)*VLOOKUP('Données projet'!$B$10,Paramètres!$A$1:$I$89,5,0)</f>
        <v>260.13</v>
      </c>
      <c r="AK68" s="13">
        <f t="shared" si="35"/>
        <v>62.750087896510983</v>
      </c>
      <c r="AL68" s="20">
        <f t="shared" ref="AL68:AL131" si="58">(AJ68+AK68)*0.475*44/12</f>
        <v>562.34948641975654</v>
      </c>
      <c r="AM68" s="59">
        <f t="shared" ref="AM68:AM131" si="59">AL68+(AD68+AE68)*44/12</f>
        <v>855.68281975308992</v>
      </c>
      <c r="AN68" s="59">
        <f ca="1">AVERAGE(OFFSET($AM$3,0,0,'Données projet'!$E$10+1,1))-AVERAGE(OFFSET($H$3,0,0,'Données projet'!$E$10+1,1))</f>
        <v>318.40875902853116</v>
      </c>
      <c r="AO68" s="59">
        <f t="shared" si="36"/>
        <v>234.87694492493506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1.2042764376793</v>
      </c>
      <c r="AV68" s="21">
        <f>EXP(-LN(2)/25)*AV67+(1-EXP(-LN(2)/25))/(LN(2)/25)*Calculateur!AQ68*Calculateur!AS68*VLOOKUP('Données projet'!$B$10,Paramètres!$A$1:$I$89,3,0)*0.475*44/12</f>
        <v>4.2753886916452455</v>
      </c>
      <c r="AW68" s="21">
        <f>EXP(-LN(2)/2)*AW67+(1-EXP(-LN(2)/2))/(LN(2)/2)*AQ68*AT68*VLOOKUP('Données projet'!$B$10,Paramètres!$A$1:$I$89,3,0)*0.475*44/12</f>
        <v>1.1627586815008689E-4</v>
      </c>
      <c r="AX68" s="21">
        <f t="shared" ref="AX68:AX131" si="60">SUM(AU68:AW68)</f>
        <v>5.4797814051926954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15.8</v>
      </c>
      <c r="BD68" s="12">
        <f>IF('Données projet'!$A$88&gt;35,BD67+BC68-BL67,IF(A68&lt;'Données projet'!$A$88,$BA$205^A68,IF(A68='Données projet'!$A$88,'Données projet'!$B$88,BD67+BC68-BL67)))</f>
        <v>661.9999999999992</v>
      </c>
      <c r="BE68" s="13">
        <f>BD68*VLOOKUP('Données projet'!$B$11,Paramètres!$A$1:$I$89,3,0)*VLOOKUP('Données projet'!$B$11,Paramètres!$A$1:$I$89,5,0)</f>
        <v>370.05799999999954</v>
      </c>
      <c r="BF68" s="13">
        <f t="shared" si="37"/>
        <v>85.679171397668327</v>
      </c>
      <c r="BG68" s="20">
        <f t="shared" ref="BG68:BG131" si="61">(BE68+BF68)*0.475*44/12</f>
        <v>793.74224018427151</v>
      </c>
      <c r="BH68" s="59">
        <f t="shared" ref="BH68:BH131" si="62">BG68+(AY68+AZ68)*44/12</f>
        <v>1087.0755735176049</v>
      </c>
      <c r="BI68" s="59">
        <f ca="1">AVERAGE(OFFSET($BH$3,0,0,'Données projet'!$E$11+1,1))-AVERAGE(OFFSET($H$3,0,0,'Données projet'!$E$11+1,1))</f>
        <v>415.91544298418842</v>
      </c>
      <c r="BJ68" s="59">
        <f t="shared" si="38"/>
        <v>422.79312683312583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5.7099313855484075</v>
      </c>
      <c r="BQ68" s="21">
        <f>EXP(-LN(2)/25)*BQ67+(1-EXP(-LN(2)/25))/(LN(2)/25)*Calculateur!BL68*Calculateur!BN68*VLOOKUP('Données projet'!$B$11,Paramètres!$A$1:$I$89,3,0)*0.475*44/12</f>
        <v>14.687070001110746</v>
      </c>
      <c r="BR68" s="21">
        <f>EXP(-LN(2)/2)*BR67+(1-EXP(-LN(2)/2))/(LN(2)/2)*BL68*BO68*VLOOKUP('Données projet'!$B$11,Paramètres!$A$1:$I$89,3,0)*0.475*44/12</f>
        <v>1.9675843582034019E-4</v>
      </c>
      <c r="BS68" s="22">
        <f t="shared" ref="BS68:BS131" si="63">SUM(BP68:BR68)</f>
        <v>20.397198145094972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25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58.687200000000061</v>
      </c>
      <c r="D69" s="11">
        <f t="shared" ref="D69:D132" si="86">IFERROR(EXP(-1.0587+0.8836*LN(C69)+0.284),0)</f>
        <v>16.835925833077553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582.98553274656399</v>
      </c>
      <c r="H69" s="67">
        <f t="shared" si="56"/>
        <v>424.86944415927678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5.6</v>
      </c>
      <c r="N69" s="13">
        <f>IF('Données projet'!$A$36&gt;35,N68+M69-V68,IF(A69&lt;'Données projet'!$A$36,$K$205^A69,IF(A69='Données projet'!$A$36,'Données projet'!$B$36,N68+M69-V68)))</f>
        <v>359.59999999999991</v>
      </c>
      <c r="O69" s="13">
        <f>N69*VLOOKUP('Données projet'!$B$9,Paramètres!$A$1:$I$89,3,0)*VLOOKUP('Données projet'!$B$9,Paramètres!$A$1:$I$89,5,0)</f>
        <v>263.6587199999999</v>
      </c>
      <c r="P69" s="13">
        <f t="shared" ref="P69:P132" si="87">EXP(-1.0587+0.8836*LN(O69)+0.284)</f>
        <v>63.501633804581523</v>
      </c>
      <c r="Q69" s="20">
        <f t="shared" si="54"/>
        <v>569.80428287631264</v>
      </c>
      <c r="R69" s="59">
        <f t="shared" si="55"/>
        <v>863.13761620964601</v>
      </c>
      <c r="S69" s="59">
        <f ca="1">AVERAGE(OFFSET($R$3,0,0,'Données projet'!$E$9+1,1))-AVERAGE(OFFSET($H$3,0,0,'Données projet'!$E$9+1,1))</f>
        <v>284.62668108124626</v>
      </c>
      <c r="T69" s="59">
        <f t="shared" ref="T69:T132" si="88">$T$3</f>
        <v>333.70864452711021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1.4351141800812361</v>
      </c>
      <c r="AA69" s="21">
        <f>EXP(-LN(2)/25)*AA68+(1-EXP(-LN(2)/25))/(LN(2)/25)*Calculateur!V69*Calculateur!X69*VLOOKUP('Données projet'!$B$9,Paramètres!$A$1:$I$89,3,0)*0.475*44/12</f>
        <v>7.0014602998948732</v>
      </c>
      <c r="AB69" s="21">
        <f>EXP(-LN(2)/2)*AB68+(1-EXP(-LN(2)/2))/(LN(2)/2)*V69*Y69*VLOOKUP('Données projet'!$B$9,Paramètres!$A$1:$I$89,3,0)*0.475*44/12</f>
        <v>1.0148995487703003E-4</v>
      </c>
      <c r="AC69" s="22">
        <f t="shared" si="57"/>
        <v>8.4366759699309863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8.5</v>
      </c>
      <c r="AI69" s="13">
        <f>IF('Données projet'!$A$62&gt;35,AI68+AH69-AQ68,IF(A69&lt;'Données projet'!$A$62,$AF$205^A69,IF(A69='Données projet'!$A$62,'Données projet'!$B$62,AI68+AH69-AQ68)))</f>
        <v>296</v>
      </c>
      <c r="AJ69" s="13">
        <f>AI69*VLOOKUP('Données projet'!$B$10,Paramètres!$A$1:$I$89,3,0)*VLOOKUP('Données projet'!$B$10,Paramètres!$A$1:$I$89,5,0)</f>
        <v>267.82079999999996</v>
      </c>
      <c r="AK69" s="13">
        <f t="shared" ref="AK69:AK132" si="89">EXP(-1.0587+0.8836*LN(AJ69)+0.284)</f>
        <v>64.386570147897302</v>
      </c>
      <c r="AL69" s="20">
        <f t="shared" si="58"/>
        <v>578.59450300758772</v>
      </c>
      <c r="AM69" s="59">
        <f t="shared" si="59"/>
        <v>871.92783634092098</v>
      </c>
      <c r="AN69" s="59">
        <f ca="1">AVERAGE(OFFSET($AM$3,0,0,'Données projet'!$E$10+1,1))-AVERAGE(OFFSET($H$3,0,0,'Données projet'!$E$10+1,1))</f>
        <v>318.40875902853116</v>
      </c>
      <c r="AO69" s="59">
        <f t="shared" ref="AO69:AO132" si="90">$AO$3</f>
        <v>234.87694492493506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1.1806613112725066</v>
      </c>
      <c r="AV69" s="21">
        <f>EXP(-LN(2)/25)*AV68+(1-EXP(-LN(2)/25))/(LN(2)/25)*Calculateur!AQ69*Calculateur!AS69*VLOOKUP('Données projet'!$B$10,Paramètres!$A$1:$I$89,3,0)*0.475*44/12</f>
        <v>4.1584779630392861</v>
      </c>
      <c r="AW69" s="21">
        <f>EXP(-LN(2)/2)*AW68+(1-EXP(-LN(2)/2))/(LN(2)/2)*AQ69*AT69*VLOOKUP('Données projet'!$B$10,Paramètres!$A$1:$I$89,3,0)*0.475*44/12</f>
        <v>8.2219454857279344E-5</v>
      </c>
      <c r="AX69" s="21">
        <f t="shared" si="60"/>
        <v>5.3392214937666491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15.8</v>
      </c>
      <c r="BD69" s="12">
        <f>IF('Données projet'!$A$88&gt;35,BD68+BC69-BL68,IF(A69&lt;'Données projet'!$A$88,$BA$205^A69,IF(A69='Données projet'!$A$88,'Données projet'!$B$88,BD68+BC69-BL68)))</f>
        <v>677.79999999999916</v>
      </c>
      <c r="BE69" s="13">
        <f>BD69*VLOOKUP('Données projet'!$B$11,Paramètres!$A$1:$I$89,3,0)*VLOOKUP('Données projet'!$B$11,Paramètres!$A$1:$I$89,5,0)</f>
        <v>378.89019999999948</v>
      </c>
      <c r="BF69" s="13">
        <f t="shared" ref="BF69:BF132" si="91">EXP(-1.0587+0.8836*LN(BE69)+0.284)</f>
        <v>87.483566664488848</v>
      </c>
      <c r="BG69" s="20">
        <f t="shared" si="61"/>
        <v>812.26764360731715</v>
      </c>
      <c r="BH69" s="59">
        <f t="shared" si="62"/>
        <v>1105.6009769406505</v>
      </c>
      <c r="BI69" s="59">
        <f ca="1">AVERAGE(OFFSET($BH$3,0,0,'Données projet'!$E$11+1,1))-AVERAGE(OFFSET($H$3,0,0,'Données projet'!$E$11+1,1))</f>
        <v>415.91544298418842</v>
      </c>
      <c r="BJ69" s="59">
        <f t="shared" ref="BJ69:BJ132" si="92">$BJ$3</f>
        <v>422.79312683312583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5.5979631137920594</v>
      </c>
      <c r="BQ69" s="21">
        <f>EXP(-LN(2)/25)*BQ68+(1-EXP(-LN(2)/25))/(LN(2)/25)*Calculateur!BL69*Calculateur!BN69*VLOOKUP('Données projet'!$B$11,Paramètres!$A$1:$I$89,3,0)*0.475*44/12</f>
        <v>14.285451299570928</v>
      </c>
      <c r="BR69" s="21">
        <f>EXP(-LN(2)/2)*BR68+(1-EXP(-LN(2)/2))/(LN(2)/2)*BL69*BO69*VLOOKUP('Données projet'!$B$11,Paramètres!$A$1:$I$89,3,0)*0.475*44/12</f>
        <v>1.3912922422422064E-4</v>
      </c>
      <c r="BS69" s="22">
        <f t="shared" si="63"/>
        <v>19.883553542587212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25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59.576400000000064</v>
      </c>
      <c r="D70" s="11">
        <f t="shared" si="86"/>
        <v>17.061125519726964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591.58791629262976</v>
      </c>
      <c r="H70" s="67">
        <f t="shared" si="56"/>
        <v>426.81035694685789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5.6</v>
      </c>
      <c r="N70" s="13">
        <f>IF('Données projet'!$A$36&gt;35,N69+M70-V69,IF(A70&lt;'Données projet'!$A$36,$K$205^A70,IF(A70='Données projet'!$A$36,'Données projet'!$B$36,N69+M70-V69)))</f>
        <v>365.19999999999993</v>
      </c>
      <c r="O70" s="13">
        <f>N70*VLOOKUP('Données projet'!$B$9,Paramètres!$A$1:$I$89,3,0)*VLOOKUP('Données projet'!$B$9,Paramètres!$A$1:$I$89,5,0)</f>
        <v>267.76463999999993</v>
      </c>
      <c r="P70" s="13">
        <f t="shared" si="87"/>
        <v>64.374640184948362</v>
      </c>
      <c r="Q70" s="20">
        <f t="shared" si="54"/>
        <v>578.4759129887849</v>
      </c>
      <c r="R70" s="59">
        <f t="shared" si="55"/>
        <v>871.80924632211827</v>
      </c>
      <c r="S70" s="59">
        <f ca="1">AVERAGE(OFFSET($R$3,0,0,'Données projet'!$E$9+1,1))-AVERAGE(OFFSET($H$3,0,0,'Données projet'!$E$9+1,1))</f>
        <v>284.62668108124626</v>
      </c>
      <c r="T70" s="59">
        <f t="shared" si="88"/>
        <v>333.70864452711021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1.4069724663430609</v>
      </c>
      <c r="AA70" s="21">
        <f>EXP(-LN(2)/25)*AA69+(1-EXP(-LN(2)/25))/(LN(2)/25)*Calculateur!V70*Calculateur!X70*VLOOKUP('Données projet'!$B$9,Paramètres!$A$1:$I$89,3,0)*0.475*44/12</f>
        <v>6.8100049998034526</v>
      </c>
      <c r="AB70" s="21">
        <f>EXP(-LN(2)/2)*AB69+(1-EXP(-LN(2)/2))/(LN(2)/2)*V70*Y70*VLOOKUP('Données projet'!$B$9,Paramètres!$A$1:$I$89,3,0)*0.475*44/12</f>
        <v>7.1764235315864653E-5</v>
      </c>
      <c r="AC70" s="22">
        <f t="shared" si="57"/>
        <v>8.2170492303818286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8.5</v>
      </c>
      <c r="AI70" s="13">
        <f>IF('Données projet'!$A$62&gt;35,AI69+AH70-AQ69,IF(A70&lt;'Données projet'!$A$62,$AF$205^A70,IF(A70='Données projet'!$A$62,'Données projet'!$B$62,AI69+AH70-AQ69)))</f>
        <v>304.5</v>
      </c>
      <c r="AJ70" s="13">
        <f>AI70*VLOOKUP('Données projet'!$B$10,Paramètres!$A$1:$I$89,3,0)*VLOOKUP('Données projet'!$B$10,Paramètres!$A$1:$I$89,5,0)</f>
        <v>275.51159999999999</v>
      </c>
      <c r="AK70" s="13">
        <f t="shared" si="89"/>
        <v>66.017590685458188</v>
      </c>
      <c r="AL70" s="20">
        <f t="shared" si="58"/>
        <v>594.83000711050624</v>
      </c>
      <c r="AM70" s="59">
        <f t="shared" si="59"/>
        <v>888.16334044383962</v>
      </c>
      <c r="AN70" s="59">
        <f ca="1">AVERAGE(OFFSET($AM$3,0,0,'Données projet'!$E$10+1,1))-AVERAGE(OFFSET($H$3,0,0,'Données projet'!$E$10+1,1))</f>
        <v>318.40875902853116</v>
      </c>
      <c r="AO70" s="59">
        <f t="shared" si="90"/>
        <v>234.87694492493506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1.1575092630907455</v>
      </c>
      <c r="AV70" s="21">
        <f>EXP(-LN(2)/25)*AV69+(1-EXP(-LN(2)/25))/(LN(2)/25)*Calculateur!AQ70*Calculateur!AS70*VLOOKUP('Données projet'!$B$10,Paramètres!$A$1:$I$89,3,0)*0.475*44/12</f>
        <v>4.0447641644551249</v>
      </c>
      <c r="AW70" s="21">
        <f>EXP(-LN(2)/2)*AW69+(1-EXP(-LN(2)/2))/(LN(2)/2)*AQ70*AT70*VLOOKUP('Données projet'!$B$10,Paramètres!$A$1:$I$89,3,0)*0.475*44/12</f>
        <v>5.8137934075043451E-5</v>
      </c>
      <c r="AX70" s="21">
        <f t="shared" si="60"/>
        <v>5.2023315654799456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15.8</v>
      </c>
      <c r="BD70" s="12">
        <f>IF('Données projet'!$A$88&gt;35,BD69+BC70-BL69,IF(A70&lt;'Données projet'!$A$88,$BA$205^A70,IF(A70='Données projet'!$A$88,'Données projet'!$B$88,BD69+BC70-BL69)))</f>
        <v>693.59999999999911</v>
      </c>
      <c r="BE70" s="13">
        <f>BD70*VLOOKUP('Données projet'!$B$11,Paramètres!$A$1:$I$89,3,0)*VLOOKUP('Données projet'!$B$11,Paramètres!$A$1:$I$89,5,0)</f>
        <v>387.72239999999948</v>
      </c>
      <c r="BF70" s="13">
        <f t="shared" si="91"/>
        <v>89.283072113397623</v>
      </c>
      <c r="BG70" s="20">
        <f t="shared" si="61"/>
        <v>830.78453059749984</v>
      </c>
      <c r="BH70" s="59">
        <f t="shared" si="62"/>
        <v>1124.1178639308332</v>
      </c>
      <c r="BI70" s="59">
        <f ca="1">AVERAGE(OFFSET($BH$3,0,0,'Données projet'!$E$11+1,1))-AVERAGE(OFFSET($H$3,0,0,'Données projet'!$E$11+1,1))</f>
        <v>415.91544298418842</v>
      </c>
      <c r="BJ70" s="59">
        <f t="shared" si="92"/>
        <v>422.79312683312583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5.4881904715509506</v>
      </c>
      <c r="BQ70" s="21">
        <f>EXP(-LN(2)/25)*BQ69+(1-EXP(-LN(2)/25))/(LN(2)/25)*Calculateur!BL70*Calculateur!BN70*VLOOKUP('Données projet'!$B$11,Paramètres!$A$1:$I$89,3,0)*0.475*44/12</f>
        <v>13.894814882544928</v>
      </c>
      <c r="BR70" s="21">
        <f>EXP(-LN(2)/2)*BR69+(1-EXP(-LN(2)/2))/(LN(2)/2)*BL70*BO70*VLOOKUP('Données projet'!$B$11,Paramètres!$A$1:$I$89,3,0)*0.475*44/12</f>
        <v>9.8379217910170093E-5</v>
      </c>
      <c r="BS70" s="22">
        <f t="shared" si="63"/>
        <v>19.383103733313789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25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60.465600000000066</v>
      </c>
      <c r="D71" s="11">
        <f t="shared" si="86"/>
        <v>17.285934288248221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600.18728222507445</v>
      </c>
      <c r="H71" s="67">
        <f t="shared" si="56"/>
        <v>428.75058888536569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5.6</v>
      </c>
      <c r="N71" s="13">
        <f>IF('Données projet'!$A$36&gt;35,N70+M71-V70,IF(A71&lt;'Données projet'!$A$36,$K$205^A71,IF(A71='Données projet'!$A$36,'Données projet'!$B$36,N70+M71-V70)))</f>
        <v>370.79999999999995</v>
      </c>
      <c r="O71" s="13">
        <f>N71*VLOOKUP('Données projet'!$B$9,Paramètres!$A$1:$I$89,3,0)*VLOOKUP('Données projet'!$B$9,Paramètres!$A$1:$I$89,5,0)</f>
        <v>271.87055999999995</v>
      </c>
      <c r="P71" s="13">
        <f t="shared" si="87"/>
        <v>65.246089674608072</v>
      </c>
      <c r="Q71" s="20">
        <f t="shared" si="54"/>
        <v>587.14483151660897</v>
      </c>
      <c r="R71" s="59">
        <f t="shared" si="55"/>
        <v>880.47816484994223</v>
      </c>
      <c r="S71" s="59">
        <f ca="1">AVERAGE(OFFSET($R$3,0,0,'Données projet'!$E$9+1,1))-AVERAGE(OFFSET($H$3,0,0,'Données projet'!$E$9+1,1))</f>
        <v>284.62668108124626</v>
      </c>
      <c r="T71" s="59">
        <f t="shared" si="88"/>
        <v>333.70864452711021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1.379382594446541</v>
      </c>
      <c r="AA71" s="21">
        <f>EXP(-LN(2)/25)*AA70+(1-EXP(-LN(2)/25))/(LN(2)/25)*Calculateur!V71*Calculateur!X71*VLOOKUP('Données projet'!$B$9,Paramètres!$A$1:$I$89,3,0)*0.475*44/12</f>
        <v>6.6237850549612292</v>
      </c>
      <c r="AB71" s="21">
        <f>EXP(-LN(2)/2)*AB70+(1-EXP(-LN(2)/2))/(LN(2)/2)*V71*Y71*VLOOKUP('Données projet'!$B$9,Paramètres!$A$1:$I$89,3,0)*0.475*44/12</f>
        <v>5.0744977438515015E-5</v>
      </c>
      <c r="AC71" s="22">
        <f t="shared" si="57"/>
        <v>8.0032183943852075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8.5</v>
      </c>
      <c r="AI71" s="13">
        <f>IF('Données projet'!$A$62&gt;35,AI70+AH71-AQ70,IF(A71&lt;'Données projet'!$A$62,$AF$205^A71,IF(A71='Données projet'!$A$62,'Données projet'!$B$62,AI70+AH71-AQ70)))</f>
        <v>313</v>
      </c>
      <c r="AJ71" s="13">
        <f>AI71*VLOOKUP('Données projet'!$B$10,Paramètres!$A$1:$I$89,3,0)*VLOOKUP('Données projet'!$B$10,Paramètres!$A$1:$I$89,5,0)</f>
        <v>283.20240000000001</v>
      </c>
      <c r="AK71" s="13">
        <f t="shared" si="89"/>
        <v>67.643319485855841</v>
      </c>
      <c r="AL71" s="20">
        <f t="shared" si="58"/>
        <v>611.05629477119896</v>
      </c>
      <c r="AM71" s="59">
        <f t="shared" si="59"/>
        <v>904.38962810453222</v>
      </c>
      <c r="AN71" s="59">
        <f ca="1">AVERAGE(OFFSET($AM$3,0,0,'Données projet'!$E$10+1,1))-AVERAGE(OFFSET($H$3,0,0,'Données projet'!$E$10+1,1))</f>
        <v>318.40875902853116</v>
      </c>
      <c r="AO71" s="59">
        <f t="shared" si="90"/>
        <v>234.87694492493506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1.1348112124524736</v>
      </c>
      <c r="AV71" s="21">
        <f>EXP(-LN(2)/25)*AV70+(1-EXP(-LN(2)/25))/(LN(2)/25)*Calculateur!AQ71*Calculateur!AS71*VLOOKUP('Données projet'!$B$10,Paramètres!$A$1:$I$89,3,0)*0.475*44/12</f>
        <v>3.9341598756731964</v>
      </c>
      <c r="AW71" s="21">
        <f>EXP(-LN(2)/2)*AW70+(1-EXP(-LN(2)/2))/(LN(2)/2)*AQ71*AT71*VLOOKUP('Données projet'!$B$10,Paramètres!$A$1:$I$89,3,0)*0.475*44/12</f>
        <v>4.1109727428639679E-5</v>
      </c>
      <c r="AX71" s="21">
        <f t="shared" si="60"/>
        <v>5.0690121978530982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15.8</v>
      </c>
      <c r="BD71" s="12">
        <f>IF('Données projet'!$A$88&gt;35,BD70+BC71-BL70,IF(A71&lt;'Données projet'!$A$88,$BA$205^A71,IF(A71='Données projet'!$A$88,'Données projet'!$B$88,BD70+BC71-BL70)))</f>
        <v>709.39999999999907</v>
      </c>
      <c r="BE71" s="13">
        <f>BD71*VLOOKUP('Données projet'!$B$11,Paramètres!$A$1:$I$89,3,0)*VLOOKUP('Données projet'!$B$11,Paramètres!$A$1:$I$89,5,0)</f>
        <v>396.55459999999948</v>
      </c>
      <c r="BF71" s="13">
        <f t="shared" si="91"/>
        <v>91.077811955600495</v>
      </c>
      <c r="BG71" s="20">
        <f t="shared" si="61"/>
        <v>849.29311748933662</v>
      </c>
      <c r="BH71" s="59">
        <f t="shared" si="62"/>
        <v>1142.62645082267</v>
      </c>
      <c r="BI71" s="59">
        <f ca="1">AVERAGE(OFFSET($BH$3,0,0,'Données projet'!$E$11+1,1))-AVERAGE(OFFSET($H$3,0,0,'Données projet'!$E$11+1,1))</f>
        <v>415.91544298418842</v>
      </c>
      <c r="BJ71" s="59">
        <f t="shared" si="92"/>
        <v>422.79312683312583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5.3805704038694895</v>
      </c>
      <c r="BQ71" s="21">
        <f>EXP(-LN(2)/25)*BQ70+(1-EXP(-LN(2)/25))/(LN(2)/25)*Calculateur!BL71*Calculateur!BN71*VLOOKUP('Données projet'!$B$11,Paramètres!$A$1:$I$89,3,0)*0.475*44/12</f>
        <v>13.514860438885179</v>
      </c>
      <c r="BR71" s="21">
        <f>EXP(-LN(2)/2)*BR70+(1-EXP(-LN(2)/2))/(LN(2)/2)*BL71*BO71*VLOOKUP('Données projet'!$B$11,Paramètres!$A$1:$I$89,3,0)*0.475*44/12</f>
        <v>6.9564612112110321E-5</v>
      </c>
      <c r="BS71" s="22">
        <f t="shared" si="63"/>
        <v>18.895500407366782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25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61.354800000000068</v>
      </c>
      <c r="D72" s="11">
        <f t="shared" si="86"/>
        <v>17.510358551572637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608.7836800472279</v>
      </c>
      <c r="H72" s="67">
        <f t="shared" si="56"/>
        <v>430.69015114398906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5.6</v>
      </c>
      <c r="N72" s="13">
        <f>IF('Données projet'!$A$36&gt;35,N71+M72-V71,IF(A72&lt;'Données projet'!$A$36,$K$205^A72,IF(A72='Données projet'!$A$36,'Données projet'!$B$36,N71+M72-V71)))</f>
        <v>376.4</v>
      </c>
      <c r="O72" s="13">
        <f>N72*VLOOKUP('Données projet'!$B$9,Paramètres!$A$1:$I$89,3,0)*VLOOKUP('Données projet'!$B$9,Paramètres!$A$1:$I$89,5,0)</f>
        <v>275.97647999999998</v>
      </c>
      <c r="P72" s="13">
        <f t="shared" si="87"/>
        <v>66.116008502324689</v>
      </c>
      <c r="Q72" s="20">
        <f t="shared" si="54"/>
        <v>595.8110841415488</v>
      </c>
      <c r="R72" s="59">
        <f t="shared" si="55"/>
        <v>889.14441747488218</v>
      </c>
      <c r="S72" s="59">
        <f ca="1">AVERAGE(OFFSET($R$3,0,0,'Données projet'!$E$9+1,1))-AVERAGE(OFFSET($H$3,0,0,'Données projet'!$E$9+1,1))</f>
        <v>284.62668108124626</v>
      </c>
      <c r="T72" s="59">
        <f t="shared" si="88"/>
        <v>333.70864452711021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1.3523337431097515</v>
      </c>
      <c r="AA72" s="21">
        <f>EXP(-LN(2)/25)*AA71+(1-EXP(-LN(2)/25))/(LN(2)/25)*Calculateur!V72*Calculateur!X72*VLOOKUP('Données projet'!$B$9,Paramètres!$A$1:$I$89,3,0)*0.475*44/12</f>
        <v>6.4426573043035971</v>
      </c>
      <c r="AB72" s="21">
        <f>EXP(-LN(2)/2)*AB71+(1-EXP(-LN(2)/2))/(LN(2)/2)*V72*Y72*VLOOKUP('Données projet'!$B$9,Paramètres!$A$1:$I$89,3,0)*0.475*44/12</f>
        <v>3.5882117657932327E-5</v>
      </c>
      <c r="AC72" s="22">
        <f t="shared" si="57"/>
        <v>7.795026929531006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8.5</v>
      </c>
      <c r="AI72" s="13">
        <f>IF('Données projet'!$A$62&gt;35,AI71+AH72-AQ71,IF(A72&lt;'Données projet'!$A$62,$AF$205^A72,IF(A72='Données projet'!$A$62,'Données projet'!$B$62,AI71+AH72-AQ71)))</f>
        <v>321.5</v>
      </c>
      <c r="AJ72" s="13">
        <f>AI72*VLOOKUP('Données projet'!$B$10,Paramètres!$A$1:$I$89,3,0)*VLOOKUP('Données projet'!$B$10,Paramètres!$A$1:$I$89,5,0)</f>
        <v>290.89320000000004</v>
      </c>
      <c r="AK72" s="13">
        <f t="shared" si="89"/>
        <v>69.263916768293996</v>
      </c>
      <c r="AL72" s="20">
        <f t="shared" si="58"/>
        <v>627.27364503811202</v>
      </c>
      <c r="AM72" s="59">
        <f t="shared" si="59"/>
        <v>920.60697837144539</v>
      </c>
      <c r="AN72" s="59">
        <f ca="1">AVERAGE(OFFSET($AM$3,0,0,'Données projet'!$E$10+1,1))-AVERAGE(OFFSET($H$3,0,0,'Données projet'!$E$10+1,1))</f>
        <v>318.40875902853116</v>
      </c>
      <c r="AO72" s="59">
        <f t="shared" si="90"/>
        <v>234.87694492493506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1.1125582567427745</v>
      </c>
      <c r="AV72" s="21">
        <f>EXP(-LN(2)/25)*AV71+(1-EXP(-LN(2)/25))/(LN(2)/25)*Calculateur!AQ72*Calculateur!AS72*VLOOKUP('Données projet'!$B$10,Paramètres!$A$1:$I$89,3,0)*0.475*44/12</f>
        <v>3.8265800669844365</v>
      </c>
      <c r="AW72" s="21">
        <f>EXP(-LN(2)/2)*AW71+(1-EXP(-LN(2)/2))/(LN(2)/2)*AQ72*AT72*VLOOKUP('Données projet'!$B$10,Paramètres!$A$1:$I$89,3,0)*0.475*44/12</f>
        <v>2.9068967037521732E-5</v>
      </c>
      <c r="AX72" s="21">
        <f t="shared" si="60"/>
        <v>4.939167392694249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15.8</v>
      </c>
      <c r="BD72" s="12">
        <f>IF('Données projet'!$A$88&gt;35,BD71+BC72-BL71,IF(A72&lt;'Données projet'!$A$88,$BA$205^A72,IF(A72='Données projet'!$A$88,'Données projet'!$B$88,BD71+BC72-BL71)))</f>
        <v>725.19999999999902</v>
      </c>
      <c r="BE72" s="13">
        <f>BD72*VLOOKUP('Données projet'!$B$11,Paramètres!$A$1:$I$89,3,0)*VLOOKUP('Données projet'!$B$11,Paramètres!$A$1:$I$89,5,0)</f>
        <v>405.38679999999943</v>
      </c>
      <c r="BF72" s="13">
        <f t="shared" si="91"/>
        <v>92.867904553465792</v>
      </c>
      <c r="BG72" s="20">
        <f t="shared" si="61"/>
        <v>867.79361043061851</v>
      </c>
      <c r="BH72" s="59">
        <f t="shared" si="62"/>
        <v>1161.1269437639519</v>
      </c>
      <c r="BI72" s="59">
        <f ca="1">AVERAGE(OFFSET($BH$3,0,0,'Données projet'!$E$11+1,1))-AVERAGE(OFFSET($H$3,0,0,'Données projet'!$E$11+1,1))</f>
        <v>415.91544298418842</v>
      </c>
      <c r="BJ72" s="59">
        <f t="shared" si="92"/>
        <v>422.79312683312583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5.2750607000735021</v>
      </c>
      <c r="BQ72" s="21">
        <f>EXP(-LN(2)/25)*BQ71+(1-EXP(-LN(2)/25))/(LN(2)/25)*Calculateur!BL72*Calculateur!BN72*VLOOKUP('Données projet'!$B$11,Paramètres!$A$1:$I$89,3,0)*0.475*44/12</f>
        <v>13.145295869468242</v>
      </c>
      <c r="BR72" s="21">
        <f>EXP(-LN(2)/2)*BR71+(1-EXP(-LN(2)/2))/(LN(2)/2)*BL72*BO72*VLOOKUP('Données projet'!$B$11,Paramètres!$A$1:$I$89,3,0)*0.475*44/12</f>
        <v>4.9189608955085047E-5</v>
      </c>
      <c r="BS72" s="22">
        <f t="shared" si="63"/>
        <v>18.4204057591507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25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62.244000000000071</v>
      </c>
      <c r="D73" s="11">
        <f t="shared" si="86"/>
        <v>17.734404526076464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617.3771577451522</v>
      </c>
      <c r="H73" s="67">
        <f t="shared" si="56"/>
        <v>432.62905454958332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>
        <f>VLOOKUP(A73,'Données projet'!$A$35:$I$55,2,0)</f>
        <v>382</v>
      </c>
      <c r="L73" s="12">
        <f>VLOOKUP(A73,'Données projet'!$A$35:$I$55,9,0)</f>
        <v>5.6</v>
      </c>
      <c r="M73" s="12">
        <f t="array" ref="M73">INDEX(L:L,MIN(IF(ISNUMBER(L73:L269),ROW(L73:L269),"")))</f>
        <v>5.6</v>
      </c>
      <c r="N73" s="13">
        <f>IF('Données projet'!$A$36&gt;35,N72+M73-V72,IF(A73&lt;'Données projet'!$A$36,$K$205^A73,IF(A73='Données projet'!$A$36,'Données projet'!$B$36,N72+M73-V72)))</f>
        <v>382</v>
      </c>
      <c r="O73" s="13">
        <f>N73*VLOOKUP('Données projet'!$B$9,Paramètres!$A$1:$I$89,3,0)*VLOOKUP('Données projet'!$B$9,Paramètres!$A$1:$I$89,5,0)</f>
        <v>280.08240000000001</v>
      </c>
      <c r="P73" s="13">
        <f t="shared" si="87"/>
        <v>66.984422071612045</v>
      </c>
      <c r="Q73" s="20">
        <f t="shared" si="54"/>
        <v>604.47471510805769</v>
      </c>
      <c r="R73" s="59">
        <f t="shared" si="55"/>
        <v>897.80804844139107</v>
      </c>
      <c r="S73" s="59">
        <f ca="1">AVERAGE(OFFSET($R$3,0,0,'Données projet'!$E$9+1,1))-AVERAGE(OFFSET($H$3,0,0,'Données projet'!$E$9+1,1))</f>
        <v>284.62668108124626</v>
      </c>
      <c r="T73" s="59">
        <f t="shared" si="88"/>
        <v>333.70864452711021</v>
      </c>
      <c r="U73" s="15">
        <f>IF(ISNA(VLOOKUP(A73,'Données projet'!$A$35:$I$55,3,0)),0,VLOOKUP(A73,'Données projet'!$A$35:$I$55,3,0))</f>
        <v>7</v>
      </c>
      <c r="V73" s="15">
        <f>IF(ISNA(VLOOKUP(A73,'Données projet'!$A$35:$I$55,4,0)),0,VLOOKUP(A73,'Données projet'!$A$35:$I$55,4,0))</f>
        <v>31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1.3258153032495061</v>
      </c>
      <c r="AA73" s="21">
        <f>EXP(-LN(2)/25)*AA72+(1-EXP(-LN(2)/25))/(LN(2)/25)*Calculateur!V73*Calculateur!X73*VLOOKUP('Données projet'!$B$9,Paramètres!$A$1:$I$89,3,0)*0.475*44/12</f>
        <v>6.2664825015127921</v>
      </c>
      <c r="AB73" s="21">
        <f>EXP(-LN(2)/2)*AB72+(1-EXP(-LN(2)/2))/(LN(2)/2)*V73*Y73*VLOOKUP('Données projet'!$B$9,Paramètres!$A$1:$I$89,3,0)*0.475*44/12</f>
        <v>2.5372488719257507E-5</v>
      </c>
      <c r="AC73" s="22">
        <f t="shared" si="57"/>
        <v>7.5923231772510169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>
        <f>VLOOKUP(A73,'Données projet'!$A$61:$I$81,2,0)</f>
        <v>330</v>
      </c>
      <c r="AG73" s="12">
        <f>VLOOKUP(A73,'Données projet'!$A$61:$I$81,9,0)</f>
        <v>8.5</v>
      </c>
      <c r="AH73" s="12">
        <f t="array" ref="AH73">INDEX(AG:AG,MIN(IF(ISNUMBER(AG73:AG269),ROW(AG73:AG269),"")))</f>
        <v>8.5</v>
      </c>
      <c r="AI73" s="13">
        <f>IF('Données projet'!$A$62&gt;35,AI72+AH73-AQ72,IF(A73&lt;'Données projet'!$A$62,$AF$205^A73,IF(A73='Données projet'!$A$62,'Données projet'!$B$62,AI72+AH73-AQ72)))</f>
        <v>330</v>
      </c>
      <c r="AJ73" s="13">
        <f>AI73*VLOOKUP('Données projet'!$B$10,Paramètres!$A$1:$I$89,3,0)*VLOOKUP('Données projet'!$B$10,Paramètres!$A$1:$I$89,5,0)</f>
        <v>298.58399999999995</v>
      </c>
      <c r="AK73" s="13">
        <f t="shared" si="89"/>
        <v>70.879533797607607</v>
      </c>
      <c r="AL73" s="20">
        <f t="shared" si="58"/>
        <v>643.48232136416652</v>
      </c>
      <c r="AM73" s="59">
        <f t="shared" si="59"/>
        <v>936.81565469749989</v>
      </c>
      <c r="AN73" s="59">
        <f ca="1">AVERAGE(OFFSET($AM$3,0,0,'Données projet'!$E$10+1,1))-AVERAGE(OFFSET($H$3,0,0,'Données projet'!$E$10+1,1))</f>
        <v>318.40875902853116</v>
      </c>
      <c r="AO73" s="59">
        <f t="shared" si="90"/>
        <v>234.87694492493506</v>
      </c>
      <c r="AP73" s="15">
        <f>IF(ISNA(VLOOKUP(A73,'Données projet'!$A$61:$I$81,3,0)),0,VLOOKUP(A73,'Données projet'!$A$61:$I$81,3,0))</f>
        <v>6</v>
      </c>
      <c r="AQ73" s="15">
        <f>IF(ISNA(VLOOKUP(A73,'Données projet'!$A$61:$I$81,4,0)),0,VLOOKUP(A73,'Données projet'!$A$61:$I$81,4,0))</f>
        <v>56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1.0907416679215798</v>
      </c>
      <c r="AV73" s="21">
        <f>EXP(-LN(2)/25)*AV72+(1-EXP(-LN(2)/25))/(LN(2)/25)*Calculateur!AQ73*Calculateur!AS73*VLOOKUP('Données projet'!$B$10,Paramètres!$A$1:$I$89,3,0)*0.475*44/12</f>
        <v>3.7219420338216471</v>
      </c>
      <c r="AW73" s="21">
        <f>EXP(-LN(2)/2)*AW72+(1-EXP(-LN(2)/2))/(LN(2)/2)*AQ73*AT73*VLOOKUP('Données projet'!$B$10,Paramètres!$A$1:$I$89,3,0)*0.475*44/12</f>
        <v>2.0554863714319843E-5</v>
      </c>
      <c r="AX73" s="21">
        <f t="shared" si="60"/>
        <v>4.8127042566069411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>
        <f>VLOOKUP(A73,'Données projet'!$A$87:$I$107,2,0)</f>
        <v>741</v>
      </c>
      <c r="BB73" s="12">
        <f>VLOOKUP(A73,'Données projet'!$A$87:$I$107,9,0)</f>
        <v>15.8</v>
      </c>
      <c r="BC73" s="12">
        <f t="array" ref="BC73">INDEX(BB:BB,MIN(IF(ISNUMBER(BB73:BB269),ROW(BB73:BB269),"")))</f>
        <v>15.8</v>
      </c>
      <c r="BD73" s="12">
        <f>IF('Données projet'!$A$88&gt;35,BD72+BC73-BL72,IF(A73&lt;'Données projet'!$A$88,$BA$205^A73,IF(A73='Données projet'!$A$88,'Données projet'!$B$88,BD72+BC73-BL72)))</f>
        <v>740.99999999999898</v>
      </c>
      <c r="BE73" s="13">
        <f>BD73*VLOOKUP('Données projet'!$B$11,Paramètres!$A$1:$I$89,3,0)*VLOOKUP('Données projet'!$B$11,Paramètres!$A$1:$I$89,5,0)</f>
        <v>414.21899999999943</v>
      </c>
      <c r="BF73" s="13">
        <f t="shared" si="91"/>
        <v>94.653462817267581</v>
      </c>
      <c r="BG73" s="20">
        <f t="shared" si="61"/>
        <v>886.28620607340656</v>
      </c>
      <c r="BH73" s="59">
        <f t="shared" si="62"/>
        <v>1179.6195394067399</v>
      </c>
      <c r="BI73" s="59">
        <f ca="1">AVERAGE(OFFSET($BH$3,0,0,'Données projet'!$E$11+1,1))-AVERAGE(OFFSET($H$3,0,0,'Données projet'!$E$11+1,1))</f>
        <v>415.91544298418842</v>
      </c>
      <c r="BJ73" s="59">
        <f t="shared" si="92"/>
        <v>422.79312683312583</v>
      </c>
      <c r="BK73" s="15">
        <f>IF(ISNA(VLOOKUP(A73,'Données projet'!$A$87:$I$107,3,0)),0,VLOOKUP(A73,'Données projet'!$A$87:$I$107,3,0))</f>
        <v>6</v>
      </c>
      <c r="BL73" s="15">
        <f>IF(ISNA(VLOOKUP(A73,'Données projet'!$A$87:$I$107,4,0)),0,VLOOKUP(A73,'Données projet'!$A$87:$I$107,4,0))</f>
        <v>80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5.1716199772143892</v>
      </c>
      <c r="BQ73" s="21">
        <f>EXP(-LN(2)/25)*BQ72+(1-EXP(-LN(2)/25))/(LN(2)/25)*Calculateur!BL73*Calculateur!BN73*VLOOKUP('Données projet'!$B$11,Paramètres!$A$1:$I$89,3,0)*0.475*44/12</f>
        <v>12.785837062636567</v>
      </c>
      <c r="BR73" s="21">
        <f>EXP(-LN(2)/2)*BR72+(1-EXP(-LN(2)/2))/(LN(2)/2)*BL73*BO73*VLOOKUP('Données projet'!$B$11,Paramètres!$A$1:$I$89,3,0)*0.475*44/12</f>
        <v>3.478230605605516E-5</v>
      </c>
      <c r="BS73" s="22">
        <f t="shared" si="63"/>
        <v>17.957491822157014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25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63.133200000000073</v>
      </c>
      <c r="D74" s="11">
        <f t="shared" si="86"/>
        <v>17.958078240325332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625.96776185514352</v>
      </c>
      <c r="H74" s="67">
        <f t="shared" si="56"/>
        <v>434.56730960190009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4.4000000000000004</v>
      </c>
      <c r="N74" s="13">
        <f>IF('Données projet'!$A$36&gt;35,N73+M74-V73,IF(A74&lt;'Données projet'!$A$36,$K$205^A74,IF(A74='Données projet'!$A$36,'Données projet'!$B$36,N73+M74-V73)))</f>
        <v>355.4</v>
      </c>
      <c r="O74" s="13">
        <f>N74*VLOOKUP('Données projet'!$B$9,Paramètres!$A$1:$I$89,3,0)*VLOOKUP('Données projet'!$B$9,Paramètres!$A$1:$I$89,5,0)</f>
        <v>260.57927999999998</v>
      </c>
      <c r="P74" s="13">
        <f t="shared" si="87"/>
        <v>62.845841044703704</v>
      </c>
      <c r="Q74" s="20">
        <f t="shared" si="54"/>
        <v>563.29875248619226</v>
      </c>
      <c r="R74" s="59">
        <f t="shared" si="55"/>
        <v>856.63208581952563</v>
      </c>
      <c r="S74" s="59">
        <f ca="1">AVERAGE(OFFSET($R$3,0,0,'Données projet'!$E$9+1,1))-AVERAGE(OFFSET($H$3,0,0,'Données projet'!$E$9+1,1))</f>
        <v>284.62668108124626</v>
      </c>
      <c r="T74" s="59">
        <f t="shared" si="88"/>
        <v>333.70864452711021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1.2998168738202691</v>
      </c>
      <c r="AA74" s="21">
        <f>EXP(-LN(2)/25)*AA73+(1-EXP(-LN(2)/25))/(LN(2)/25)*Calculateur!V74*Calculateur!X74*VLOOKUP('Données projet'!$B$9,Paramètres!$A$1:$I$89,3,0)*0.475*44/12</f>
        <v>6.0951252079689322</v>
      </c>
      <c r="AB74" s="21">
        <f>EXP(-LN(2)/2)*AB73+(1-EXP(-LN(2)/2))/(LN(2)/2)*V74*Y74*VLOOKUP('Données projet'!$B$9,Paramètres!$A$1:$I$89,3,0)*0.475*44/12</f>
        <v>1.7941058828966163E-5</v>
      </c>
      <c r="AC74" s="22">
        <f t="shared" si="57"/>
        <v>7.3949600228480303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7.4</v>
      </c>
      <c r="AI74" s="13">
        <f>IF('Données projet'!$A$62&gt;35,AI73+AH74-AQ73,IF(A74&lt;'Données projet'!$A$62,$AF$205^A74,IF(A74='Données projet'!$A$62,'Données projet'!$B$62,AI73+AH74-AQ73)))</f>
        <v>281.39999999999998</v>
      </c>
      <c r="AJ74" s="13">
        <f>AI74*VLOOKUP('Données projet'!$B$10,Paramètres!$A$1:$I$89,3,0)*VLOOKUP('Données projet'!$B$10,Paramètres!$A$1:$I$89,5,0)</f>
        <v>254.61071999999999</v>
      </c>
      <c r="AK74" s="13">
        <f t="shared" si="89"/>
        <v>61.572204587965679</v>
      </c>
      <c r="AL74" s="20">
        <f t="shared" si="58"/>
        <v>550.68526032404009</v>
      </c>
      <c r="AM74" s="59">
        <f t="shared" si="59"/>
        <v>844.01859365737346</v>
      </c>
      <c r="AN74" s="59">
        <f ca="1">AVERAGE(OFFSET($AM$3,0,0,'Données projet'!$E$10+1,1))-AVERAGE(OFFSET($H$3,0,0,'Données projet'!$E$10+1,1))</f>
        <v>318.40875902853116</v>
      </c>
      <c r="AO74" s="59">
        <f t="shared" si="90"/>
        <v>234.87694492493506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1.0693528891003634</v>
      </c>
      <c r="AV74" s="21">
        <f>EXP(-LN(2)/25)*AV73+(1-EXP(-LN(2)/25))/(LN(2)/25)*Calculateur!AQ74*Calculateur!AS74*VLOOKUP('Données projet'!$B$10,Paramètres!$A$1:$I$89,3,0)*0.475*44/12</f>
        <v>3.6201653331783694</v>
      </c>
      <c r="AW74" s="21">
        <f>EXP(-LN(2)/2)*AW73+(1-EXP(-LN(2)/2))/(LN(2)/2)*AQ74*AT74*VLOOKUP('Données projet'!$B$10,Paramètres!$A$1:$I$89,3,0)*0.475*44/12</f>
        <v>1.4534483518760868E-5</v>
      </c>
      <c r="AX74" s="21">
        <f t="shared" si="60"/>
        <v>4.6895327567622518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12.9</v>
      </c>
      <c r="BD74" s="12">
        <f>IF('Données projet'!$A$88&gt;35,BD73+BC74-BL73,IF(A74&lt;'Données projet'!$A$88,$BA$205^A74,IF(A74='Données projet'!$A$88,'Données projet'!$B$88,BD73+BC74-BL73)))</f>
        <v>673.89999999999895</v>
      </c>
      <c r="BE74" s="13">
        <f>BD74*VLOOKUP('Données projet'!$B$11,Paramètres!$A$1:$I$89,3,0)*VLOOKUP('Données projet'!$B$11,Paramètres!$A$1:$I$89,5,0)</f>
        <v>376.71009999999939</v>
      </c>
      <c r="BF74" s="13">
        <f t="shared" si="91"/>
        <v>87.038637418312646</v>
      </c>
      <c r="BG74" s="20">
        <f t="shared" si="61"/>
        <v>807.69571767022671</v>
      </c>
      <c r="BH74" s="59">
        <f t="shared" si="62"/>
        <v>1101.02905100356</v>
      </c>
      <c r="BI74" s="59">
        <f ca="1">AVERAGE(OFFSET($BH$3,0,0,'Données projet'!$E$11+1,1))-AVERAGE(OFFSET($H$3,0,0,'Données projet'!$E$11+1,1))</f>
        <v>415.91544298418842</v>
      </c>
      <c r="BJ74" s="59">
        <f t="shared" si="92"/>
        <v>422.79312683312583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5.0702076638379321</v>
      </c>
      <c r="BQ74" s="21">
        <f>EXP(-LN(2)/25)*BQ73+(1-EXP(-LN(2)/25))/(LN(2)/25)*Calculateur!BL74*Calculateur!BN74*VLOOKUP('Données projet'!$B$11,Paramètres!$A$1:$I$89,3,0)*0.475*44/12</f>
        <v>12.436207675780821</v>
      </c>
      <c r="BR74" s="21">
        <f>EXP(-LN(2)/2)*BR73+(1-EXP(-LN(2)/2))/(LN(2)/2)*BL74*BO74*VLOOKUP('Données projet'!$B$11,Paramètres!$A$1:$I$89,3,0)*0.475*44/12</f>
        <v>2.4594804477542523E-5</v>
      </c>
      <c r="BS74" s="22">
        <f t="shared" si="63"/>
        <v>17.506439934423234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25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64.022400000000076</v>
      </c>
      <c r="D75" s="11">
        <f t="shared" si="86"/>
        <v>18.181385543312256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634.55553752732339</v>
      </c>
      <c r="H75" s="67">
        <f t="shared" si="56"/>
        <v>436.50492648793568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4.4000000000000004</v>
      </c>
      <c r="N75" s="13">
        <f>IF('Données projet'!$A$36&gt;35,N74+M75-V74,IF(A75&lt;'Données projet'!$A$36,$K$205^A75,IF(A75='Données projet'!$A$36,'Données projet'!$B$36,N74+M75-V74)))</f>
        <v>359.79999999999995</v>
      </c>
      <c r="O75" s="13">
        <f>N75*VLOOKUP('Données projet'!$B$9,Paramètres!$A$1:$I$89,3,0)*VLOOKUP('Données projet'!$B$9,Paramètres!$A$1:$I$89,5,0)</f>
        <v>263.80535999999995</v>
      </c>
      <c r="P75" s="13">
        <f t="shared" si="87"/>
        <v>63.532839715461812</v>
      </c>
      <c r="Q75" s="20">
        <f t="shared" si="54"/>
        <v>570.11403117109592</v>
      </c>
      <c r="R75" s="59">
        <f t="shared" si="55"/>
        <v>863.44736450442929</v>
      </c>
      <c r="S75" s="59">
        <f ca="1">AVERAGE(OFFSET($R$3,0,0,'Données projet'!$E$9+1,1))-AVERAGE(OFFSET($H$3,0,0,'Données projet'!$E$9+1,1))</f>
        <v>284.62668108124626</v>
      </c>
      <c r="T75" s="59">
        <f t="shared" si="88"/>
        <v>333.70864452711021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1.2743282577346631</v>
      </c>
      <c r="AA75" s="21">
        <f>EXP(-LN(2)/25)*AA74+(1-EXP(-LN(2)/25))/(LN(2)/25)*Calculateur!V75*Calculateur!X75*VLOOKUP('Données projet'!$B$9,Paramètres!$A$1:$I$89,3,0)*0.475*44/12</f>
        <v>5.9284536886283172</v>
      </c>
      <c r="AB75" s="21">
        <f>EXP(-LN(2)/2)*AB74+(1-EXP(-LN(2)/2))/(LN(2)/2)*V75*Y75*VLOOKUP('Données projet'!$B$9,Paramètres!$A$1:$I$89,3,0)*0.475*44/12</f>
        <v>1.2686244359628754E-5</v>
      </c>
      <c r="AC75" s="22">
        <f t="shared" si="57"/>
        <v>7.2027946326073407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7.4</v>
      </c>
      <c r="AI75" s="13">
        <f>IF('Données projet'!$A$62&gt;35,AI74+AH75-AQ74,IF(A75&lt;'Données projet'!$A$62,$AF$205^A75,IF(A75='Données projet'!$A$62,'Données projet'!$B$62,AI74+AH75-AQ74)))</f>
        <v>288.79999999999995</v>
      </c>
      <c r="AJ75" s="13">
        <f>AI75*VLOOKUP('Données projet'!$B$10,Paramètres!$A$1:$I$89,3,0)*VLOOKUP('Données projet'!$B$10,Paramètres!$A$1:$I$89,5,0)</f>
        <v>261.30623999999995</v>
      </c>
      <c r="AK75" s="13">
        <f t="shared" si="89"/>
        <v>63.000734275359598</v>
      </c>
      <c r="AL75" s="20">
        <f t="shared" si="58"/>
        <v>564.83464686291791</v>
      </c>
      <c r="AM75" s="59">
        <f t="shared" si="59"/>
        <v>858.16798019625116</v>
      </c>
      <c r="AN75" s="59">
        <f ca="1">AVERAGE(OFFSET($AM$3,0,0,'Données projet'!$E$10+1,1))-AVERAGE(OFFSET($H$3,0,0,'Données projet'!$E$10+1,1))</f>
        <v>318.40875902853116</v>
      </c>
      <c r="AO75" s="59">
        <f t="shared" si="90"/>
        <v>234.87694492493506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1.0483835311859642</v>
      </c>
      <c r="AV75" s="21">
        <f>EXP(-LN(2)/25)*AV74+(1-EXP(-LN(2)/25))/(LN(2)/25)*Calculateur!AQ75*Calculateur!AS75*VLOOKUP('Données projet'!$B$10,Paramètres!$A$1:$I$89,3,0)*0.475*44/12</f>
        <v>3.521171721766386</v>
      </c>
      <c r="AW75" s="21">
        <f>EXP(-LN(2)/2)*AW74+(1-EXP(-LN(2)/2))/(LN(2)/2)*AQ75*AT75*VLOOKUP('Données projet'!$B$10,Paramètres!$A$1:$I$89,3,0)*0.475*44/12</f>
        <v>1.0277431857159923E-5</v>
      </c>
      <c r="AX75" s="21">
        <f t="shared" si="60"/>
        <v>4.5695655303842075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12.9</v>
      </c>
      <c r="BD75" s="12">
        <f>IF('Données projet'!$A$88&gt;35,BD74+BC75-BL74,IF(A75&lt;'Données projet'!$A$88,$BA$205^A75,IF(A75='Données projet'!$A$88,'Données projet'!$B$88,BD74+BC75-BL74)))</f>
        <v>686.79999999999893</v>
      </c>
      <c r="BE75" s="13">
        <f>BD75*VLOOKUP('Données projet'!$B$11,Paramètres!$A$1:$I$89,3,0)*VLOOKUP('Données projet'!$B$11,Paramètres!$A$1:$I$89,5,0)</f>
        <v>383.92119999999943</v>
      </c>
      <c r="BF75" s="13">
        <f t="shared" si="91"/>
        <v>88.509192685867021</v>
      </c>
      <c r="BG75" s="20">
        <f t="shared" si="61"/>
        <v>822.81626726121738</v>
      </c>
      <c r="BH75" s="59">
        <f t="shared" si="62"/>
        <v>1116.1496005945507</v>
      </c>
      <c r="BI75" s="59">
        <f ca="1">AVERAGE(OFFSET($BH$3,0,0,'Données projet'!$E$11+1,1))-AVERAGE(OFFSET($H$3,0,0,'Données projet'!$E$11+1,1))</f>
        <v>415.91544298418842</v>
      </c>
      <c r="BJ75" s="59">
        <f t="shared" si="92"/>
        <v>422.79312683312583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4.9707839840713843</v>
      </c>
      <c r="BQ75" s="21">
        <f>EXP(-LN(2)/25)*BQ74+(1-EXP(-LN(2)/25))/(LN(2)/25)*Calculateur!BL75*Calculateur!BN75*VLOOKUP('Données projet'!$B$11,Paramètres!$A$1:$I$89,3,0)*0.475*44/12</f>
        <v>12.096138922894855</v>
      </c>
      <c r="BR75" s="21">
        <f>EXP(-LN(2)/2)*BR74+(1-EXP(-LN(2)/2))/(LN(2)/2)*BL75*BO75*VLOOKUP('Données projet'!$B$11,Paramètres!$A$1:$I$89,3,0)*0.475*44/12</f>
        <v>1.739115302802758E-5</v>
      </c>
      <c r="BS75" s="22">
        <f t="shared" si="63"/>
        <v>17.06694029811927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25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64.911600000000078</v>
      </c>
      <c r="D76" s="11">
        <f t="shared" si="86"/>
        <v>18.404332112224722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643.14052858559501</v>
      </c>
      <c r="H76" s="67">
        <f t="shared" si="56"/>
        <v>438.44191509545817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4.4000000000000004</v>
      </c>
      <c r="N76" s="13">
        <f>IF('Données projet'!$A$36&gt;35,N75+M76-V75,IF(A76&lt;'Données projet'!$A$36,$K$205^A76,IF(A76='Données projet'!$A$36,'Données projet'!$B$36,N75+M76-V75)))</f>
        <v>364.19999999999993</v>
      </c>
      <c r="O76" s="13">
        <f>N76*VLOOKUP('Données projet'!$B$9,Paramètres!$A$1:$I$89,3,0)*VLOOKUP('Données projet'!$B$9,Paramètres!$A$1:$I$89,5,0)</f>
        <v>267.03143999999992</v>
      </c>
      <c r="P76" s="13">
        <f t="shared" si="87"/>
        <v>64.218861142746874</v>
      </c>
      <c r="Q76" s="20">
        <f t="shared" si="54"/>
        <v>576.92760782361734</v>
      </c>
      <c r="R76" s="59">
        <f t="shared" si="55"/>
        <v>870.26094115695059</v>
      </c>
      <c r="S76" s="59">
        <f ca="1">AVERAGE(OFFSET($R$3,0,0,'Données projet'!$E$9+1,1))-AVERAGE(OFFSET($H$3,0,0,'Données projet'!$E$9+1,1))</f>
        <v>284.62668108124626</v>
      </c>
      <c r="T76" s="59">
        <f t="shared" si="88"/>
        <v>333.70864452711021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1.2493394578639752</v>
      </c>
      <c r="AA76" s="21">
        <f>EXP(-LN(2)/25)*AA75+(1-EXP(-LN(2)/25))/(LN(2)/25)*Calculateur!V76*Calculateur!X76*VLOOKUP('Données projet'!$B$9,Paramètres!$A$1:$I$89,3,0)*0.475*44/12</f>
        <v>5.7663398107489456</v>
      </c>
      <c r="AB76" s="21">
        <f>EXP(-LN(2)/2)*AB75+(1-EXP(-LN(2)/2))/(LN(2)/2)*V76*Y76*VLOOKUP('Données projet'!$B$9,Paramètres!$A$1:$I$89,3,0)*0.475*44/12</f>
        <v>8.9705294144830816E-6</v>
      </c>
      <c r="AC76" s="22">
        <f t="shared" si="57"/>
        <v>7.0156882391423352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7.4</v>
      </c>
      <c r="AI76" s="13">
        <f>IF('Données projet'!$A$62&gt;35,AI75+AH76-AQ75,IF(A76&lt;'Données projet'!$A$62,$AF$205^A76,IF(A76='Données projet'!$A$62,'Données projet'!$B$62,AI75+AH76-AQ75)))</f>
        <v>296.19999999999993</v>
      </c>
      <c r="AJ76" s="13">
        <f>AI76*VLOOKUP('Données projet'!$B$10,Paramètres!$A$1:$I$89,3,0)*VLOOKUP('Données projet'!$B$10,Paramètres!$A$1:$I$89,5,0)</f>
        <v>268.00175999999993</v>
      </c>
      <c r="AK76" s="13">
        <f t="shared" si="89"/>
        <v>64.425009159185578</v>
      </c>
      <c r="AL76" s="20">
        <f t="shared" si="58"/>
        <v>578.97662295224802</v>
      </c>
      <c r="AM76" s="59">
        <f t="shared" si="59"/>
        <v>872.30995628558139</v>
      </c>
      <c r="AN76" s="59">
        <f ca="1">AVERAGE(OFFSET($AM$3,0,0,'Données projet'!$E$10+1,1))-AVERAGE(OFFSET($H$3,0,0,'Données projet'!$E$10+1,1))</f>
        <v>318.40875902853116</v>
      </c>
      <c r="AO76" s="59">
        <f t="shared" si="90"/>
        <v>234.87694492493506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1.0278253695902209</v>
      </c>
      <c r="AV76" s="21">
        <f>EXP(-LN(2)/25)*AV75+(1-EXP(-LN(2)/25))/(LN(2)/25)*Calculateur!AQ76*Calculateur!AS76*VLOOKUP('Données projet'!$B$10,Paramètres!$A$1:$I$89,3,0)*0.475*44/12</f>
        <v>3.4248850958643113</v>
      </c>
      <c r="AW76" s="21">
        <f>EXP(-LN(2)/2)*AW75+(1-EXP(-LN(2)/2))/(LN(2)/2)*AQ76*AT76*VLOOKUP('Données projet'!$B$10,Paramètres!$A$1:$I$89,3,0)*0.475*44/12</f>
        <v>7.2672417593804347E-6</v>
      </c>
      <c r="AX76" s="21">
        <f t="shared" si="60"/>
        <v>4.4527177326962919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12.9</v>
      </c>
      <c r="BD76" s="12">
        <f>IF('Données projet'!$A$88&gt;35,BD75+BC76-BL75,IF(A76&lt;'Données projet'!$A$88,$BA$205^A76,IF(A76='Données projet'!$A$88,'Données projet'!$B$88,BD75+BC76-BL75)))</f>
        <v>699.69999999999891</v>
      </c>
      <c r="BE76" s="13">
        <f>BD76*VLOOKUP('Données projet'!$B$11,Paramètres!$A$1:$I$89,3,0)*VLOOKUP('Données projet'!$B$11,Paramètres!$A$1:$I$89,5,0)</f>
        <v>391.13229999999942</v>
      </c>
      <c r="BF76" s="13">
        <f t="shared" si="91"/>
        <v>89.976536171230705</v>
      </c>
      <c r="BG76" s="20">
        <f t="shared" si="61"/>
        <v>837.93122299822573</v>
      </c>
      <c r="BH76" s="59">
        <f t="shared" si="62"/>
        <v>1131.2645563315591</v>
      </c>
      <c r="BI76" s="59">
        <f ca="1">AVERAGE(OFFSET($BH$3,0,0,'Données projet'!$E$11+1,1))-AVERAGE(OFFSET($H$3,0,0,'Données projet'!$E$11+1,1))</f>
        <v>415.91544298418842</v>
      </c>
      <c r="BJ76" s="59">
        <f t="shared" si="92"/>
        <v>422.79312683312583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4.873309942022602</v>
      </c>
      <c r="BQ76" s="21">
        <f>EXP(-LN(2)/25)*BQ75+(1-EXP(-LN(2)/25))/(LN(2)/25)*Calculateur!BL76*Calculateur!BN76*VLOOKUP('Données projet'!$B$11,Paramètres!$A$1:$I$89,3,0)*0.475*44/12</f>
        <v>11.765369367939996</v>
      </c>
      <c r="BR76" s="21">
        <f>EXP(-LN(2)/2)*BR75+(1-EXP(-LN(2)/2))/(LN(2)/2)*BL76*BO76*VLOOKUP('Données projet'!$B$11,Paramètres!$A$1:$I$89,3,0)*0.475*44/12</f>
        <v>1.2297402238771262E-5</v>
      </c>
      <c r="BS76" s="22">
        <f t="shared" si="63"/>
        <v>16.638691607364837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25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65.800800000000081</v>
      </c>
      <c r="D77" s="11">
        <f t="shared" si="86"/>
        <v>18.626923459774314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651.72277758422342</v>
      </c>
      <c r="H77" s="67">
        <f t="shared" si="56"/>
        <v>440.37828502577372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4.4000000000000004</v>
      </c>
      <c r="N77" s="13">
        <f>IF('Données projet'!$A$36&gt;35,N76+M77-V76,IF(A77&lt;'Données projet'!$A$36,$K$205^A77,IF(A77='Données projet'!$A$36,'Données projet'!$B$36,N76+M77-V76)))</f>
        <v>368.59999999999991</v>
      </c>
      <c r="O77" s="13">
        <f>N77*VLOOKUP('Données projet'!$B$9,Paramètres!$A$1:$I$89,3,0)*VLOOKUP('Données projet'!$B$9,Paramètres!$A$1:$I$89,5,0)</f>
        <v>270.25751999999989</v>
      </c>
      <c r="P77" s="13">
        <f t="shared" si="87"/>
        <v>64.90391849854484</v>
      </c>
      <c r="Q77" s="20">
        <f t="shared" si="54"/>
        <v>583.73950538496536</v>
      </c>
      <c r="R77" s="59">
        <f t="shared" si="55"/>
        <v>877.07283871829873</v>
      </c>
      <c r="S77" s="59">
        <f ca="1">AVERAGE(OFFSET($R$3,0,0,'Données projet'!$E$9+1,1))-AVERAGE(OFFSET($H$3,0,0,'Données projet'!$E$9+1,1))</f>
        <v>284.62668108124626</v>
      </c>
      <c r="T77" s="59">
        <f t="shared" si="88"/>
        <v>333.70864452711021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1.2248406731170884</v>
      </c>
      <c r="AA77" s="21">
        <f>EXP(-LN(2)/25)*AA76+(1-EXP(-LN(2)/25))/(LN(2)/25)*Calculateur!V77*Calculateur!X77*VLOOKUP('Données projet'!$B$9,Paramètres!$A$1:$I$89,3,0)*0.475*44/12</f>
        <v>5.6086589453853843</v>
      </c>
      <c r="AB77" s="21">
        <f>EXP(-LN(2)/2)*AB76+(1-EXP(-LN(2)/2))/(LN(2)/2)*V77*Y77*VLOOKUP('Données projet'!$B$9,Paramètres!$A$1:$I$89,3,0)*0.475*44/12</f>
        <v>6.3431221798143768E-6</v>
      </c>
      <c r="AC77" s="22">
        <f t="shared" si="57"/>
        <v>6.8335059616246525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7.4</v>
      </c>
      <c r="AI77" s="13">
        <f>IF('Données projet'!$A$62&gt;35,AI76+AH77-AQ76,IF(A77&lt;'Données projet'!$A$62,$AF$205^A77,IF(A77='Données projet'!$A$62,'Données projet'!$B$62,AI76+AH77-AQ76)))</f>
        <v>303.59999999999991</v>
      </c>
      <c r="AJ77" s="13">
        <f>AI77*VLOOKUP('Données projet'!$B$10,Paramètres!$A$1:$I$89,3,0)*VLOOKUP('Données projet'!$B$10,Paramètres!$A$1:$I$89,5,0)</f>
        <v>274.69727999999992</v>
      </c>
      <c r="AK77" s="13">
        <f t="shared" si="89"/>
        <v>65.845147763387502</v>
      </c>
      <c r="AL77" s="20">
        <f t="shared" si="58"/>
        <v>593.11139502123308</v>
      </c>
      <c r="AM77" s="59">
        <f t="shared" si="59"/>
        <v>886.44472835456645</v>
      </c>
      <c r="AN77" s="59">
        <f ca="1">AVERAGE(OFFSET($AM$3,0,0,'Données projet'!$E$10+1,1))-AVERAGE(OFFSET($H$3,0,0,'Données projet'!$E$10+1,1))</f>
        <v>318.40875902853116</v>
      </c>
      <c r="AO77" s="59">
        <f t="shared" si="90"/>
        <v>234.87694492493506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1.0076703410041297</v>
      </c>
      <c r="AV77" s="21">
        <f>EXP(-LN(2)/25)*AV76+(1-EXP(-LN(2)/25))/(LN(2)/25)*Calculateur!AQ77*Calculateur!AS77*VLOOKUP('Données projet'!$B$10,Paramètres!$A$1:$I$89,3,0)*0.475*44/12</f>
        <v>3.3312314328110224</v>
      </c>
      <c r="AW77" s="21">
        <f>EXP(-LN(2)/2)*AW76+(1-EXP(-LN(2)/2))/(LN(2)/2)*AQ77*AT77*VLOOKUP('Données projet'!$B$10,Paramètres!$A$1:$I$89,3,0)*0.475*44/12</f>
        <v>5.1387159285799624E-6</v>
      </c>
      <c r="AX77" s="21">
        <f t="shared" si="60"/>
        <v>4.3389069125310806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12.9</v>
      </c>
      <c r="BD77" s="12">
        <f>IF('Données projet'!$A$88&gt;35,BD76+BC77-BL76,IF(A77&lt;'Données projet'!$A$88,$BA$205^A77,IF(A77='Données projet'!$A$88,'Données projet'!$B$88,BD76+BC77-BL76)))</f>
        <v>712.59999999999889</v>
      </c>
      <c r="BE77" s="13">
        <f>BD77*VLOOKUP('Données projet'!$B$11,Paramètres!$A$1:$I$89,3,0)*VLOOKUP('Données projet'!$B$11,Paramètres!$A$1:$I$89,5,0)</f>
        <v>398.34339999999935</v>
      </c>
      <c r="BF77" s="13">
        <f t="shared" si="91"/>
        <v>91.440733917504517</v>
      </c>
      <c r="BG77" s="20">
        <f t="shared" si="61"/>
        <v>853.04069990631922</v>
      </c>
      <c r="BH77" s="59">
        <f t="shared" si="62"/>
        <v>1146.3740332396526</v>
      </c>
      <c r="BI77" s="59">
        <f ca="1">AVERAGE(OFFSET($BH$3,0,0,'Données projet'!$E$11+1,1))-AVERAGE(OFFSET($H$3,0,0,'Données projet'!$E$11+1,1))</f>
        <v>415.91544298418842</v>
      </c>
      <c r="BJ77" s="59">
        <f t="shared" si="92"/>
        <v>422.79312683312583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4.777747306485101</v>
      </c>
      <c r="BQ77" s="21">
        <f>EXP(-LN(2)/25)*BQ76+(1-EXP(-LN(2)/25))/(LN(2)/25)*Calculateur!BL77*Calculateur!BN77*VLOOKUP('Données projet'!$B$11,Paramètres!$A$1:$I$89,3,0)*0.475*44/12</f>
        <v>11.443644723859792</v>
      </c>
      <c r="BR77" s="21">
        <f>EXP(-LN(2)/2)*BR76+(1-EXP(-LN(2)/2))/(LN(2)/2)*BL77*BO77*VLOOKUP('Données projet'!$B$11,Paramètres!$A$1:$I$89,3,0)*0.475*44/12</f>
        <v>8.6955765140137901E-6</v>
      </c>
      <c r="BS77" s="22">
        <f t="shared" si="63"/>
        <v>16.221400725921409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25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66.690000000000083</v>
      </c>
      <c r="D78" s="11">
        <f t="shared" si="86"/>
        <v>18.849164941118655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660.30232586126749</v>
      </c>
      <c r="H78" s="67">
        <f t="shared" si="56"/>
        <v>442.31404560578176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4.4000000000000004</v>
      </c>
      <c r="N78" s="13">
        <f>IF('Données projet'!$A$36&gt;35,N77+M78-V77,IF(A78&lt;'Données projet'!$A$36,$K$205^A78,IF(A78='Données projet'!$A$36,'Données projet'!$B$36,N77+M78-V77)))</f>
        <v>372.99999999999989</v>
      </c>
      <c r="O78" s="13">
        <f>N78*VLOOKUP('Données projet'!$B$9,Paramètres!$A$1:$I$89,3,0)*VLOOKUP('Données projet'!$B$9,Paramètres!$A$1:$I$89,5,0)</f>
        <v>273.48359999999991</v>
      </c>
      <c r="P78" s="13">
        <f t="shared" si="87"/>
        <v>65.588024622277445</v>
      </c>
      <c r="Q78" s="20">
        <f t="shared" si="54"/>
        <v>590.54974621713302</v>
      </c>
      <c r="R78" s="59">
        <f t="shared" si="55"/>
        <v>883.88307955046639</v>
      </c>
      <c r="S78" s="59">
        <f ca="1">AVERAGE(OFFSET($R$3,0,0,'Données projet'!$E$9+1,1))-AVERAGE(OFFSET($H$3,0,0,'Données projet'!$E$9+1,1))</f>
        <v>284.62668108124626</v>
      </c>
      <c r="T78" s="59">
        <f t="shared" si="88"/>
        <v>333.70864452711021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1.200822294596305</v>
      </c>
      <c r="AA78" s="21">
        <f>EXP(-LN(2)/25)*AA77+(1-EXP(-LN(2)/25))/(LN(2)/25)*Calculateur!V78*Calculateur!X78*VLOOKUP('Données projet'!$B$9,Paramètres!$A$1:$I$89,3,0)*0.475*44/12</f>
        <v>5.455289871577266</v>
      </c>
      <c r="AB78" s="21">
        <f>EXP(-LN(2)/2)*AB77+(1-EXP(-LN(2)/2))/(LN(2)/2)*V78*Y78*VLOOKUP('Données projet'!$B$9,Paramètres!$A$1:$I$89,3,0)*0.475*44/12</f>
        <v>4.4852647072415408E-6</v>
      </c>
      <c r="AC78" s="22">
        <f t="shared" si="57"/>
        <v>6.6561166514382784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7.4</v>
      </c>
      <c r="AI78" s="13">
        <f>IF('Données projet'!$A$62&gt;35,AI77+AH78-AQ77,IF(A78&lt;'Données projet'!$A$62,$AF$205^A78,IF(A78='Données projet'!$A$62,'Données projet'!$B$62,AI77+AH78-AQ77)))</f>
        <v>310.99999999999989</v>
      </c>
      <c r="AJ78" s="13">
        <f>AI78*VLOOKUP('Données projet'!$B$10,Paramètres!$A$1:$I$89,3,0)*VLOOKUP('Données projet'!$B$10,Paramètres!$A$1:$I$89,5,0)</f>
        <v>281.39279999999985</v>
      </c>
      <c r="AK78" s="13">
        <f t="shared" si="89"/>
        <v>67.261262504634658</v>
      </c>
      <c r="AL78" s="20">
        <f t="shared" si="58"/>
        <v>607.23915886223847</v>
      </c>
      <c r="AM78" s="59">
        <f t="shared" si="59"/>
        <v>900.57249219557184</v>
      </c>
      <c r="AN78" s="59">
        <f ca="1">AVERAGE(OFFSET($AM$3,0,0,'Données projet'!$E$10+1,1))-AVERAGE(OFFSET($H$3,0,0,'Données projet'!$E$10+1,1))</f>
        <v>318.40875902853116</v>
      </c>
      <c r="AO78" s="59">
        <f t="shared" si="90"/>
        <v>234.87694492493506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0.98791054023525815</v>
      </c>
      <c r="AV78" s="21">
        <f>EXP(-LN(2)/25)*AV77+(1-EXP(-LN(2)/25))/(LN(2)/25)*Calculateur!AQ78*Calculateur!AS78*VLOOKUP('Données projet'!$B$10,Paramètres!$A$1:$I$89,3,0)*0.475*44/12</f>
        <v>3.2401387340989576</v>
      </c>
      <c r="AW78" s="21">
        <f>EXP(-LN(2)/2)*AW77+(1-EXP(-LN(2)/2))/(LN(2)/2)*AQ78*AT78*VLOOKUP('Données projet'!$B$10,Paramètres!$A$1:$I$89,3,0)*0.475*44/12</f>
        <v>3.6336208796902182E-6</v>
      </c>
      <c r="AX78" s="21">
        <f t="shared" si="60"/>
        <v>4.2280529079550959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12.9</v>
      </c>
      <c r="BD78" s="12">
        <f>IF('Données projet'!$A$88&gt;35,BD77+BC78-BL77,IF(A78&lt;'Données projet'!$A$88,$BA$205^A78,IF(A78='Données projet'!$A$88,'Données projet'!$B$88,BD77+BC78-BL77)))</f>
        <v>725.49999999999886</v>
      </c>
      <c r="BE78" s="13">
        <f>BD78*VLOOKUP('Données projet'!$B$11,Paramètres!$A$1:$I$89,3,0)*VLOOKUP('Données projet'!$B$11,Paramètres!$A$1:$I$89,5,0)</f>
        <v>405.55449999999939</v>
      </c>
      <c r="BF78" s="13">
        <f t="shared" si="91"/>
        <v>92.901849439756845</v>
      </c>
      <c r="BG78" s="20">
        <f t="shared" si="61"/>
        <v>868.14480860757533</v>
      </c>
      <c r="BH78" s="59">
        <f t="shared" si="62"/>
        <v>1161.4781419409087</v>
      </c>
      <c r="BI78" s="59">
        <f ca="1">AVERAGE(OFFSET($BH$3,0,0,'Données projet'!$E$11+1,1))-AVERAGE(OFFSET($H$3,0,0,'Données projet'!$E$11+1,1))</f>
        <v>415.91544298418842</v>
      </c>
      <c r="BJ78" s="59">
        <f t="shared" si="92"/>
        <v>422.79312683312583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4.6840585959430383</v>
      </c>
      <c r="BQ78" s="21">
        <f>EXP(-LN(2)/25)*BQ77+(1-EXP(-LN(2)/25))/(LN(2)/25)*Calculateur!BL78*Calculateur!BN78*VLOOKUP('Données projet'!$B$11,Paramètres!$A$1:$I$89,3,0)*0.475*44/12</f>
        <v>11.130717657090726</v>
      </c>
      <c r="BR78" s="21">
        <f>EXP(-LN(2)/2)*BR77+(1-EXP(-LN(2)/2))/(LN(2)/2)*BL78*BO78*VLOOKUP('Données projet'!$B$11,Paramètres!$A$1:$I$89,3,0)*0.475*44/12</f>
        <v>6.1487011193856308E-6</v>
      </c>
      <c r="BS78" s="22">
        <f t="shared" si="63"/>
        <v>15.814782401734883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25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67.579200000000085</v>
      </c>
      <c r="D79" s="11">
        <f t="shared" si="86"/>
        <v>19.071061760403854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668.87921358908307</v>
      </c>
      <c r="H79" s="67">
        <f t="shared" si="56"/>
        <v>444.24920589937017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4.4000000000000004</v>
      </c>
      <c r="N79" s="13">
        <f>IF('Données projet'!$A$36&gt;35,N78+M79-V78,IF(A79&lt;'Données projet'!$A$36,$K$205^A79,IF(A79='Données projet'!$A$36,'Données projet'!$B$36,N78+M79-V78)))</f>
        <v>377.39999999999986</v>
      </c>
      <c r="O79" s="13">
        <f>N79*VLOOKUP('Données projet'!$B$9,Paramètres!$A$1:$I$89,3,0)*VLOOKUP('Données projet'!$B$9,Paramètres!$A$1:$I$89,5,0)</f>
        <v>276.70967999999988</v>
      </c>
      <c r="P79" s="13">
        <f t="shared" si="87"/>
        <v>66.271192033020739</v>
      </c>
      <c r="Q79" s="20">
        <f t="shared" si="54"/>
        <v>597.35835212417749</v>
      </c>
      <c r="R79" s="59">
        <f t="shared" si="55"/>
        <v>890.69168545751086</v>
      </c>
      <c r="S79" s="59">
        <f ca="1">AVERAGE(OFFSET($R$3,0,0,'Données projet'!$E$9+1,1))-AVERAGE(OFFSET($H$3,0,0,'Données projet'!$E$9+1,1))</f>
        <v>284.62668108124626</v>
      </c>
      <c r="T79" s="59">
        <f t="shared" si="88"/>
        <v>333.70864452711021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1.1772749018285498</v>
      </c>
      <c r="AA79" s="21">
        <f>EXP(-LN(2)/25)*AA78+(1-EXP(-LN(2)/25))/(LN(2)/25)*Calculateur!V79*Calculateur!X79*VLOOKUP('Données projet'!$B$9,Paramètres!$A$1:$I$89,3,0)*0.475*44/12</f>
        <v>5.3061146831577597</v>
      </c>
      <c r="AB79" s="21">
        <f>EXP(-LN(2)/2)*AB78+(1-EXP(-LN(2)/2))/(LN(2)/2)*V79*Y79*VLOOKUP('Données projet'!$B$9,Paramètres!$A$1:$I$89,3,0)*0.475*44/12</f>
        <v>3.1715610899071884E-6</v>
      </c>
      <c r="AC79" s="22">
        <f t="shared" si="57"/>
        <v>6.4833927565473992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7.4</v>
      </c>
      <c r="AI79" s="13">
        <f>IF('Données projet'!$A$62&gt;35,AI78+AH79-AQ78,IF(A79&lt;'Données projet'!$A$62,$AF$205^A79,IF(A79='Données projet'!$A$62,'Données projet'!$B$62,AI78+AH79-AQ78)))</f>
        <v>318.39999999999986</v>
      </c>
      <c r="AJ79" s="13">
        <f>AI79*VLOOKUP('Données projet'!$B$10,Paramètres!$A$1:$I$89,3,0)*VLOOKUP('Données projet'!$B$10,Paramètres!$A$1:$I$89,5,0)</f>
        <v>288.0883199999999</v>
      </c>
      <c r="AK79" s="13">
        <f t="shared" si="89"/>
        <v>68.673460144735557</v>
      </c>
      <c r="AL79" s="20">
        <f t="shared" si="58"/>
        <v>621.36010041874761</v>
      </c>
      <c r="AM79" s="59">
        <f t="shared" si="59"/>
        <v>914.69343375208086</v>
      </c>
      <c r="AN79" s="59">
        <f ca="1">AVERAGE(OFFSET($AM$3,0,0,'Données projet'!$E$10+1,1))-AVERAGE(OFFSET($H$3,0,0,'Données projet'!$E$10+1,1))</f>
        <v>318.40875902853116</v>
      </c>
      <c r="AO79" s="59">
        <f t="shared" si="90"/>
        <v>234.87694492493506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0.9685382171071758</v>
      </c>
      <c r="AV79" s="21">
        <f>EXP(-LN(2)/25)*AV78+(1-EXP(-LN(2)/25))/(LN(2)/25)*Calculateur!AQ79*Calculateur!AS79*VLOOKUP('Données projet'!$B$10,Paramètres!$A$1:$I$89,3,0)*0.475*44/12</f>
        <v>3.1515369700235309</v>
      </c>
      <c r="AW79" s="21">
        <f>EXP(-LN(2)/2)*AW78+(1-EXP(-LN(2)/2))/(LN(2)/2)*AQ79*AT79*VLOOKUP('Données projet'!$B$10,Paramètres!$A$1:$I$89,3,0)*0.475*44/12</f>
        <v>2.5693579642899816E-6</v>
      </c>
      <c r="AX79" s="21">
        <f t="shared" si="60"/>
        <v>4.120077756488671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12.9</v>
      </c>
      <c r="BD79" s="12">
        <f>IF('Données projet'!$A$88&gt;35,BD78+BC79-BL78,IF(A79&lt;'Données projet'!$A$88,$BA$205^A79,IF(A79='Données projet'!$A$88,'Données projet'!$B$88,BD78+BC79-BL78)))</f>
        <v>738.39999999999884</v>
      </c>
      <c r="BE79" s="13">
        <f>BD79*VLOOKUP('Données projet'!$B$11,Paramètres!$A$1:$I$89,3,0)*VLOOKUP('Données projet'!$B$11,Paramètres!$A$1:$I$89,5,0)</f>
        <v>412.76559999999932</v>
      </c>
      <c r="BF79" s="13">
        <f t="shared" si="91"/>
        <v>94.359943864992076</v>
      </c>
      <c r="BG79" s="20">
        <f t="shared" si="61"/>
        <v>883.24365556486009</v>
      </c>
      <c r="BH79" s="59">
        <f t="shared" si="62"/>
        <v>1176.5769888981933</v>
      </c>
      <c r="BI79" s="59">
        <f ca="1">AVERAGE(OFFSET($BH$3,0,0,'Données projet'!$E$11+1,1))-AVERAGE(OFFSET($H$3,0,0,'Données projet'!$E$11+1,1))</f>
        <v>415.91544298418842</v>
      </c>
      <c r="BJ79" s="59">
        <f t="shared" si="92"/>
        <v>422.79312683312583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4.5922070638702346</v>
      </c>
      <c r="BQ79" s="21">
        <f>EXP(-LN(2)/25)*BQ78+(1-EXP(-LN(2)/25))/(LN(2)/25)*Calculateur!BL79*Calculateur!BN79*VLOOKUP('Données projet'!$B$11,Paramètres!$A$1:$I$89,3,0)*0.475*44/12</f>
        <v>10.826347597418577</v>
      </c>
      <c r="BR79" s="21">
        <f>EXP(-LN(2)/2)*BR78+(1-EXP(-LN(2)/2))/(LN(2)/2)*BL79*BO79*VLOOKUP('Données projet'!$B$11,Paramètres!$A$1:$I$89,3,0)*0.475*44/12</f>
        <v>4.347788257006895E-6</v>
      </c>
      <c r="BS79" s="22">
        <f t="shared" si="63"/>
        <v>15.41855900907707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25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68.468400000000088</v>
      </c>
      <c r="D80" s="11">
        <f t="shared" si="86"/>
        <v>19.292618976952753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677.45347982209216</v>
      </c>
      <c r="H80" s="67">
        <f t="shared" si="56"/>
        <v>446.18377471819281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4.4000000000000004</v>
      </c>
      <c r="N80" s="13">
        <f>IF('Données projet'!$A$36&gt;35,N79+M80-V79,IF(A80&lt;'Données projet'!$A$36,$K$205^A80,IF(A80='Données projet'!$A$36,'Données projet'!$B$36,N79+M80-V79)))</f>
        <v>381.79999999999984</v>
      </c>
      <c r="O80" s="13">
        <f>N80*VLOOKUP('Données projet'!$B$9,Paramètres!$A$1:$I$89,3,0)*VLOOKUP('Données projet'!$B$9,Paramètres!$A$1:$I$89,5,0)</f>
        <v>279.93575999999985</v>
      </c>
      <c r="P80" s="13">
        <f t="shared" si="87"/>
        <v>66.95343294113745</v>
      </c>
      <c r="Q80" s="20">
        <f t="shared" si="54"/>
        <v>604.16534437248072</v>
      </c>
      <c r="R80" s="59">
        <f t="shared" si="55"/>
        <v>897.49867770581409</v>
      </c>
      <c r="S80" s="59">
        <f ca="1">AVERAGE(OFFSET($R$3,0,0,'Données projet'!$E$9+1,1))-AVERAGE(OFFSET($H$3,0,0,'Données projet'!$E$9+1,1))</f>
        <v>284.62668108124626</v>
      </c>
      <c r="T80" s="59">
        <f t="shared" si="88"/>
        <v>333.70864452711021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1.1541892590704788</v>
      </c>
      <c r="AA80" s="21">
        <f>EXP(-LN(2)/25)*AA79+(1-EXP(-LN(2)/25))/(LN(2)/25)*Calculateur!V80*Calculateur!X80*VLOOKUP('Données projet'!$B$9,Paramètres!$A$1:$I$89,3,0)*0.475*44/12</f>
        <v>5.1610186981103672</v>
      </c>
      <c r="AB80" s="21">
        <f>EXP(-LN(2)/2)*AB79+(1-EXP(-LN(2)/2))/(LN(2)/2)*V80*Y80*VLOOKUP('Données projet'!$B$9,Paramètres!$A$1:$I$89,3,0)*0.475*44/12</f>
        <v>2.2426323536207704E-6</v>
      </c>
      <c r="AC80" s="22">
        <f t="shared" si="57"/>
        <v>6.3152101998131993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7.4</v>
      </c>
      <c r="AI80" s="13">
        <f>IF('Données projet'!$A$62&gt;35,AI79+AH80-AQ79,IF(A80&lt;'Données projet'!$A$62,$AF$205^A80,IF(A80='Données projet'!$A$62,'Données projet'!$B$62,AI79+AH80-AQ79)))</f>
        <v>325.79999999999984</v>
      </c>
      <c r="AJ80" s="13">
        <f>AI80*VLOOKUP('Données projet'!$B$10,Paramètres!$A$1:$I$89,3,0)*VLOOKUP('Données projet'!$B$10,Paramètres!$A$1:$I$89,5,0)</f>
        <v>294.78383999999983</v>
      </c>
      <c r="AK80" s="13">
        <f t="shared" si="89"/>
        <v>70.081842199807596</v>
      </c>
      <c r="AL80" s="20">
        <f t="shared" si="58"/>
        <v>635.47439649799799</v>
      </c>
      <c r="AM80" s="59">
        <f t="shared" si="59"/>
        <v>928.80772983133124</v>
      </c>
      <c r="AN80" s="59">
        <f ca="1">AVERAGE(OFFSET($AM$3,0,0,'Données projet'!$E$10+1,1))-AVERAGE(OFFSET($H$3,0,0,'Données projet'!$E$10+1,1))</f>
        <v>318.40875902853116</v>
      </c>
      <c r="AO80" s="59">
        <f t="shared" si="90"/>
        <v>234.87694492493506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0.94954577341968482</v>
      </c>
      <c r="AV80" s="21">
        <f>EXP(-LN(2)/25)*AV79+(1-EXP(-LN(2)/25))/(LN(2)/25)*Calculateur!AQ80*Calculateur!AS80*VLOOKUP('Données projet'!$B$10,Paramètres!$A$1:$I$89,3,0)*0.475*44/12</f>
        <v>3.0653580258461113</v>
      </c>
      <c r="AW80" s="21">
        <f>EXP(-LN(2)/2)*AW79+(1-EXP(-LN(2)/2))/(LN(2)/2)*AQ80*AT80*VLOOKUP('Données projet'!$B$10,Paramètres!$A$1:$I$89,3,0)*0.475*44/12</f>
        <v>1.8168104398451093E-6</v>
      </c>
      <c r="AX80" s="21">
        <f t="shared" si="60"/>
        <v>4.014905616076236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12.9</v>
      </c>
      <c r="BD80" s="12">
        <f>IF('Données projet'!$A$88&gt;35,BD79+BC80-BL79,IF(A80&lt;'Données projet'!$A$88,$BA$205^A80,IF(A80='Données projet'!$A$88,'Données projet'!$B$88,BD79+BC80-BL79)))</f>
        <v>751.29999999999882</v>
      </c>
      <c r="BE80" s="13">
        <f>BD80*VLOOKUP('Données projet'!$B$11,Paramètres!$A$1:$I$89,3,0)*VLOOKUP('Données projet'!$B$11,Paramètres!$A$1:$I$89,5,0)</f>
        <v>419.97669999999937</v>
      </c>
      <c r="BF80" s="13">
        <f t="shared" si="91"/>
        <v>95.815076062060939</v>
      </c>
      <c r="BG80" s="20">
        <f t="shared" si="61"/>
        <v>898.33734330808841</v>
      </c>
      <c r="BH80" s="59">
        <f t="shared" si="62"/>
        <v>1191.6706766414218</v>
      </c>
      <c r="BI80" s="59">
        <f ca="1">AVERAGE(OFFSET($BH$3,0,0,'Données projet'!$E$11+1,1))-AVERAGE(OFFSET($H$3,0,0,'Données projet'!$E$11+1,1))</f>
        <v>415.91544298418842</v>
      </c>
      <c r="BJ80" s="59">
        <f t="shared" si="92"/>
        <v>422.79312683312583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4.5021566843174758</v>
      </c>
      <c r="BQ80" s="21">
        <f>EXP(-LN(2)/25)*BQ79+(1-EXP(-LN(2)/25))/(LN(2)/25)*Calculateur!BL80*Calculateur!BN80*VLOOKUP('Données projet'!$B$11,Paramètres!$A$1:$I$89,3,0)*0.475*44/12</f>
        <v>10.530300553034289</v>
      </c>
      <c r="BR80" s="21">
        <f>EXP(-LN(2)/2)*BR79+(1-EXP(-LN(2)/2))/(LN(2)/2)*BL80*BO80*VLOOKUP('Données projet'!$B$11,Paramètres!$A$1:$I$89,3,0)*0.475*44/12</f>
        <v>3.0743505596928154E-6</v>
      </c>
      <c r="BS80" s="22">
        <f t="shared" si="63"/>
        <v>15.032460311702323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25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69.35760000000009</v>
      </c>
      <c r="D81" s="11">
        <f t="shared" si="86"/>
        <v>19.51384151112245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686.02516254199861</v>
      </c>
      <c r="H81" s="67">
        <f t="shared" si="56"/>
        <v>448.11776063187176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4.4000000000000004</v>
      </c>
      <c r="N81" s="13">
        <f>IF('Données projet'!$A$36&gt;35,N80+M81-V80,IF(A81&lt;'Données projet'!$A$36,$K$205^A81,IF(A81='Données projet'!$A$36,'Données projet'!$B$36,N80+M81-V80)))</f>
        <v>386.19999999999982</v>
      </c>
      <c r="O81" s="13">
        <f>N81*VLOOKUP('Données projet'!$B$9,Paramètres!$A$1:$I$89,3,0)*VLOOKUP('Données projet'!$B$9,Paramètres!$A$1:$I$89,5,0)</f>
        <v>283.16183999999987</v>
      </c>
      <c r="P81" s="13">
        <f t="shared" si="87"/>
        <v>67.63475925935775</v>
      </c>
      <c r="Q81" s="20">
        <f t="shared" si="54"/>
        <v>610.97074371004783</v>
      </c>
      <c r="R81" s="59">
        <f t="shared" si="55"/>
        <v>904.30407704338108</v>
      </c>
      <c r="S81" s="59">
        <f ca="1">AVERAGE(OFFSET($R$3,0,0,'Données projet'!$E$9+1,1))-AVERAGE(OFFSET($H$3,0,0,'Données projet'!$E$9+1,1))</f>
        <v>284.62668108124626</v>
      </c>
      <c r="T81" s="59">
        <f t="shared" si="88"/>
        <v>333.70864452711021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1.1315563116860419</v>
      </c>
      <c r="AA81" s="21">
        <f>EXP(-LN(2)/25)*AA80+(1-EXP(-LN(2)/25))/(LN(2)/25)*Calculateur!V81*Calculateur!X81*VLOOKUP('Données projet'!$B$9,Paramètres!$A$1:$I$89,3,0)*0.475*44/12</f>
        <v>5.0198903704043616</v>
      </c>
      <c r="AB81" s="21">
        <f>EXP(-LN(2)/2)*AB80+(1-EXP(-LN(2)/2))/(LN(2)/2)*V81*Y81*VLOOKUP('Données projet'!$B$9,Paramètres!$A$1:$I$89,3,0)*0.475*44/12</f>
        <v>1.5857805449535942E-6</v>
      </c>
      <c r="AC81" s="22">
        <f t="shared" si="57"/>
        <v>6.1514482678709488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7.4</v>
      </c>
      <c r="AI81" s="13">
        <f>IF('Données projet'!$A$62&gt;35,AI80+AH81-AQ80,IF(A81&lt;'Données projet'!$A$62,$AF$205^A81,IF(A81='Données projet'!$A$62,'Données projet'!$B$62,AI80+AH81-AQ80)))</f>
        <v>333.19999999999982</v>
      </c>
      <c r="AJ81" s="13">
        <f>AI81*VLOOKUP('Données projet'!$B$10,Paramètres!$A$1:$I$89,3,0)*VLOOKUP('Données projet'!$B$10,Paramètres!$A$1:$I$89,5,0)</f>
        <v>301.47935999999982</v>
      </c>
      <c r="AK81" s="13">
        <f t="shared" si="89"/>
        <v>71.486505311225272</v>
      </c>
      <c r="AL81" s="20">
        <f t="shared" si="58"/>
        <v>649.58221541705041</v>
      </c>
      <c r="AM81" s="59">
        <f t="shared" si="59"/>
        <v>942.91554875038378</v>
      </c>
      <c r="AN81" s="59">
        <f ca="1">AVERAGE(OFFSET($AM$3,0,0,'Données projet'!$E$10+1,1))-AVERAGE(OFFSET($H$3,0,0,'Données projet'!$E$10+1,1))</f>
        <v>318.40875902853116</v>
      </c>
      <c r="AO81" s="59">
        <f t="shared" si="90"/>
        <v>234.87694492493506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0.93092575996865867</v>
      </c>
      <c r="AV81" s="21">
        <f>EXP(-LN(2)/25)*AV80+(1-EXP(-LN(2)/25))/(LN(2)/25)*Calculateur!AQ81*Calculateur!AS81*VLOOKUP('Données projet'!$B$10,Paramètres!$A$1:$I$89,3,0)*0.475*44/12</f>
        <v>2.9815356494291767</v>
      </c>
      <c r="AW81" s="21">
        <f>EXP(-LN(2)/2)*AW80+(1-EXP(-LN(2)/2))/(LN(2)/2)*AQ81*AT81*VLOOKUP('Données projet'!$B$10,Paramètres!$A$1:$I$89,3,0)*0.475*44/12</f>
        <v>1.284678982144991E-6</v>
      </c>
      <c r="AX81" s="21">
        <f t="shared" si="60"/>
        <v>3.9124626940768175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12.9</v>
      </c>
      <c r="BD81" s="12">
        <f>IF('Données projet'!$A$88&gt;35,BD80+BC81-BL80,IF(A81&lt;'Données projet'!$A$88,$BA$205^A81,IF(A81='Données projet'!$A$88,'Données projet'!$B$88,BD80+BC81-BL80)))</f>
        <v>764.19999999999879</v>
      </c>
      <c r="BE81" s="13">
        <f>BD81*VLOOKUP('Données projet'!$B$11,Paramètres!$A$1:$I$89,3,0)*VLOOKUP('Données projet'!$B$11,Paramètres!$A$1:$I$89,5,0)</f>
        <v>427.18779999999936</v>
      </c>
      <c r="BF81" s="13">
        <f t="shared" si="91"/>
        <v>97.267302762395772</v>
      </c>
      <c r="BG81" s="20">
        <f t="shared" si="61"/>
        <v>913.42597064450467</v>
      </c>
      <c r="BH81" s="59">
        <f t="shared" si="62"/>
        <v>1206.759303977838</v>
      </c>
      <c r="BI81" s="59">
        <f ca="1">AVERAGE(OFFSET($BH$3,0,0,'Données projet'!$E$11+1,1))-AVERAGE(OFFSET($H$3,0,0,'Données projet'!$E$11+1,1))</f>
        <v>415.91544298418842</v>
      </c>
      <c r="BJ81" s="59">
        <f t="shared" si="92"/>
        <v>422.79312683312583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4.4138721377824384</v>
      </c>
      <c r="BQ81" s="21">
        <f>EXP(-LN(2)/25)*BQ80+(1-EXP(-LN(2)/25))/(LN(2)/25)*Calculateur!BL81*Calculateur!BN81*VLOOKUP('Données projet'!$B$11,Paramètres!$A$1:$I$89,3,0)*0.475*44/12</f>
        <v>10.242348930647127</v>
      </c>
      <c r="BR81" s="21">
        <f>EXP(-LN(2)/2)*BR80+(1-EXP(-LN(2)/2))/(LN(2)/2)*BL81*BO81*VLOOKUP('Données projet'!$B$11,Paramètres!$A$1:$I$89,3,0)*0.475*44/12</f>
        <v>2.1738941285034475E-6</v>
      </c>
      <c r="BS81" s="22">
        <f t="shared" si="63"/>
        <v>14.656223242323694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25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70.246800000000093</v>
      </c>
      <c r="D82" s="11">
        <f t="shared" si="86"/>
        <v>19.734734149853086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694.59429870062104</v>
      </c>
      <c r="H82" s="67">
        <f t="shared" si="56"/>
        <v>450.05117197766094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4.4000000000000004</v>
      </c>
      <c r="N82" s="13">
        <f>IF('Données projet'!$A$36&gt;35,N81+M82-V81,IF(A82&lt;'Données projet'!$A$36,$K$205^A82,IF(A82='Données projet'!$A$36,'Données projet'!$B$36,N81+M82-V81)))</f>
        <v>390.5999999999998</v>
      </c>
      <c r="O82" s="13">
        <f>N82*VLOOKUP('Données projet'!$B$9,Paramètres!$A$1:$I$89,3,0)*VLOOKUP('Données projet'!$B$9,Paramètres!$A$1:$I$89,5,0)</f>
        <v>286.38791999999984</v>
      </c>
      <c r="P82" s="13">
        <f t="shared" si="87"/>
        <v>68.315182613340724</v>
      </c>
      <c r="Q82" s="20">
        <f t="shared" si="54"/>
        <v>617.77457038490138</v>
      </c>
      <c r="R82" s="59">
        <f t="shared" si="55"/>
        <v>911.10790371823464</v>
      </c>
      <c r="S82" s="59">
        <f ca="1">AVERAGE(OFFSET($R$3,0,0,'Données projet'!$E$9+1,1))-AVERAGE(OFFSET($H$3,0,0,'Données projet'!$E$9+1,1))</f>
        <v>284.62668108124626</v>
      </c>
      <c r="T82" s="59">
        <f t="shared" si="88"/>
        <v>333.70864452711021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1.109367182595079</v>
      </c>
      <c r="AA82" s="21">
        <f>EXP(-LN(2)/25)*AA81+(1-EXP(-LN(2)/25))/(LN(2)/25)*Calculateur!V82*Calculateur!X82*VLOOKUP('Données projet'!$B$9,Paramètres!$A$1:$I$89,3,0)*0.475*44/12</f>
        <v>4.8826212042410928</v>
      </c>
      <c r="AB82" s="21">
        <f>EXP(-LN(2)/2)*AB81+(1-EXP(-LN(2)/2))/(LN(2)/2)*V82*Y82*VLOOKUP('Données projet'!$B$9,Paramètres!$A$1:$I$89,3,0)*0.475*44/12</f>
        <v>1.1213161768103852E-6</v>
      </c>
      <c r="AC82" s="22">
        <f t="shared" si="57"/>
        <v>5.9919895081523489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7.4</v>
      </c>
      <c r="AI82" s="13">
        <f>IF('Données projet'!$A$62&gt;35,AI81+AH82-AQ81,IF(A82&lt;'Données projet'!$A$62,$AF$205^A82,IF(A82='Données projet'!$A$62,'Données projet'!$B$62,AI81+AH82-AQ81)))</f>
        <v>340.5999999999998</v>
      </c>
      <c r="AJ82" s="13">
        <f>AI82*VLOOKUP('Données projet'!$B$10,Paramètres!$A$1:$I$89,3,0)*VLOOKUP('Données projet'!$B$10,Paramètres!$A$1:$I$89,5,0)</f>
        <v>308.1748799999998</v>
      </c>
      <c r="AK82" s="13">
        <f t="shared" si="89"/>
        <v>72.887541582684676</v>
      </c>
      <c r="AL82" s="20">
        <f t="shared" si="58"/>
        <v>663.6837175898421</v>
      </c>
      <c r="AM82" s="59">
        <f t="shared" si="59"/>
        <v>957.01705092317547</v>
      </c>
      <c r="AN82" s="59">
        <f ca="1">AVERAGE(OFFSET($AM$3,0,0,'Données projet'!$E$10+1,1))-AVERAGE(OFFSET($H$3,0,0,'Données projet'!$E$10+1,1))</f>
        <v>318.40875902853116</v>
      </c>
      <c r="AO82" s="59">
        <f t="shared" si="90"/>
        <v>234.87694492493506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0.91267087362432042</v>
      </c>
      <c r="AV82" s="21">
        <f>EXP(-LN(2)/25)*AV81+(1-EXP(-LN(2)/25))/(LN(2)/25)*Calculateur!AQ82*Calculateur!AS82*VLOOKUP('Données projet'!$B$10,Paramètres!$A$1:$I$89,3,0)*0.475*44/12</f>
        <v>2.9000054003033906</v>
      </c>
      <c r="AW82" s="21">
        <f>EXP(-LN(2)/2)*AW81+(1-EXP(-LN(2)/2))/(LN(2)/2)*AQ82*AT82*VLOOKUP('Données projet'!$B$10,Paramètres!$A$1:$I$89,3,0)*0.475*44/12</f>
        <v>9.0840521992255487E-7</v>
      </c>
      <c r="AX82" s="21">
        <f t="shared" si="60"/>
        <v>3.8126771823329308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12.9</v>
      </c>
      <c r="BD82" s="12">
        <f>IF('Données projet'!$A$88&gt;35,BD81+BC82-BL81,IF(A82&lt;'Données projet'!$A$88,$BA$205^A82,IF(A82='Données projet'!$A$88,'Données projet'!$B$88,BD81+BC82-BL81)))</f>
        <v>777.09999999999877</v>
      </c>
      <c r="BE82" s="13">
        <f>BD82*VLOOKUP('Données projet'!$B$11,Paramètres!$A$1:$I$89,3,0)*VLOOKUP('Données projet'!$B$11,Paramètres!$A$1:$I$89,5,0)</f>
        <v>434.39889999999929</v>
      </c>
      <c r="BF82" s="13">
        <f t="shared" si="91"/>
        <v>98.716678672362434</v>
      </c>
      <c r="BG82" s="20">
        <f t="shared" si="61"/>
        <v>928.50963285436319</v>
      </c>
      <c r="BH82" s="59">
        <f t="shared" si="62"/>
        <v>1221.8429661876964</v>
      </c>
      <c r="BI82" s="59">
        <f ca="1">AVERAGE(OFFSET($BH$3,0,0,'Données projet'!$E$11+1,1))-AVERAGE(OFFSET($H$3,0,0,'Données projet'!$E$11+1,1))</f>
        <v>415.91544298418842</v>
      </c>
      <c r="BJ82" s="59">
        <f t="shared" si="92"/>
        <v>422.79312683312583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4.3273187973566962</v>
      </c>
      <c r="BQ82" s="21">
        <f>EXP(-LN(2)/25)*BQ81+(1-EXP(-LN(2)/25))/(LN(2)/25)*Calculateur!BL82*Calculateur!BN82*VLOOKUP('Données projet'!$B$11,Paramètres!$A$1:$I$89,3,0)*0.475*44/12</f>
        <v>9.9622713605168602</v>
      </c>
      <c r="BR82" s="21">
        <f>EXP(-LN(2)/2)*BR81+(1-EXP(-LN(2)/2))/(LN(2)/2)*BL82*BO82*VLOOKUP('Données projet'!$B$11,Paramètres!$A$1:$I$89,3,0)*0.475*44/12</f>
        <v>1.5371752798464077E-6</v>
      </c>
      <c r="BS82" s="22">
        <f t="shared" si="63"/>
        <v>14.289591695048836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25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71.136000000000095</v>
      </c>
      <c r="D83" s="11">
        <f t="shared" si="86"/>
        <v>19.955301551927505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703.16092426049374</v>
      </c>
      <c r="H83" s="67">
        <f t="shared" si="56"/>
        <v>451.98401686960722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>
        <f>VLOOKUP(A83,'Données projet'!$A$35:$I$55,2,0)</f>
        <v>395</v>
      </c>
      <c r="L83" s="12">
        <f>VLOOKUP(A83,'Données projet'!$A$35:$I$55,9,0)</f>
        <v>4.4000000000000004</v>
      </c>
      <c r="M83" s="12">
        <f t="array" ref="M83">INDEX(L:L,MIN(IF(ISNUMBER(L83:L279),ROW(L83:L279),"")))</f>
        <v>4.4000000000000004</v>
      </c>
      <c r="N83" s="13">
        <f>IF('Données projet'!$A$36&gt;35,N82+M83-V82,IF(A83&lt;'Données projet'!$A$36,$K$205^A83,IF(A83='Données projet'!$A$36,'Données projet'!$B$36,N82+M83-V82)))</f>
        <v>394.99999999999977</v>
      </c>
      <c r="O83" s="13">
        <f>N83*VLOOKUP('Données projet'!$B$9,Paramètres!$A$1:$I$89,3,0)*VLOOKUP('Données projet'!$B$9,Paramètres!$A$1:$I$89,5,0)</f>
        <v>289.61399999999986</v>
      </c>
      <c r="P83" s="13">
        <f t="shared" si="87"/>
        <v>68.994714351746339</v>
      </c>
      <c r="Q83" s="20">
        <f t="shared" si="54"/>
        <v>624.57684416262452</v>
      </c>
      <c r="R83" s="59">
        <f t="shared" si="55"/>
        <v>917.9101774959579</v>
      </c>
      <c r="S83" s="59">
        <f ca="1">AVERAGE(OFFSET($R$3,0,0,'Données projet'!$E$9+1,1))-AVERAGE(OFFSET($H$3,0,0,'Données projet'!$E$9+1,1))</f>
        <v>284.62668108124626</v>
      </c>
      <c r="T83" s="59">
        <f t="shared" si="88"/>
        <v>333.70864452711021</v>
      </c>
      <c r="U83" s="15">
        <f>IF(ISNA(VLOOKUP(A83,'Données projet'!$A$35:$I$55,3,0)),0,VLOOKUP(A83,'Données projet'!$A$35:$I$55,3,0))</f>
        <v>8</v>
      </c>
      <c r="V83" s="15">
        <f>IF(ISNA(VLOOKUP(A83,'Données projet'!$A$35:$I$55,4,0)),0,VLOOKUP(A83,'Données projet'!$A$35:$I$55,4,0))</f>
        <v>395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1.0876131687915576</v>
      </c>
      <c r="AA83" s="21">
        <f>EXP(-LN(2)/25)*AA82+(1-EXP(-LN(2)/25))/(LN(2)/25)*Calculateur!V83*Calculateur!X83*VLOOKUP('Données projet'!$B$9,Paramètres!$A$1:$I$89,3,0)*0.475*44/12</f>
        <v>4.7491056706452301</v>
      </c>
      <c r="AB83" s="21">
        <f>EXP(-LN(2)/2)*AB82+(1-EXP(-LN(2)/2))/(LN(2)/2)*V83*Y83*VLOOKUP('Données projet'!$B$9,Paramètres!$A$1:$I$89,3,0)*0.475*44/12</f>
        <v>7.928902724767971E-7</v>
      </c>
      <c r="AC83" s="22">
        <f t="shared" si="57"/>
        <v>5.8367196323270605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>
        <f>VLOOKUP(A83,'Données projet'!$A$61:$I$81,2,0)</f>
        <v>348</v>
      </c>
      <c r="AG83" s="12">
        <f>VLOOKUP(A83,'Données projet'!$A$61:$I$81,9,0)</f>
        <v>7.4</v>
      </c>
      <c r="AH83" s="12">
        <f t="array" ref="AH83">INDEX(AG:AG,MIN(IF(ISNUMBER(AG83:AG279),ROW(AG83:AG279),"")))</f>
        <v>7.4</v>
      </c>
      <c r="AI83" s="13">
        <f>IF('Données projet'!$A$62&gt;35,AI82+AH83-AQ82,IF(A83&lt;'Données projet'!$A$62,$AF$205^A83,IF(A83='Données projet'!$A$62,'Données projet'!$B$62,AI82+AH83-AQ82)))</f>
        <v>347.99999999999977</v>
      </c>
      <c r="AJ83" s="13">
        <f>AI83*VLOOKUP('Données projet'!$B$10,Paramètres!$A$1:$I$89,3,0)*VLOOKUP('Données projet'!$B$10,Paramètres!$A$1:$I$89,5,0)</f>
        <v>314.87039999999979</v>
      </c>
      <c r="AK83" s="13">
        <f t="shared" si="89"/>
        <v>74.285038887149881</v>
      </c>
      <c r="AL83" s="20">
        <f t="shared" si="58"/>
        <v>677.7790560617857</v>
      </c>
      <c r="AM83" s="59">
        <f t="shared" si="59"/>
        <v>971.11238939511895</v>
      </c>
      <c r="AN83" s="59">
        <f ca="1">AVERAGE(OFFSET($AM$3,0,0,'Données projet'!$E$10+1,1))-AVERAGE(OFFSET($H$3,0,0,'Données projet'!$E$10+1,1))</f>
        <v>318.40875902853116</v>
      </c>
      <c r="AO83" s="59">
        <f t="shared" si="90"/>
        <v>234.87694492493506</v>
      </c>
      <c r="AP83" s="15">
        <f>IF(ISNA(VLOOKUP(A83,'Données projet'!$A$61:$I$81,3,0)),0,VLOOKUP(A83,'Données projet'!$A$61:$I$81,3,0))</f>
        <v>7</v>
      </c>
      <c r="AQ83" s="15">
        <f>IF(ISNA(VLOOKUP(A83,'Données projet'!$A$61:$I$81,4,0)),0,VLOOKUP(A83,'Données projet'!$A$61:$I$81,4,0))</f>
        <v>56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0.8947739544668134</v>
      </c>
      <c r="AV83" s="21">
        <f>EXP(-LN(2)/25)*AV82+(1-EXP(-LN(2)/25))/(LN(2)/25)*Calculateur!AQ83*Calculateur!AS83*VLOOKUP('Données projet'!$B$10,Paramètres!$A$1:$I$89,3,0)*0.475*44/12</f>
        <v>2.8207046001274385</v>
      </c>
      <c r="AW83" s="21">
        <f>EXP(-LN(2)/2)*AW82+(1-EXP(-LN(2)/2))/(LN(2)/2)*AQ83*AT83*VLOOKUP('Données projet'!$B$10,Paramètres!$A$1:$I$89,3,0)*0.475*44/12</f>
        <v>6.4233949107249562E-7</v>
      </c>
      <c r="AX83" s="21">
        <f t="shared" si="60"/>
        <v>3.7154791969337428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>
        <f>VLOOKUP(A83,'Données projet'!$A$87:$I$107,2,0)</f>
        <v>790</v>
      </c>
      <c r="BB83" s="12">
        <f>VLOOKUP(A83,'Données projet'!$A$87:$I$107,9,0)</f>
        <v>12.9</v>
      </c>
      <c r="BC83" s="12">
        <f t="array" ref="BC83">INDEX(BB:BB,MIN(IF(ISNUMBER(BB83:BB279),ROW(BB83:BB279),"")))</f>
        <v>12.9</v>
      </c>
      <c r="BD83" s="12">
        <f>IF('Données projet'!$A$88&gt;35,BD82+BC83-BL82,IF(A83&lt;'Données projet'!$A$88,$BA$205^A83,IF(A83='Données projet'!$A$88,'Données projet'!$B$88,BD82+BC83-BL82)))</f>
        <v>789.99999999999875</v>
      </c>
      <c r="BE83" s="13">
        <f>BD83*VLOOKUP('Données projet'!$B$11,Paramètres!$A$1:$I$89,3,0)*VLOOKUP('Données projet'!$B$11,Paramètres!$A$1:$I$89,5,0)</f>
        <v>441.60999999999933</v>
      </c>
      <c r="BF83" s="13">
        <f t="shared" si="91"/>
        <v>100.16325657794113</v>
      </c>
      <c r="BG83" s="20">
        <f t="shared" si="61"/>
        <v>943.58842187324615</v>
      </c>
      <c r="BH83" s="59">
        <f t="shared" si="62"/>
        <v>1236.9217552065795</v>
      </c>
      <c r="BI83" s="59">
        <f ca="1">AVERAGE(OFFSET($BH$3,0,0,'Données projet'!$E$11+1,1))-AVERAGE(OFFSET($H$3,0,0,'Données projet'!$E$11+1,1))</f>
        <v>415.91544298418842</v>
      </c>
      <c r="BJ83" s="59">
        <f t="shared" si="92"/>
        <v>422.79312683312583</v>
      </c>
      <c r="BK83" s="15">
        <f>IF(ISNA(VLOOKUP(A83,'Données projet'!$A$87:$I$107,3,0)),0,VLOOKUP(A83,'Données projet'!$A$87:$I$107,3,0))</f>
        <v>7</v>
      </c>
      <c r="BL83" s="21">
        <f>IF(ISNA(VLOOKUP(A83,'Données projet'!$A$87:$I$107,4,0)),0,VLOOKUP(A83,'Données projet'!$A$87:$I$107,4,0))</f>
        <v>790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4.2424627151443781</v>
      </c>
      <c r="BQ83" s="21">
        <f>EXP(-LN(2)/25)*BQ82+(1-EXP(-LN(2)/25))/(LN(2)/25)*Calculateur!BL83*Calculateur!BN83*VLOOKUP('Données projet'!$B$11,Paramètres!$A$1:$I$89,3,0)*0.475*44/12</f>
        <v>9.6898525262704442</v>
      </c>
      <c r="BR83" s="21">
        <f>EXP(-LN(2)/2)*BR82+(1-EXP(-LN(2)/2))/(LN(2)/2)*BL83*BO83*VLOOKUP('Données projet'!$B$11,Paramètres!$A$1:$I$89,3,0)*0.475*44/12</f>
        <v>1.0869470642517238E-6</v>
      </c>
      <c r="BS83" s="22">
        <f t="shared" si="63"/>
        <v>13.932316328361887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25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72.025200000000098</v>
      </c>
      <c r="D84" s="11">
        <f t="shared" si="86"/>
        <v>20.175548252960489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711.72507423337993</v>
      </c>
      <c r="H84" s="67">
        <f t="shared" si="56"/>
        <v>453.91630320723971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-2.2737367544323206E-13</v>
      </c>
      <c r="O84" s="13">
        <f>N84*VLOOKUP('Données projet'!$B$9,Paramètres!$A$1:$I$89,3,0)*VLOOKUP('Données projet'!$B$9,Paramètres!$A$1:$I$89,5,0)</f>
        <v>-1.6671037883497774E-13</v>
      </c>
      <c r="P84" s="13" t="e">
        <f t="shared" si="87"/>
        <v>#NUM!</v>
      </c>
      <c r="Q84" s="20" t="e">
        <f t="shared" si="54"/>
        <v>#NUM!</v>
      </c>
      <c r="R84" s="59" t="e">
        <f t="shared" si="55"/>
        <v>#NUM!</v>
      </c>
      <c r="S84" s="59">
        <f ca="1">AVERAGE(OFFSET($R$3,0,0,'Données projet'!$E$9+1,1))-AVERAGE(OFFSET($H$3,0,0,'Données projet'!$E$9+1,1))</f>
        <v>284.62668108124626</v>
      </c>
      <c r="T84" s="59">
        <f t="shared" si="88"/>
        <v>333.70864452711021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1.066285737930085</v>
      </c>
      <c r="AA84" s="21">
        <f>EXP(-LN(2)/25)*AA83+(1-EXP(-LN(2)/25))/(LN(2)/25)*Calculateur!V84*Calculateur!X84*VLOOKUP('Données projet'!$B$9,Paramètres!$A$1:$I$89,3,0)*0.475*44/12</f>
        <v>4.6192411263368234</v>
      </c>
      <c r="AB84" s="21">
        <f>EXP(-LN(2)/2)*AB83+(1-EXP(-LN(2)/2))/(LN(2)/2)*V84*Y84*VLOOKUP('Données projet'!$B$9,Paramètres!$A$1:$I$89,3,0)*0.475*44/12</f>
        <v>5.606580884051926E-7</v>
      </c>
      <c r="AC84" s="22">
        <f t="shared" si="57"/>
        <v>5.685527424924997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6.6</v>
      </c>
      <c r="AI84" s="13">
        <f>IF('Données projet'!$A$62&gt;35,AI83+AH84-AQ83,IF(A84&lt;'Données projet'!$A$62,$AF$205^A84,IF(A84='Données projet'!$A$62,'Données projet'!$B$62,AI83+AH84-AQ83)))</f>
        <v>298.5999999999998</v>
      </c>
      <c r="AJ84" s="13">
        <f>AI84*VLOOKUP('Données projet'!$B$10,Paramètres!$A$1:$I$89,3,0)*VLOOKUP('Données projet'!$B$10,Paramètres!$A$1:$I$89,5,0)</f>
        <v>270.17327999999981</v>
      </c>
      <c r="AK84" s="13">
        <f t="shared" si="89"/>
        <v>64.886042303882988</v>
      </c>
      <c r="AL84" s="20">
        <f t="shared" si="58"/>
        <v>583.56165301259591</v>
      </c>
      <c r="AM84" s="59">
        <f t="shared" si="59"/>
        <v>876.89498634592928</v>
      </c>
      <c r="AN84" s="59">
        <f ca="1">AVERAGE(OFFSET($AM$3,0,0,'Données projet'!$E$10+1,1))-AVERAGE(OFFSET($H$3,0,0,'Données projet'!$E$10+1,1))</f>
        <v>318.40875902853116</v>
      </c>
      <c r="AO84" s="59">
        <f t="shared" si="90"/>
        <v>234.87694492493506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0.87722798297794224</v>
      </c>
      <c r="AV84" s="21">
        <f>EXP(-LN(2)/25)*AV83+(1-EXP(-LN(2)/25))/(LN(2)/25)*Calculateur!AQ84*Calculateur!AS84*VLOOKUP('Données projet'!$B$10,Paramètres!$A$1:$I$89,3,0)*0.475*44/12</f>
        <v>2.7435722845025454</v>
      </c>
      <c r="AW84" s="21">
        <f>EXP(-LN(2)/2)*AW83+(1-EXP(-LN(2)/2))/(LN(2)/2)*AQ84*AT84*VLOOKUP('Données projet'!$B$10,Paramètres!$A$1:$I$89,3,0)*0.475*44/12</f>
        <v>4.5420260996127749E-7</v>
      </c>
      <c r="AX84" s="21">
        <f t="shared" si="60"/>
        <v>3.6208007216830973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-1.2505552149377763E-12</v>
      </c>
      <c r="BE84" s="13">
        <f>BD84*VLOOKUP('Données projet'!$B$11,Paramètres!$A$1:$I$89,3,0)*VLOOKUP('Données projet'!$B$11,Paramètres!$A$1:$I$89,5,0)</f>
        <v>-6.9906036515021697E-13</v>
      </c>
      <c r="BF84" s="13" t="e">
        <f t="shared" si="91"/>
        <v>#NUM!</v>
      </c>
      <c r="BG84" s="20" t="e">
        <f t="shared" si="61"/>
        <v>#NUM!</v>
      </c>
      <c r="BH84" s="59" t="e">
        <f t="shared" si="62"/>
        <v>#NUM!</v>
      </c>
      <c r="BI84" s="59">
        <f ca="1">AVERAGE(OFFSET($BH$3,0,0,'Données projet'!$E$11+1,1))-AVERAGE(OFFSET($H$3,0,0,'Données projet'!$E$11+1,1))</f>
        <v>415.91544298418842</v>
      </c>
      <c r="BJ84" s="59">
        <f t="shared" si="92"/>
        <v>422.79312683312583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4.1592706089471445</v>
      </c>
      <c r="BQ84" s="21">
        <f>EXP(-LN(2)/25)*BQ83+(1-EXP(-LN(2)/25))/(LN(2)/25)*Calculateur!BL84*Calculateur!BN84*VLOOKUP('Données projet'!$B$11,Paramètres!$A$1:$I$89,3,0)*0.475*44/12</f>
        <v>9.4248829993723806</v>
      </c>
      <c r="BR84" s="21">
        <f>EXP(-LN(2)/2)*BR83+(1-EXP(-LN(2)/2))/(LN(2)/2)*BL84*BO84*VLOOKUP('Données projet'!$B$11,Paramètres!$A$1:$I$89,3,0)*0.475*44/12</f>
        <v>7.6858763992320385E-7</v>
      </c>
      <c r="BS84" s="22">
        <f t="shared" si="63"/>
        <v>13.584154376907165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25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72.9144000000001</v>
      </c>
      <c r="D85" s="11">
        <f t="shared" si="86"/>
        <v>20.395478670134686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720.28678271683009</v>
      </c>
      <c r="H85" s="67">
        <f t="shared" si="56"/>
        <v>455.84803868381812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-2.2737367544323206E-13</v>
      </c>
      <c r="O85" s="13">
        <f>N85*VLOOKUP('Données projet'!$B$9,Paramètres!$A$1:$I$89,3,0)*VLOOKUP('Données projet'!$B$9,Paramètres!$A$1:$I$89,5,0)</f>
        <v>-1.6671037883497774E-13</v>
      </c>
      <c r="P85" s="13" t="e">
        <f t="shared" si="87"/>
        <v>#NUM!</v>
      </c>
      <c r="Q85" s="20" t="e">
        <f t="shared" si="54"/>
        <v>#NUM!</v>
      </c>
      <c r="R85" s="59" t="e">
        <f t="shared" si="55"/>
        <v>#NUM!</v>
      </c>
      <c r="S85" s="59">
        <f ca="1">AVERAGE(OFFSET($R$3,0,0,'Données projet'!$E$9+1,1))-AVERAGE(OFFSET($H$3,0,0,'Données projet'!$E$9+1,1))</f>
        <v>284.62668108124626</v>
      </c>
      <c r="T85" s="59">
        <f t="shared" si="88"/>
        <v>333.70864452711021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1.0453765249793574</v>
      </c>
      <c r="AA85" s="21">
        <f>EXP(-LN(2)/25)*AA84+(1-EXP(-LN(2)/25))/(LN(2)/25)*Calculateur!V85*Calculateur!X85*VLOOKUP('Données projet'!$B$9,Paramètres!$A$1:$I$89,3,0)*0.475*44/12</f>
        <v>4.4929277348218095</v>
      </c>
      <c r="AB85" s="21">
        <f>EXP(-LN(2)/2)*AB84+(1-EXP(-LN(2)/2))/(LN(2)/2)*V85*Y85*VLOOKUP('Données projet'!$B$9,Paramètres!$A$1:$I$89,3,0)*0.475*44/12</f>
        <v>3.9644513623839855E-7</v>
      </c>
      <c r="AC85" s="22">
        <f t="shared" si="57"/>
        <v>5.5383046562463036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6.6</v>
      </c>
      <c r="AI85" s="13">
        <f>IF('Données projet'!$A$62&gt;35,AI84+AH85-AQ84,IF(A85&lt;'Données projet'!$A$62,$AF$205^A85,IF(A85='Données projet'!$A$62,'Données projet'!$B$62,AI84+AH85-AQ84)))</f>
        <v>305.19999999999982</v>
      </c>
      <c r="AJ85" s="13">
        <f>AI85*VLOOKUP('Données projet'!$B$10,Paramètres!$A$1:$I$89,3,0)*VLOOKUP('Données projet'!$B$10,Paramètres!$A$1:$I$89,5,0)</f>
        <v>276.1449599999998</v>
      </c>
      <c r="AK85" s="13">
        <f t="shared" si="89"/>
        <v>66.151671938851194</v>
      </c>
      <c r="AL85" s="20">
        <f t="shared" si="58"/>
        <v>596.16663396016543</v>
      </c>
      <c r="AM85" s="59">
        <f t="shared" si="59"/>
        <v>889.49996729349868</v>
      </c>
      <c r="AN85" s="59">
        <f ca="1">AVERAGE(OFFSET($AM$3,0,0,'Données projet'!$E$10+1,1))-AVERAGE(OFFSET($H$3,0,0,'Données projet'!$E$10+1,1))</f>
        <v>318.40875902853116</v>
      </c>
      <c r="AO85" s="59">
        <f t="shared" si="90"/>
        <v>234.87694492493506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0.86002607728798197</v>
      </c>
      <c r="AV85" s="21">
        <f>EXP(-LN(2)/25)*AV84+(1-EXP(-LN(2)/25))/(LN(2)/25)*Calculateur!AQ85*Calculateur!AS85*VLOOKUP('Données projet'!$B$10,Paramètres!$A$1:$I$89,3,0)*0.475*44/12</f>
        <v>2.6685491561046275</v>
      </c>
      <c r="AW85" s="21">
        <f>EXP(-LN(2)/2)*AW84+(1-EXP(-LN(2)/2))/(LN(2)/2)*AQ85*AT85*VLOOKUP('Données projet'!$B$10,Paramètres!$A$1:$I$89,3,0)*0.475*44/12</f>
        <v>3.2116974553624786E-7</v>
      </c>
      <c r="AX85" s="21">
        <f t="shared" si="60"/>
        <v>3.5285755545623547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-1.2505552149377763E-12</v>
      </c>
      <c r="BE85" s="13">
        <f>BD85*VLOOKUP('Données projet'!$B$11,Paramètres!$A$1:$I$89,3,0)*VLOOKUP('Données projet'!$B$11,Paramètres!$A$1:$I$89,5,0)</f>
        <v>-6.9906036515021697E-13</v>
      </c>
      <c r="BF85" s="13" t="e">
        <f t="shared" si="91"/>
        <v>#NUM!</v>
      </c>
      <c r="BG85" s="20" t="e">
        <f t="shared" si="61"/>
        <v>#NUM!</v>
      </c>
      <c r="BH85" s="59" t="e">
        <f t="shared" si="62"/>
        <v>#NUM!</v>
      </c>
      <c r="BI85" s="59">
        <f ca="1">AVERAGE(OFFSET($BH$3,0,0,'Données projet'!$E$11+1,1))-AVERAGE(OFFSET($H$3,0,0,'Données projet'!$E$11+1,1))</f>
        <v>415.91544298418842</v>
      </c>
      <c r="BJ85" s="59">
        <f t="shared" si="92"/>
        <v>422.79312683312583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4.0777098492102644</v>
      </c>
      <c r="BQ85" s="21">
        <f>EXP(-LN(2)/25)*BQ84+(1-EXP(-LN(2)/25))/(LN(2)/25)*Calculateur!BL85*Calculateur!BN85*VLOOKUP('Données projet'!$B$11,Paramètres!$A$1:$I$89,3,0)*0.475*44/12</f>
        <v>9.167159078121486</v>
      </c>
      <c r="BR85" s="21">
        <f>EXP(-LN(2)/2)*BR84+(1-EXP(-LN(2)/2))/(LN(2)/2)*BL85*BO85*VLOOKUP('Données projet'!$B$11,Paramètres!$A$1:$I$89,3,0)*0.475*44/12</f>
        <v>5.4347353212586188E-7</v>
      </c>
      <c r="BS85" s="22">
        <f t="shared" si="63"/>
        <v>13.244869470805284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25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73.803600000000102</v>
      </c>
      <c r="D86" s="11">
        <f t="shared" si="86"/>
        <v>20.615097106698798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728.8460829289038</v>
      </c>
      <c r="H86" s="67">
        <f t="shared" si="56"/>
        <v>457.77923079416723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-2.2737367544323206E-13</v>
      </c>
      <c r="O86" s="13">
        <f>N86*VLOOKUP('Données projet'!$B$9,Paramètres!$A$1:$I$89,3,0)*VLOOKUP('Données projet'!$B$9,Paramètres!$A$1:$I$89,5,0)</f>
        <v>-1.6671037883497774E-13</v>
      </c>
      <c r="P86" s="13" t="e">
        <f t="shared" si="87"/>
        <v>#NUM!</v>
      </c>
      <c r="Q86" s="20" t="e">
        <f t="shared" si="54"/>
        <v>#NUM!</v>
      </c>
      <c r="R86" s="59" t="e">
        <f t="shared" si="55"/>
        <v>#NUM!</v>
      </c>
      <c r="S86" s="59">
        <f ca="1">AVERAGE(OFFSET($R$3,0,0,'Données projet'!$E$9+1,1))-AVERAGE(OFFSET($H$3,0,0,'Données projet'!$E$9+1,1))</f>
        <v>284.62668108124626</v>
      </c>
      <c r="T86" s="59">
        <f t="shared" si="88"/>
        <v>333.70864452711021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1.024877328941233</v>
      </c>
      <c r="AA86" s="21">
        <f>EXP(-LN(2)/25)*AA85+(1-EXP(-LN(2)/25))/(LN(2)/25)*Calculateur!V86*Calculateur!X86*VLOOKUP('Données projet'!$B$9,Paramètres!$A$1:$I$89,3,0)*0.475*44/12</f>
        <v>4.3700683896403065</v>
      </c>
      <c r="AB86" s="21">
        <f>EXP(-LN(2)/2)*AB85+(1-EXP(-LN(2)/2))/(LN(2)/2)*V86*Y86*VLOOKUP('Données projet'!$B$9,Paramètres!$A$1:$I$89,3,0)*0.475*44/12</f>
        <v>2.803290442025963E-7</v>
      </c>
      <c r="AC86" s="22">
        <f t="shared" si="57"/>
        <v>5.3949459989105835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6.6</v>
      </c>
      <c r="AI86" s="13">
        <f>IF('Données projet'!$A$62&gt;35,AI85+AH86-AQ85,IF(A86&lt;'Données projet'!$A$62,$AF$205^A86,IF(A86='Données projet'!$A$62,'Données projet'!$B$62,AI85+AH86-AQ85)))</f>
        <v>311.79999999999984</v>
      </c>
      <c r="AJ86" s="13">
        <f>AI86*VLOOKUP('Données projet'!$B$10,Paramètres!$A$1:$I$89,3,0)*VLOOKUP('Données projet'!$B$10,Paramètres!$A$1:$I$89,5,0)</f>
        <v>282.11663999999985</v>
      </c>
      <c r="AK86" s="13">
        <f t="shared" si="89"/>
        <v>67.414119514142243</v>
      </c>
      <c r="AL86" s="20">
        <f t="shared" si="58"/>
        <v>608.76607282046416</v>
      </c>
      <c r="AM86" s="59">
        <f t="shared" si="59"/>
        <v>902.09940615379742</v>
      </c>
      <c r="AN86" s="59">
        <f ca="1">AVERAGE(OFFSET($AM$3,0,0,'Données projet'!$E$10+1,1))-AVERAGE(OFFSET($H$3,0,0,'Données projet'!$E$10+1,1))</f>
        <v>318.40875902853116</v>
      </c>
      <c r="AO86" s="59">
        <f t="shared" si="90"/>
        <v>234.87694492493506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0.84316149047647537</v>
      </c>
      <c r="AV86" s="21">
        <f>EXP(-LN(2)/25)*AV85+(1-EXP(-LN(2)/25))/(LN(2)/25)*Calculateur!AQ86*Calculateur!AS86*VLOOKUP('Données projet'!$B$10,Paramètres!$A$1:$I$89,3,0)*0.475*44/12</f>
        <v>2.5955775390980453</v>
      </c>
      <c r="AW86" s="21">
        <f>EXP(-LN(2)/2)*AW85+(1-EXP(-LN(2)/2))/(LN(2)/2)*AQ86*AT86*VLOOKUP('Données projet'!$B$10,Paramètres!$A$1:$I$89,3,0)*0.475*44/12</f>
        <v>2.2710130498063877E-7</v>
      </c>
      <c r="AX86" s="21">
        <f t="shared" si="60"/>
        <v>3.4387392566758255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-1.2505552149377763E-12</v>
      </c>
      <c r="BE86" s="13">
        <f>BD86*VLOOKUP('Données projet'!$B$11,Paramètres!$A$1:$I$89,3,0)*VLOOKUP('Données projet'!$B$11,Paramètres!$A$1:$I$89,5,0)</f>
        <v>-6.9906036515021697E-13</v>
      </c>
      <c r="BF86" s="13" t="e">
        <f t="shared" si="91"/>
        <v>#NUM!</v>
      </c>
      <c r="BG86" s="20" t="e">
        <f t="shared" si="61"/>
        <v>#NUM!</v>
      </c>
      <c r="BH86" s="59" t="e">
        <f t="shared" si="62"/>
        <v>#NUM!</v>
      </c>
      <c r="BI86" s="59">
        <f ca="1">AVERAGE(OFFSET($BH$3,0,0,'Données projet'!$E$11+1,1))-AVERAGE(OFFSET($H$3,0,0,'Données projet'!$E$11+1,1))</f>
        <v>415.91544298418842</v>
      </c>
      <c r="BJ86" s="59">
        <f t="shared" si="92"/>
        <v>422.79312683312583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3.9977484462246728</v>
      </c>
      <c r="BQ86" s="21">
        <f>EXP(-LN(2)/25)*BQ85+(1-EXP(-LN(2)/25))/(LN(2)/25)*Calculateur!BL86*Calculateur!BN86*VLOOKUP('Données projet'!$B$11,Paramètres!$A$1:$I$89,3,0)*0.475*44/12</f>
        <v>8.9164826310503091</v>
      </c>
      <c r="BR86" s="21">
        <f>EXP(-LN(2)/2)*BR85+(1-EXP(-LN(2)/2))/(LN(2)/2)*BL86*BO86*VLOOKUP('Données projet'!$B$11,Paramètres!$A$1:$I$89,3,0)*0.475*44/12</f>
        <v>3.8429381996160193E-7</v>
      </c>
      <c r="BS86" s="22">
        <f t="shared" si="63"/>
        <v>12.914231461568802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25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74.692800000000105</v>
      </c>
      <c r="D87" s="11">
        <f t="shared" si="86"/>
        <v>20.834407756242857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737.40300724117378</v>
      </c>
      <c r="H87" s="67">
        <f t="shared" si="56"/>
        <v>459.70988684212313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-2.2737367544323206E-13</v>
      </c>
      <c r="O87" s="13">
        <f>N87*VLOOKUP('Données projet'!$B$9,Paramètres!$A$1:$I$89,3,0)*VLOOKUP('Données projet'!$B$9,Paramètres!$A$1:$I$89,5,0)</f>
        <v>-1.6671037883497774E-13</v>
      </c>
      <c r="P87" s="13" t="e">
        <f t="shared" si="87"/>
        <v>#NUM!</v>
      </c>
      <c r="Q87" s="20" t="e">
        <f t="shared" si="54"/>
        <v>#NUM!</v>
      </c>
      <c r="R87" s="59" t="e">
        <f t="shared" si="55"/>
        <v>#NUM!</v>
      </c>
      <c r="S87" s="59">
        <f ca="1">AVERAGE(OFFSET($R$3,0,0,'Données projet'!$E$9+1,1))-AVERAGE(OFFSET($H$3,0,0,'Données projet'!$E$9+1,1))</f>
        <v>284.62668108124626</v>
      </c>
      <c r="T87" s="59">
        <f t="shared" si="88"/>
        <v>333.70864452711021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1.0047801096341411</v>
      </c>
      <c r="AA87" s="21">
        <f>EXP(-LN(2)/25)*AA86+(1-EXP(-LN(2)/25))/(LN(2)/25)*Calculateur!V87*Calculateur!X87*VLOOKUP('Données projet'!$B$9,Paramètres!$A$1:$I$89,3,0)*0.475*44/12</f>
        <v>4.2505686397136833</v>
      </c>
      <c r="AB87" s="21">
        <f>EXP(-LN(2)/2)*AB86+(1-EXP(-LN(2)/2))/(LN(2)/2)*V87*Y87*VLOOKUP('Données projet'!$B$9,Paramètres!$A$1:$I$89,3,0)*0.475*44/12</f>
        <v>1.9822256811919928E-7</v>
      </c>
      <c r="AC87" s="22">
        <f t="shared" si="57"/>
        <v>5.2553489475703925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6.6</v>
      </c>
      <c r="AI87" s="13">
        <f>IF('Données projet'!$A$62&gt;35,AI86+AH87-AQ86,IF(A87&lt;'Données projet'!$A$62,$AF$205^A87,IF(A87='Données projet'!$A$62,'Données projet'!$B$62,AI86+AH87-AQ86)))</f>
        <v>318.39999999999986</v>
      </c>
      <c r="AJ87" s="13">
        <f>AI87*VLOOKUP('Données projet'!$B$10,Paramètres!$A$1:$I$89,3,0)*VLOOKUP('Données projet'!$B$10,Paramètres!$A$1:$I$89,5,0)</f>
        <v>288.0883199999999</v>
      </c>
      <c r="AK87" s="13">
        <f t="shared" si="89"/>
        <v>68.673460144735557</v>
      </c>
      <c r="AL87" s="20">
        <f t="shared" si="58"/>
        <v>621.36010041874761</v>
      </c>
      <c r="AM87" s="59">
        <f t="shared" si="59"/>
        <v>914.69343375208086</v>
      </c>
      <c r="AN87" s="59">
        <f ca="1">AVERAGE(OFFSET($AM$3,0,0,'Données projet'!$E$10+1,1))-AVERAGE(OFFSET($H$3,0,0,'Données projet'!$E$10+1,1))</f>
        <v>318.40875902853116</v>
      </c>
      <c r="AO87" s="59">
        <f t="shared" si="90"/>
        <v>234.87694492493506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0.82662760792596013</v>
      </c>
      <c r="AV87" s="21">
        <f>EXP(-LN(2)/25)*AV86+(1-EXP(-LN(2)/25))/(LN(2)/25)*Calculateur!AQ87*Calculateur!AS87*VLOOKUP('Données projet'!$B$10,Paramètres!$A$1:$I$89,3,0)*0.475*44/12</f>
        <v>2.5246013347959186</v>
      </c>
      <c r="AW87" s="21">
        <f>EXP(-LN(2)/2)*AW86+(1-EXP(-LN(2)/2))/(LN(2)/2)*AQ87*AT87*VLOOKUP('Données projet'!$B$10,Paramètres!$A$1:$I$89,3,0)*0.475*44/12</f>
        <v>1.6058487276812396E-7</v>
      </c>
      <c r="AX87" s="21">
        <f t="shared" si="60"/>
        <v>3.3512291033067516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-1.2505552149377763E-12</v>
      </c>
      <c r="BE87" s="13">
        <f>BD87*VLOOKUP('Données projet'!$B$11,Paramètres!$A$1:$I$89,3,0)*VLOOKUP('Données projet'!$B$11,Paramètres!$A$1:$I$89,5,0)</f>
        <v>-6.9906036515021697E-13</v>
      </c>
      <c r="BF87" s="13" t="e">
        <f t="shared" si="91"/>
        <v>#NUM!</v>
      </c>
      <c r="BG87" s="20" t="e">
        <f t="shared" si="61"/>
        <v>#NUM!</v>
      </c>
      <c r="BH87" s="59" t="e">
        <f t="shared" si="62"/>
        <v>#NUM!</v>
      </c>
      <c r="BI87" s="59">
        <f ca="1">AVERAGE(OFFSET($BH$3,0,0,'Données projet'!$E$11+1,1))-AVERAGE(OFFSET($H$3,0,0,'Données projet'!$E$11+1,1))</f>
        <v>415.91544298418842</v>
      </c>
      <c r="BJ87" s="59">
        <f t="shared" si="92"/>
        <v>422.79312683312583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3.9193550375799888</v>
      </c>
      <c r="BQ87" s="21">
        <f>EXP(-LN(2)/25)*BQ86+(1-EXP(-LN(2)/25))/(LN(2)/25)*Calculateur!BL87*Calculateur!BN87*VLOOKUP('Données projet'!$B$11,Paramètres!$A$1:$I$89,3,0)*0.475*44/12</f>
        <v>8.672660944606795</v>
      </c>
      <c r="BR87" s="21">
        <f>EXP(-LN(2)/2)*BR86+(1-EXP(-LN(2)/2))/(LN(2)/2)*BL87*BO87*VLOOKUP('Données projet'!$B$11,Paramètres!$A$1:$I$89,3,0)*0.475*44/12</f>
        <v>2.7173676606293094E-7</v>
      </c>
      <c r="BS87" s="22">
        <f t="shared" si="63"/>
        <v>12.59201625392355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25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75.582000000000107</v>
      </c>
      <c r="D88" s="11">
        <f t="shared" si="86"/>
        <v>21.053414706764155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745.95758721011009</v>
      </c>
      <c r="H88" s="67">
        <f t="shared" si="56"/>
        <v>461.64001394761442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-2.2737367544323206E-13</v>
      </c>
      <c r="O88" s="13">
        <f>N88*VLOOKUP('Données projet'!$B$9,Paramètres!$A$1:$I$89,3,0)*VLOOKUP('Données projet'!$B$9,Paramètres!$A$1:$I$89,5,0)</f>
        <v>-1.6671037883497774E-13</v>
      </c>
      <c r="P88" s="13" t="e">
        <f t="shared" si="87"/>
        <v>#NUM!</v>
      </c>
      <c r="Q88" s="20" t="e">
        <f t="shared" si="54"/>
        <v>#NUM!</v>
      </c>
      <c r="R88" s="59" t="e">
        <f t="shared" si="55"/>
        <v>#NUM!</v>
      </c>
      <c r="S88" s="59">
        <f ca="1">AVERAGE(OFFSET($R$3,0,0,'Données projet'!$E$9+1,1))-AVERAGE(OFFSET($H$3,0,0,'Données projet'!$E$9+1,1))</f>
        <v>284.62668108124626</v>
      </c>
      <c r="T88" s="59">
        <f t="shared" si="88"/>
        <v>333.70864452711021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0.98507698453956805</v>
      </c>
      <c r="AA88" s="21">
        <f>EXP(-LN(2)/25)*AA87+(1-EXP(-LN(2)/25))/(LN(2)/25)*Calculateur!V88*Calculateur!X88*VLOOKUP('Données projet'!$B$9,Paramètres!$A$1:$I$89,3,0)*0.475*44/12</f>
        <v>4.1343366167330222</v>
      </c>
      <c r="AB88" s="21">
        <f>EXP(-LN(2)/2)*AB87+(1-EXP(-LN(2)/2))/(LN(2)/2)*V88*Y88*VLOOKUP('Données projet'!$B$9,Paramètres!$A$1:$I$89,3,0)*0.475*44/12</f>
        <v>1.4016452210129815E-7</v>
      </c>
      <c r="AC88" s="22">
        <f t="shared" si="57"/>
        <v>5.1194137414371124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6.6</v>
      </c>
      <c r="AI88" s="13">
        <f>IF('Données projet'!$A$62&gt;35,AI87+AH88-AQ87,IF(A88&lt;'Données projet'!$A$62,$AF$205^A88,IF(A88='Données projet'!$A$62,'Données projet'!$B$62,AI87+AH88-AQ87)))</f>
        <v>324.99999999999989</v>
      </c>
      <c r="AJ88" s="13">
        <f>AI88*VLOOKUP('Données projet'!$B$10,Paramètres!$A$1:$I$89,3,0)*VLOOKUP('Données projet'!$B$10,Paramètres!$A$1:$I$89,5,0)</f>
        <v>294.05999999999989</v>
      </c>
      <c r="AK88" s="13">
        <f t="shared" si="89"/>
        <v>69.929765653573313</v>
      </c>
      <c r="AL88" s="20">
        <f t="shared" si="58"/>
        <v>633.94884184663999</v>
      </c>
      <c r="AM88" s="59">
        <f t="shared" si="59"/>
        <v>927.28217517997336</v>
      </c>
      <c r="AN88" s="59">
        <f ca="1">AVERAGE(OFFSET($AM$3,0,0,'Données projet'!$E$10+1,1))-AVERAGE(OFFSET($H$3,0,0,'Données projet'!$E$10+1,1))</f>
        <v>318.40875902853116</v>
      </c>
      <c r="AO88" s="59">
        <f t="shared" si="90"/>
        <v>234.87694492493506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0.81041794472758799</v>
      </c>
      <c r="AV88" s="21">
        <f>EXP(-LN(2)/25)*AV87+(1-EXP(-LN(2)/25))/(LN(2)/25)*Calculateur!AQ88*Calculateur!AS88*VLOOKUP('Données projet'!$B$10,Paramètres!$A$1:$I$89,3,0)*0.475*44/12</f>
        <v>2.4555659785329103</v>
      </c>
      <c r="AW88" s="21">
        <f>EXP(-LN(2)/2)*AW87+(1-EXP(-LN(2)/2))/(LN(2)/2)*AQ88*AT88*VLOOKUP('Données projet'!$B$10,Paramètres!$A$1:$I$89,3,0)*0.475*44/12</f>
        <v>1.1355065249031941E-7</v>
      </c>
      <c r="AX88" s="21">
        <f t="shared" si="60"/>
        <v>3.2659840368111506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-1.2505552149377763E-12</v>
      </c>
      <c r="BE88" s="13">
        <f>BD88*VLOOKUP('Données projet'!$B$11,Paramètres!$A$1:$I$89,3,0)*VLOOKUP('Données projet'!$B$11,Paramètres!$A$1:$I$89,5,0)</f>
        <v>-6.9906036515021697E-13</v>
      </c>
      <c r="BF88" s="13" t="e">
        <f t="shared" si="91"/>
        <v>#NUM!</v>
      </c>
      <c r="BG88" s="20" t="e">
        <f t="shared" si="61"/>
        <v>#NUM!</v>
      </c>
      <c r="BH88" s="59" t="e">
        <f t="shared" si="62"/>
        <v>#NUM!</v>
      </c>
      <c r="BI88" s="59">
        <f ca="1">AVERAGE(OFFSET($BH$3,0,0,'Données projet'!$E$11+1,1))-AVERAGE(OFFSET($H$3,0,0,'Données projet'!$E$11+1,1))</f>
        <v>415.91544298418842</v>
      </c>
      <c r="BJ88" s="59">
        <f t="shared" si="92"/>
        <v>422.79312683312583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3.8424988758635688</v>
      </c>
      <c r="BQ88" s="21">
        <f>EXP(-LN(2)/25)*BQ87+(1-EXP(-LN(2)/25))/(LN(2)/25)*Calculateur!BL88*Calculateur!BN88*VLOOKUP('Données projet'!$B$11,Paramètres!$A$1:$I$89,3,0)*0.475*44/12</f>
        <v>8.4355065750011047</v>
      </c>
      <c r="BR88" s="21">
        <f>EXP(-LN(2)/2)*BR87+(1-EXP(-LN(2)/2))/(LN(2)/2)*BL88*BO88*VLOOKUP('Données projet'!$B$11,Paramètres!$A$1:$I$89,3,0)*0.475*44/12</f>
        <v>1.9214690998080096E-7</v>
      </c>
      <c r="BS88" s="22">
        <f t="shared" si="63"/>
        <v>12.278005643011584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25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76.47120000000011</v>
      </c>
      <c r="D89" s="11">
        <f t="shared" si="86"/>
        <v>21.272121944536373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754.50985360694824</v>
      </c>
      <c r="H89" s="67">
        <f t="shared" si="56"/>
        <v>463.56961905340103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-2.2737367544323206E-13</v>
      </c>
      <c r="O89" s="13">
        <f>N89*VLOOKUP('Données projet'!$B$9,Paramètres!$A$1:$I$89,3,0)*VLOOKUP('Données projet'!$B$9,Paramètres!$A$1:$I$89,5,0)</f>
        <v>-1.6671037883497774E-13</v>
      </c>
      <c r="P89" s="13" t="e">
        <f t="shared" si="87"/>
        <v>#NUM!</v>
      </c>
      <c r="Q89" s="20" t="e">
        <f t="shared" si="54"/>
        <v>#NUM!</v>
      </c>
      <c r="R89" s="59" t="e">
        <f t="shared" si="55"/>
        <v>#NUM!</v>
      </c>
      <c r="S89" s="59">
        <f ca="1">AVERAGE(OFFSET($R$3,0,0,'Données projet'!$E$9+1,1))-AVERAGE(OFFSET($H$3,0,0,'Données projet'!$E$9+1,1))</f>
        <v>284.62668108124626</v>
      </c>
      <c r="T89" s="59">
        <f t="shared" si="88"/>
        <v>333.70864452711021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0.96576022571037989</v>
      </c>
      <c r="AA89" s="21">
        <f>EXP(-LN(2)/25)*AA88+(1-EXP(-LN(2)/25))/(LN(2)/25)*Calculateur!V89*Calculateur!X89*VLOOKUP('Données projet'!$B$9,Paramètres!$A$1:$I$89,3,0)*0.475*44/12</f>
        <v>4.0212829645331443</v>
      </c>
      <c r="AB89" s="21">
        <f>EXP(-LN(2)/2)*AB88+(1-EXP(-LN(2)/2))/(LN(2)/2)*V89*Y89*VLOOKUP('Données projet'!$B$9,Paramètres!$A$1:$I$89,3,0)*0.475*44/12</f>
        <v>9.9111284059599638E-8</v>
      </c>
      <c r="AC89" s="22">
        <f t="shared" si="57"/>
        <v>4.9870432893548076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6.6</v>
      </c>
      <c r="AI89" s="13">
        <f>IF('Données projet'!$A$62&gt;35,AI88+AH89-AQ88,IF(A89&lt;'Données projet'!$A$62,$AF$205^A89,IF(A89='Données projet'!$A$62,'Données projet'!$B$62,AI88+AH89-AQ88)))</f>
        <v>331.59999999999991</v>
      </c>
      <c r="AJ89" s="13">
        <f>AI89*VLOOKUP('Données projet'!$B$10,Paramètres!$A$1:$I$89,3,0)*VLOOKUP('Données projet'!$B$10,Paramètres!$A$1:$I$89,5,0)</f>
        <v>300.03167999999994</v>
      </c>
      <c r="AK89" s="13">
        <f t="shared" si="89"/>
        <v>71.183104779714938</v>
      </c>
      <c r="AL89" s="20">
        <f t="shared" si="58"/>
        <v>646.53241682467001</v>
      </c>
      <c r="AM89" s="59">
        <f t="shared" si="59"/>
        <v>939.86575015800327</v>
      </c>
      <c r="AN89" s="59">
        <f ca="1">AVERAGE(OFFSET($AM$3,0,0,'Données projet'!$E$10+1,1))-AVERAGE(OFFSET($H$3,0,0,'Données projet'!$E$10+1,1))</f>
        <v>318.40875902853116</v>
      </c>
      <c r="AO89" s="59">
        <f t="shared" si="90"/>
        <v>234.87694492493506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0.7945261431376176</v>
      </c>
      <c r="AV89" s="21">
        <f>EXP(-LN(2)/25)*AV88+(1-EXP(-LN(2)/25))/(LN(2)/25)*Calculateur!AQ89*Calculateur!AS89*VLOOKUP('Données projet'!$B$10,Paramètres!$A$1:$I$89,3,0)*0.475*44/12</f>
        <v>2.3884183977173254</v>
      </c>
      <c r="AW89" s="21">
        <f>EXP(-LN(2)/2)*AW88+(1-EXP(-LN(2)/2))/(LN(2)/2)*AQ89*AT89*VLOOKUP('Données projet'!$B$10,Paramètres!$A$1:$I$89,3,0)*0.475*44/12</f>
        <v>8.0292436384061992E-8</v>
      </c>
      <c r="AX89" s="21">
        <f t="shared" si="60"/>
        <v>3.1829446211473793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-1.2505552149377763E-12</v>
      </c>
      <c r="BE89" s="13">
        <f>BD89*VLOOKUP('Données projet'!$B$11,Paramètres!$A$1:$I$89,3,0)*VLOOKUP('Données projet'!$B$11,Paramètres!$A$1:$I$89,5,0)</f>
        <v>-6.9906036515021697E-13</v>
      </c>
      <c r="BF89" s="13" t="e">
        <f t="shared" si="91"/>
        <v>#NUM!</v>
      </c>
      <c r="BG89" s="20" t="e">
        <f t="shared" si="61"/>
        <v>#NUM!</v>
      </c>
      <c r="BH89" s="59" t="e">
        <f t="shared" si="62"/>
        <v>#NUM!</v>
      </c>
      <c r="BI89" s="59">
        <f ca="1">AVERAGE(OFFSET($BH$3,0,0,'Données projet'!$E$11+1,1))-AVERAGE(OFFSET($H$3,0,0,'Données projet'!$E$11+1,1))</f>
        <v>415.91544298418842</v>
      </c>
      <c r="BJ89" s="59">
        <f t="shared" si="92"/>
        <v>422.79312683312583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3.767149816600778</v>
      </c>
      <c r="BQ89" s="21">
        <f>EXP(-LN(2)/25)*BQ88+(1-EXP(-LN(2)/25))/(LN(2)/25)*Calculateur!BL89*Calculateur!BN89*VLOOKUP('Données projet'!$B$11,Paramètres!$A$1:$I$89,3,0)*0.475*44/12</f>
        <v>8.2048372041036881</v>
      </c>
      <c r="BR89" s="21">
        <f>EXP(-LN(2)/2)*BR88+(1-EXP(-LN(2)/2))/(LN(2)/2)*BL89*BO89*VLOOKUP('Données projet'!$B$11,Paramètres!$A$1:$I$89,3,0)*0.475*44/12</f>
        <v>1.3586838303146547E-7</v>
      </c>
      <c r="BS89" s="22">
        <f t="shared" si="63"/>
        <v>11.971987156572849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25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77.360400000000112</v>
      </c>
      <c r="D90" s="11">
        <f t="shared" si="86"/>
        <v>21.490533357793517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763.05983644612627</v>
      </c>
      <c r="H90" s="67">
        <f t="shared" si="56"/>
        <v>465.49870893149051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-2.2737367544323206E-13</v>
      </c>
      <c r="O90" s="13">
        <f>N90*VLOOKUP('Données projet'!$B$9,Paramètres!$A$1:$I$89,3,0)*VLOOKUP('Données projet'!$B$9,Paramètres!$A$1:$I$89,5,0)</f>
        <v>-1.6671037883497774E-13</v>
      </c>
      <c r="P90" s="13" t="e">
        <f t="shared" si="87"/>
        <v>#NUM!</v>
      </c>
      <c r="Q90" s="20" t="e">
        <f t="shared" si="54"/>
        <v>#NUM!</v>
      </c>
      <c r="R90" s="59" t="e">
        <f t="shared" si="55"/>
        <v>#NUM!</v>
      </c>
      <c r="S90" s="59">
        <f ca="1">AVERAGE(OFFSET($R$3,0,0,'Données projet'!$E$9+1,1))-AVERAGE(OFFSET($H$3,0,0,'Données projet'!$E$9+1,1))</f>
        <v>284.62668108124626</v>
      </c>
      <c r="T90" s="59">
        <f t="shared" si="88"/>
        <v>333.70864452711021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0.94682225673977261</v>
      </c>
      <c r="AA90" s="21">
        <f>EXP(-LN(2)/25)*AA89+(1-EXP(-LN(2)/25))/(LN(2)/25)*Calculateur!V90*Calculateur!X90*VLOOKUP('Données projet'!$B$9,Paramètres!$A$1:$I$89,3,0)*0.475*44/12</f>
        <v>3.9113207703979049</v>
      </c>
      <c r="AB90" s="21">
        <f>EXP(-LN(2)/2)*AB89+(1-EXP(-LN(2)/2))/(LN(2)/2)*V90*Y90*VLOOKUP('Données projet'!$B$9,Paramètres!$A$1:$I$89,3,0)*0.475*44/12</f>
        <v>7.0082261050649075E-8</v>
      </c>
      <c r="AC90" s="22">
        <f t="shared" si="57"/>
        <v>4.858143097219938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6.6</v>
      </c>
      <c r="AI90" s="13">
        <f>IF('Données projet'!$A$62&gt;35,AI89+AH90-AQ89,IF(A90&lt;'Données projet'!$A$62,$AF$205^A90,IF(A90='Données projet'!$A$62,'Données projet'!$B$62,AI89+AH90-AQ89)))</f>
        <v>338.19999999999993</v>
      </c>
      <c r="AJ90" s="13">
        <f>AI90*VLOOKUP('Données projet'!$B$10,Paramètres!$A$1:$I$89,3,0)*VLOOKUP('Données projet'!$B$10,Paramètres!$A$1:$I$89,5,0)</f>
        <v>306.00335999999993</v>
      </c>
      <c r="AK90" s="13">
        <f t="shared" si="89"/>
        <v>72.433543369450447</v>
      </c>
      <c r="AL90" s="20">
        <f t="shared" si="58"/>
        <v>659.11094003512596</v>
      </c>
      <c r="AM90" s="59">
        <f t="shared" si="59"/>
        <v>952.44427336845933</v>
      </c>
      <c r="AN90" s="59">
        <f ca="1">AVERAGE(OFFSET($AM$3,0,0,'Données projet'!$E$10+1,1))-AVERAGE(OFFSET($H$3,0,0,'Données projet'!$E$10+1,1))</f>
        <v>318.40875902853116</v>
      </c>
      <c r="AO90" s="59">
        <f t="shared" si="90"/>
        <v>234.87694492493506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0.77894597008378463</v>
      </c>
      <c r="AV90" s="21">
        <f>EXP(-LN(2)/25)*AV89+(1-EXP(-LN(2)/25))/(LN(2)/25)*Calculateur!AQ90*Calculateur!AS90*VLOOKUP('Données projet'!$B$10,Paramètres!$A$1:$I$89,3,0)*0.475*44/12</f>
        <v>2.3231069710302803</v>
      </c>
      <c r="AW90" s="21">
        <f>EXP(-LN(2)/2)*AW89+(1-EXP(-LN(2)/2))/(LN(2)/2)*AQ90*AT90*VLOOKUP('Données projet'!$B$10,Paramètres!$A$1:$I$89,3,0)*0.475*44/12</f>
        <v>5.6775326245159712E-8</v>
      </c>
      <c r="AX90" s="21">
        <f t="shared" si="60"/>
        <v>3.1020529978893912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-1.2505552149377763E-12</v>
      </c>
      <c r="BE90" s="13">
        <f>BD90*VLOOKUP('Données projet'!$B$11,Paramètres!$A$1:$I$89,3,0)*VLOOKUP('Données projet'!$B$11,Paramètres!$A$1:$I$89,5,0)</f>
        <v>-6.9906036515021697E-13</v>
      </c>
      <c r="BF90" s="13" t="e">
        <f t="shared" si="91"/>
        <v>#NUM!</v>
      </c>
      <c r="BG90" s="20" t="e">
        <f t="shared" si="61"/>
        <v>#NUM!</v>
      </c>
      <c r="BH90" s="59" t="e">
        <f t="shared" si="62"/>
        <v>#NUM!</v>
      </c>
      <c r="BI90" s="59">
        <f ca="1">AVERAGE(OFFSET($BH$3,0,0,'Données projet'!$E$11+1,1))-AVERAGE(OFFSET($H$3,0,0,'Données projet'!$E$11+1,1))</f>
        <v>415.91544298418842</v>
      </c>
      <c r="BJ90" s="59">
        <f t="shared" si="92"/>
        <v>422.79312683312583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3.6932783064317425</v>
      </c>
      <c r="BQ90" s="21">
        <f>EXP(-LN(2)/25)*BQ89+(1-EXP(-LN(2)/25))/(LN(2)/25)*Calculateur!BL90*Calculateur!BN90*VLOOKUP('Données projet'!$B$11,Paramètres!$A$1:$I$89,3,0)*0.475*44/12</f>
        <v>7.9804754992838367</v>
      </c>
      <c r="BR90" s="21">
        <f>EXP(-LN(2)/2)*BR89+(1-EXP(-LN(2)/2))/(LN(2)/2)*BL90*BO90*VLOOKUP('Données projet'!$B$11,Paramètres!$A$1:$I$89,3,0)*0.475*44/12</f>
        <v>9.6073454990400482E-8</v>
      </c>
      <c r="BS90" s="22">
        <f t="shared" si="63"/>
        <v>11.673753901789034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25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78.249600000000115</v>
      </c>
      <c r="D91" s="11">
        <f t="shared" si="86"/>
        <v>21.70865274023982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771.60756501237847</v>
      </c>
      <c r="H91" s="67">
        <f t="shared" si="56"/>
        <v>467.42729018925121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-2.2737367544323206E-13</v>
      </c>
      <c r="O91" s="13">
        <f>N91*VLOOKUP('Données projet'!$B$9,Paramètres!$A$1:$I$89,3,0)*VLOOKUP('Données projet'!$B$9,Paramètres!$A$1:$I$89,5,0)</f>
        <v>-1.6671037883497774E-13</v>
      </c>
      <c r="P91" s="13" t="e">
        <f t="shared" si="87"/>
        <v>#NUM!</v>
      </c>
      <c r="Q91" s="20" t="e">
        <f t="shared" si="54"/>
        <v>#NUM!</v>
      </c>
      <c r="R91" s="59" t="e">
        <f t="shared" si="55"/>
        <v>#NUM!</v>
      </c>
      <c r="S91" s="59">
        <f ca="1">AVERAGE(OFFSET($R$3,0,0,'Données projet'!$E$9+1,1))-AVERAGE(OFFSET($H$3,0,0,'Données projet'!$E$9+1,1))</f>
        <v>284.62668108124626</v>
      </c>
      <c r="T91" s="59">
        <f t="shared" si="88"/>
        <v>333.70864452711021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0.92825564978965847</v>
      </c>
      <c r="AA91" s="21">
        <f>EXP(-LN(2)/25)*AA90+(1-EXP(-LN(2)/25))/(LN(2)/25)*Calculateur!V91*Calculateur!X91*VLOOKUP('Données projet'!$B$9,Paramètres!$A$1:$I$89,3,0)*0.475*44/12</f>
        <v>3.8043654982439543</v>
      </c>
      <c r="AB91" s="21">
        <f>EXP(-LN(2)/2)*AB90+(1-EXP(-LN(2)/2))/(LN(2)/2)*V91*Y91*VLOOKUP('Données projet'!$B$9,Paramètres!$A$1:$I$89,3,0)*0.475*44/12</f>
        <v>4.9555642029799819E-8</v>
      </c>
      <c r="AC91" s="22">
        <f t="shared" si="57"/>
        <v>4.7326211975892551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6.6</v>
      </c>
      <c r="AI91" s="13">
        <f>IF('Données projet'!$A$62&gt;35,AI90+AH91-AQ90,IF(A91&lt;'Données projet'!$A$62,$AF$205^A91,IF(A91='Données projet'!$A$62,'Données projet'!$B$62,AI90+AH91-AQ90)))</f>
        <v>344.79999999999995</v>
      </c>
      <c r="AJ91" s="13">
        <f>AI91*VLOOKUP('Données projet'!$B$10,Paramètres!$A$1:$I$89,3,0)*VLOOKUP('Données projet'!$B$10,Paramètres!$A$1:$I$89,5,0)</f>
        <v>311.97503999999992</v>
      </c>
      <c r="AK91" s="13">
        <f t="shared" si="89"/>
        <v>73.681144552074599</v>
      </c>
      <c r="AL91" s="20">
        <f t="shared" si="58"/>
        <v>671.68452142819649</v>
      </c>
      <c r="AM91" s="59">
        <f t="shared" si="59"/>
        <v>965.01785476152986</v>
      </c>
      <c r="AN91" s="59">
        <f ca="1">AVERAGE(OFFSET($AM$3,0,0,'Données projet'!$E$10+1,1))-AVERAGE(OFFSET($H$3,0,0,'Données projet'!$E$10+1,1))</f>
        <v>318.40875902853116</v>
      </c>
      <c r="AO91" s="59">
        <f t="shared" si="90"/>
        <v>234.87694492493506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0.76367131472057015</v>
      </c>
      <c r="AV91" s="21">
        <f>EXP(-LN(2)/25)*AV90+(1-EXP(-LN(2)/25))/(LN(2)/25)*Calculateur!AQ91*Calculateur!AS91*VLOOKUP('Données projet'!$B$10,Paramètres!$A$1:$I$89,3,0)*0.475*44/12</f>
        <v>2.2595814887405714</v>
      </c>
      <c r="AW91" s="21">
        <f>EXP(-LN(2)/2)*AW90+(1-EXP(-LN(2)/2))/(LN(2)/2)*AQ91*AT91*VLOOKUP('Données projet'!$B$10,Paramètres!$A$1:$I$89,3,0)*0.475*44/12</f>
        <v>4.0146218192031003E-8</v>
      </c>
      <c r="AX91" s="21">
        <f t="shared" si="60"/>
        <v>3.0232528436073598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-1.2505552149377763E-12</v>
      </c>
      <c r="BE91" s="13">
        <f>BD91*VLOOKUP('Données projet'!$B$11,Paramètres!$A$1:$I$89,3,0)*VLOOKUP('Données projet'!$B$11,Paramètres!$A$1:$I$89,5,0)</f>
        <v>-6.9906036515021697E-13</v>
      </c>
      <c r="BF91" s="13" t="e">
        <f t="shared" si="91"/>
        <v>#NUM!</v>
      </c>
      <c r="BG91" s="20" t="e">
        <f t="shared" si="61"/>
        <v>#NUM!</v>
      </c>
      <c r="BH91" s="59" t="e">
        <f t="shared" si="62"/>
        <v>#NUM!</v>
      </c>
      <c r="BI91" s="59">
        <f ca="1">AVERAGE(OFFSET($BH$3,0,0,'Données projet'!$E$11+1,1))-AVERAGE(OFFSET($H$3,0,0,'Données projet'!$E$11+1,1))</f>
        <v>415.91544298418842</v>
      </c>
      <c r="BJ91" s="59">
        <f t="shared" si="92"/>
        <v>422.79312683312583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3.6208553715199496</v>
      </c>
      <c r="BQ91" s="21">
        <f>EXP(-LN(2)/25)*BQ90+(1-EXP(-LN(2)/25))/(LN(2)/25)*Calculateur!BL91*Calculateur!BN91*VLOOKUP('Données projet'!$B$11,Paramètres!$A$1:$I$89,3,0)*0.475*44/12</f>
        <v>7.7622489770809535</v>
      </c>
      <c r="BR91" s="21">
        <f>EXP(-LN(2)/2)*BR90+(1-EXP(-LN(2)/2))/(LN(2)/2)*BL91*BO91*VLOOKUP('Données projet'!$B$11,Paramètres!$A$1:$I$89,3,0)*0.475*44/12</f>
        <v>6.7934191515732735E-8</v>
      </c>
      <c r="BS91" s="22">
        <f t="shared" si="63"/>
        <v>11.383104416535094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25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79.138800000000117</v>
      </c>
      <c r="D92" s="11">
        <f t="shared" si="86"/>
        <v>21.926483794395363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780.15306788656164</v>
      </c>
      <c r="H92" s="67">
        <f t="shared" si="56"/>
        <v>469.35536927523879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-2.2737367544323206E-13</v>
      </c>
      <c r="O92" s="13">
        <f>N92*VLOOKUP('Données projet'!$B$9,Paramètres!$A$1:$I$89,3,0)*VLOOKUP('Données projet'!$B$9,Paramètres!$A$1:$I$89,5,0)</f>
        <v>-1.6671037883497774E-13</v>
      </c>
      <c r="P92" s="13" t="e">
        <f t="shared" si="87"/>
        <v>#NUM!</v>
      </c>
      <c r="Q92" s="20" t="e">
        <f t="shared" si="54"/>
        <v>#NUM!</v>
      </c>
      <c r="R92" s="59" t="e">
        <f t="shared" si="55"/>
        <v>#NUM!</v>
      </c>
      <c r="S92" s="59">
        <f ca="1">AVERAGE(OFFSET($R$3,0,0,'Données projet'!$E$9+1,1))-AVERAGE(OFFSET($H$3,0,0,'Données projet'!$E$9+1,1))</f>
        <v>284.62668108124626</v>
      </c>
      <c r="T92" s="59">
        <f t="shared" si="88"/>
        <v>333.70864452711021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0.91005312267732397</v>
      </c>
      <c r="AA92" s="21">
        <f>EXP(-LN(2)/25)*AA91+(1-EXP(-LN(2)/25))/(LN(2)/25)*Calculateur!V92*Calculateur!X92*VLOOKUP('Données projet'!$B$9,Paramètres!$A$1:$I$89,3,0)*0.475*44/12</f>
        <v>3.700334923631587</v>
      </c>
      <c r="AB92" s="21">
        <f>EXP(-LN(2)/2)*AB91+(1-EXP(-LN(2)/2))/(LN(2)/2)*V92*Y92*VLOOKUP('Données projet'!$B$9,Paramètres!$A$1:$I$89,3,0)*0.475*44/12</f>
        <v>3.5041130525324538E-8</v>
      </c>
      <c r="AC92" s="22">
        <f t="shared" si="57"/>
        <v>4.6103880813500417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6.6</v>
      </c>
      <c r="AI92" s="13">
        <f>IF('Données projet'!$A$62&gt;35,AI91+AH92-AQ91,IF(A92&lt;'Données projet'!$A$62,$AF$205^A92,IF(A92='Données projet'!$A$62,'Données projet'!$B$62,AI91+AH92-AQ91)))</f>
        <v>351.4</v>
      </c>
      <c r="AJ92" s="13">
        <f>AI92*VLOOKUP('Données projet'!$B$10,Paramètres!$A$1:$I$89,3,0)*VLOOKUP('Données projet'!$B$10,Paramètres!$A$1:$I$89,5,0)</f>
        <v>317.94671999999997</v>
      </c>
      <c r="AK92" s="13">
        <f t="shared" si="89"/>
        <v>74.925968901822259</v>
      </c>
      <c r="AL92" s="20">
        <f t="shared" si="58"/>
        <v>684.253266504007</v>
      </c>
      <c r="AM92" s="59">
        <f t="shared" si="59"/>
        <v>977.58659983734037</v>
      </c>
      <c r="AN92" s="59">
        <f ca="1">AVERAGE(OFFSET($AM$3,0,0,'Données projet'!$E$10+1,1))-AVERAGE(OFFSET($H$3,0,0,'Données projet'!$E$10+1,1))</f>
        <v>318.40875902853116</v>
      </c>
      <c r="AO92" s="59">
        <f t="shared" si="90"/>
        <v>234.87694492493506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0.74869618603240851</v>
      </c>
      <c r="AV92" s="21">
        <f>EXP(-LN(2)/25)*AV91+(1-EXP(-LN(2)/25))/(LN(2)/25)*Calculateur!AQ92*Calculateur!AS92*VLOOKUP('Données projet'!$B$10,Paramètres!$A$1:$I$89,3,0)*0.475*44/12</f>
        <v>2.1977931141047344</v>
      </c>
      <c r="AW92" s="21">
        <f>EXP(-LN(2)/2)*AW91+(1-EXP(-LN(2)/2))/(LN(2)/2)*AQ92*AT92*VLOOKUP('Données projet'!$B$10,Paramètres!$A$1:$I$89,3,0)*0.475*44/12</f>
        <v>2.8387663122579863E-8</v>
      </c>
      <c r="AX92" s="21">
        <f t="shared" si="60"/>
        <v>2.9464893285248062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-1.2505552149377763E-12</v>
      </c>
      <c r="BE92" s="13">
        <f>BD92*VLOOKUP('Données projet'!$B$11,Paramètres!$A$1:$I$89,3,0)*VLOOKUP('Données projet'!$B$11,Paramètres!$A$1:$I$89,5,0)</f>
        <v>-6.9906036515021697E-13</v>
      </c>
      <c r="BF92" s="13" t="e">
        <f t="shared" si="91"/>
        <v>#NUM!</v>
      </c>
      <c r="BG92" s="20" t="e">
        <f t="shared" si="61"/>
        <v>#NUM!</v>
      </c>
      <c r="BH92" s="59" t="e">
        <f t="shared" si="62"/>
        <v>#NUM!</v>
      </c>
      <c r="BI92" s="59">
        <f ca="1">AVERAGE(OFFSET($BH$3,0,0,'Données projet'!$E$11+1,1))-AVERAGE(OFFSET($H$3,0,0,'Données projet'!$E$11+1,1))</f>
        <v>415.91544298418842</v>
      </c>
      <c r="BJ92" s="59">
        <f t="shared" si="92"/>
        <v>422.79312683312583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3.5498526061881486</v>
      </c>
      <c r="BQ92" s="21">
        <f>EXP(-LN(2)/25)*BQ91+(1-EXP(-LN(2)/25))/(LN(2)/25)*Calculateur!BL92*Calculateur!BN92*VLOOKUP('Données projet'!$B$11,Paramètres!$A$1:$I$89,3,0)*0.475*44/12</f>
        <v>7.549989870603742</v>
      </c>
      <c r="BR92" s="21">
        <f>EXP(-LN(2)/2)*BR91+(1-EXP(-LN(2)/2))/(LN(2)/2)*BL92*BO92*VLOOKUP('Données projet'!$B$11,Paramètres!$A$1:$I$89,3,0)*0.475*44/12</f>
        <v>4.8036727495200241E-8</v>
      </c>
      <c r="BS92" s="22">
        <f t="shared" si="63"/>
        <v>11.099842524828619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25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80.028000000000119</v>
      </c>
      <c r="D93" s="11">
        <f t="shared" si="86"/>
        <v>22.144030134787187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788.69637297028794</v>
      </c>
      <c r="H93" s="67">
        <f t="shared" si="56"/>
        <v>471.2829524847545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-2.2737367544323206E-13</v>
      </c>
      <c r="O93" s="13">
        <f>N93*VLOOKUP('Données projet'!$B$9,Paramètres!$A$1:$I$89,3,0)*VLOOKUP('Données projet'!$B$9,Paramètres!$A$1:$I$89,5,0)</f>
        <v>-1.6671037883497774E-13</v>
      </c>
      <c r="P93" s="13" t="e">
        <f t="shared" si="87"/>
        <v>#NUM!</v>
      </c>
      <c r="Q93" s="20" t="e">
        <f t="shared" si="54"/>
        <v>#NUM!</v>
      </c>
      <c r="R93" s="59" t="e">
        <f t="shared" si="55"/>
        <v>#NUM!</v>
      </c>
      <c r="S93" s="59">
        <f ca="1">AVERAGE(OFFSET($R$3,0,0,'Données projet'!$E$9+1,1))-AVERAGE(OFFSET($H$3,0,0,'Données projet'!$E$9+1,1))</f>
        <v>284.62668108124626</v>
      </c>
      <c r="T93" s="59">
        <f t="shared" si="88"/>
        <v>333.70864452711021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0.8922075360192171</v>
      </c>
      <c r="AA93" s="21">
        <f>EXP(-LN(2)/25)*AA92+(1-EXP(-LN(2)/25))/(LN(2)/25)*Calculateur!V93*Calculateur!X93*VLOOKUP('Données projet'!$B$9,Paramètres!$A$1:$I$89,3,0)*0.475*44/12</f>
        <v>3.5991490705527247</v>
      </c>
      <c r="AB93" s="21">
        <f>EXP(-LN(2)/2)*AB92+(1-EXP(-LN(2)/2))/(LN(2)/2)*V93*Y93*VLOOKUP('Données projet'!$B$9,Paramètres!$A$1:$I$89,3,0)*0.475*44/12</f>
        <v>2.477782101489991E-8</v>
      </c>
      <c r="AC93" s="22">
        <f t="shared" si="57"/>
        <v>4.4913566313497624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>
        <f>VLOOKUP(A93,'Données projet'!$A$61:$I$81,2,0)</f>
        <v>358</v>
      </c>
      <c r="AG93" s="12">
        <f>VLOOKUP(A93,'Données projet'!$A$61:$I$81,9,0)</f>
        <v>6.6</v>
      </c>
      <c r="AH93" s="12">
        <f t="array" ref="AH93">INDEX(AG:AG,MIN(IF(ISNUMBER(AG93:AG289),ROW(AG93:AG289),"")))</f>
        <v>6.6</v>
      </c>
      <c r="AI93" s="13">
        <f>IF('Données projet'!$A$62&gt;35,AI92+AH93-AQ92,IF(A93&lt;'Données projet'!$A$62,$AF$205^A93,IF(A93='Données projet'!$A$62,'Données projet'!$B$62,AI92+AH93-AQ92)))</f>
        <v>358</v>
      </c>
      <c r="AJ93" s="13">
        <f>AI93*VLOOKUP('Données projet'!$B$10,Paramètres!$A$1:$I$89,3,0)*VLOOKUP('Données projet'!$B$10,Paramètres!$A$1:$I$89,5,0)</f>
        <v>323.91839999999996</v>
      </c>
      <c r="AK93" s="13">
        <f t="shared" si="89"/>
        <v>76.168074587293091</v>
      </c>
      <c r="AL93" s="20">
        <f t="shared" si="58"/>
        <v>696.81727657286876</v>
      </c>
      <c r="AM93" s="59">
        <f t="shared" si="59"/>
        <v>990.15060990620213</v>
      </c>
      <c r="AN93" s="59">
        <f ca="1">AVERAGE(OFFSET($AM$3,0,0,'Données projet'!$E$10+1,1))-AVERAGE(OFFSET($H$3,0,0,'Données projet'!$E$10+1,1))</f>
        <v>318.40875902853116</v>
      </c>
      <c r="AO93" s="59">
        <f t="shared" si="90"/>
        <v>234.87694492493506</v>
      </c>
      <c r="AP93" s="15">
        <f>IF(ISNA(VLOOKUP(A93,'Données projet'!$A$61:$I$81,3,0)),0,VLOOKUP(A93,'Données projet'!$A$61:$I$81,3,0))</f>
        <v>8</v>
      </c>
      <c r="AQ93" s="15">
        <f>IF(ISNA(VLOOKUP(A93,'Données projet'!$A$61:$I$81,4,0)),0,VLOOKUP(A93,'Données projet'!$A$61:$I$81,4,0))</f>
        <v>56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0.73401471048389511</v>
      </c>
      <c r="AV93" s="21">
        <f>EXP(-LN(2)/25)*AV92+(1-EXP(-LN(2)/25))/(LN(2)/25)*Calculateur!AQ93*Calculateur!AS93*VLOOKUP('Données projet'!$B$10,Paramètres!$A$1:$I$89,3,0)*0.475*44/12</f>
        <v>2.1376943458226236</v>
      </c>
      <c r="AW93" s="21">
        <f>EXP(-LN(2)/2)*AW92+(1-EXP(-LN(2)/2))/(LN(2)/2)*AQ93*AT93*VLOOKUP('Données projet'!$B$10,Paramètres!$A$1:$I$89,3,0)*0.475*44/12</f>
        <v>2.0073109096015505E-8</v>
      </c>
      <c r="AX93" s="21">
        <f t="shared" si="60"/>
        <v>2.8717090763796276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-1.2505552149377763E-12</v>
      </c>
      <c r="BE93" s="13">
        <f>BD93*VLOOKUP('Données projet'!$B$11,Paramètres!$A$1:$I$89,3,0)*VLOOKUP('Données projet'!$B$11,Paramètres!$A$1:$I$89,5,0)</f>
        <v>-6.9906036515021697E-13</v>
      </c>
      <c r="BF93" s="13" t="e">
        <f t="shared" si="91"/>
        <v>#NUM!</v>
      </c>
      <c r="BG93" s="20" t="e">
        <f t="shared" si="61"/>
        <v>#NUM!</v>
      </c>
      <c r="BH93" s="59" t="e">
        <f t="shared" si="62"/>
        <v>#NUM!</v>
      </c>
      <c r="BI93" s="59">
        <f ca="1">AVERAGE(OFFSET($BH$3,0,0,'Données projet'!$E$11+1,1))-AVERAGE(OFFSET($H$3,0,0,'Données projet'!$E$11+1,1))</f>
        <v>415.91544298418842</v>
      </c>
      <c r="BJ93" s="59">
        <f t="shared" si="92"/>
        <v>422.79312683312583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3.4802421617770936</v>
      </c>
      <c r="BQ93" s="21">
        <f>EXP(-LN(2)/25)*BQ92+(1-EXP(-LN(2)/25))/(LN(2)/25)*Calculateur!BL93*Calculateur!BN93*VLOOKUP('Données projet'!$B$11,Paramètres!$A$1:$I$89,3,0)*0.475*44/12</f>
        <v>7.343535000555371</v>
      </c>
      <c r="BR93" s="21">
        <f>EXP(-LN(2)/2)*BR92+(1-EXP(-LN(2)/2))/(LN(2)/2)*BL93*BO93*VLOOKUP('Données projet'!$B$11,Paramètres!$A$1:$I$89,3,0)*0.475*44/12</f>
        <v>3.3967095757866367E-8</v>
      </c>
      <c r="BS93" s="22">
        <f t="shared" si="63"/>
        <v>10.823777196299561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25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80.917200000000122</v>
      </c>
      <c r="D94" s="11">
        <f t="shared" si="86"/>
        <v>22.361295290994477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797.23750750943202</v>
      </c>
      <c r="H94" s="67">
        <f t="shared" si="56"/>
        <v>473.21004596514888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-2.2737367544323206E-13</v>
      </c>
      <c r="O94" s="13">
        <f>N94*VLOOKUP('Données projet'!$B$9,Paramètres!$A$1:$I$89,3,0)*VLOOKUP('Données projet'!$B$9,Paramètres!$A$1:$I$89,5,0)</f>
        <v>-1.6671037883497774E-13</v>
      </c>
      <c r="P94" s="13" t="e">
        <f t="shared" si="87"/>
        <v>#NUM!</v>
      </c>
      <c r="Q94" s="20" t="e">
        <f t="shared" si="54"/>
        <v>#NUM!</v>
      </c>
      <c r="R94" s="59" t="e">
        <f t="shared" si="55"/>
        <v>#NUM!</v>
      </c>
      <c r="S94" s="59">
        <f ca="1">AVERAGE(OFFSET($R$3,0,0,'Données projet'!$E$9+1,1))-AVERAGE(OFFSET($H$3,0,0,'Données projet'!$E$9+1,1))</f>
        <v>284.62668108124626</v>
      </c>
      <c r="T94" s="59">
        <f t="shared" si="88"/>
        <v>333.70864452711021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0.8747118904307426</v>
      </c>
      <c r="AA94" s="21">
        <f>EXP(-LN(2)/25)*AA93+(1-EXP(-LN(2)/25))/(LN(2)/25)*Calculateur!V94*Calculateur!X94*VLOOKUP('Données projet'!$B$9,Paramètres!$A$1:$I$89,3,0)*0.475*44/12</f>
        <v>3.5007301499474366</v>
      </c>
      <c r="AB94" s="21">
        <f>EXP(-LN(2)/2)*AB93+(1-EXP(-LN(2)/2))/(LN(2)/2)*V94*Y94*VLOOKUP('Données projet'!$B$9,Paramètres!$A$1:$I$89,3,0)*0.475*44/12</f>
        <v>1.7520565262662269E-8</v>
      </c>
      <c r="AC94" s="22">
        <f t="shared" si="57"/>
        <v>4.375442057898745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5.9</v>
      </c>
      <c r="AI94" s="13">
        <f>IF('Données projet'!$A$62&gt;35,AI93+AH94-AQ93,IF(A94&lt;'Données projet'!$A$62,$AF$205^A94,IF(A94='Données projet'!$A$62,'Données projet'!$B$62,AI93+AH94-AQ93)))</f>
        <v>307.89999999999998</v>
      </c>
      <c r="AJ94" s="13">
        <f>AI94*VLOOKUP('Données projet'!$B$10,Paramètres!$A$1:$I$89,3,0)*VLOOKUP('Données projet'!$B$10,Paramètres!$A$1:$I$89,5,0)</f>
        <v>278.58791999999994</v>
      </c>
      <c r="AK94" s="13">
        <f t="shared" si="89"/>
        <v>66.668508032294213</v>
      </c>
      <c r="AL94" s="20">
        <f t="shared" si="58"/>
        <v>601.32161215624558</v>
      </c>
      <c r="AM94" s="59">
        <f t="shared" si="59"/>
        <v>894.65494548957895</v>
      </c>
      <c r="AN94" s="59">
        <f ca="1">AVERAGE(OFFSET($AM$3,0,0,'Données projet'!$E$10+1,1))-AVERAGE(OFFSET($H$3,0,0,'Données projet'!$E$10+1,1))</f>
        <v>318.40875902853116</v>
      </c>
      <c r="AO94" s="59">
        <f t="shared" si="90"/>
        <v>234.87694492493506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0.71962112971607217</v>
      </c>
      <c r="AV94" s="21">
        <f>EXP(-LN(2)/25)*AV93+(1-EXP(-LN(2)/25))/(LN(2)/25)*Calculateur!AQ94*Calculateur!AS94*VLOOKUP('Données projet'!$B$10,Paramètres!$A$1:$I$89,3,0)*0.475*44/12</f>
        <v>2.0792389815196439</v>
      </c>
      <c r="AW94" s="21">
        <f>EXP(-LN(2)/2)*AW93+(1-EXP(-LN(2)/2))/(LN(2)/2)*AQ94*AT94*VLOOKUP('Données projet'!$B$10,Paramètres!$A$1:$I$89,3,0)*0.475*44/12</f>
        <v>1.4193831561289933E-8</v>
      </c>
      <c r="AX94" s="21">
        <f t="shared" si="60"/>
        <v>2.7988601254295475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-1.2505552149377763E-12</v>
      </c>
      <c r="BE94" s="13">
        <f>BD94*VLOOKUP('Données projet'!$B$11,Paramètres!$A$1:$I$89,3,0)*VLOOKUP('Données projet'!$B$11,Paramètres!$A$1:$I$89,5,0)</f>
        <v>-6.9906036515021697E-13</v>
      </c>
      <c r="BF94" s="13" t="e">
        <f t="shared" si="91"/>
        <v>#NUM!</v>
      </c>
      <c r="BG94" s="20" t="e">
        <f t="shared" si="61"/>
        <v>#NUM!</v>
      </c>
      <c r="BH94" s="59" t="e">
        <f t="shared" si="62"/>
        <v>#NUM!</v>
      </c>
      <c r="BI94" s="59">
        <f ca="1">AVERAGE(OFFSET($BH$3,0,0,'Données projet'!$E$11+1,1))-AVERAGE(OFFSET($H$3,0,0,'Données projet'!$E$11+1,1))</f>
        <v>415.91544298418842</v>
      </c>
      <c r="BJ94" s="59">
        <f t="shared" si="92"/>
        <v>422.79312683312583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3.4119967357227603</v>
      </c>
      <c r="BQ94" s="21">
        <f>EXP(-LN(2)/25)*BQ93+(1-EXP(-LN(2)/25))/(LN(2)/25)*Calculateur!BL94*Calculateur!BN94*VLOOKUP('Données projet'!$B$11,Paramètres!$A$1:$I$89,3,0)*0.475*44/12</f>
        <v>7.1427256497854623</v>
      </c>
      <c r="BR94" s="21">
        <f>EXP(-LN(2)/2)*BR93+(1-EXP(-LN(2)/2))/(LN(2)/2)*BL94*BO94*VLOOKUP('Données projet'!$B$11,Paramètres!$A$1:$I$89,3,0)*0.475*44/12</f>
        <v>2.401836374760012E-8</v>
      </c>
      <c r="BS94" s="22">
        <f t="shared" si="63"/>
        <v>10.554722409526587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25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81.806400000000124</v>
      </c>
      <c r="D95" s="11">
        <f t="shared" si="86"/>
        <v>22.578282710556053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805.77649811657409</v>
      </c>
      <c r="H95" s="67">
        <f t="shared" si="56"/>
        <v>475.1366557208853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-2.2737367544323206E-13</v>
      </c>
      <c r="O95" s="13">
        <f>N95*VLOOKUP('Données projet'!$B$9,Paramètres!$A$1:$I$89,3,0)*VLOOKUP('Données projet'!$B$9,Paramètres!$A$1:$I$89,5,0)</f>
        <v>-1.6671037883497774E-13</v>
      </c>
      <c r="P95" s="13" t="e">
        <f t="shared" si="87"/>
        <v>#NUM!</v>
      </c>
      <c r="Q95" s="20" t="e">
        <f t="shared" si="54"/>
        <v>#NUM!</v>
      </c>
      <c r="R95" s="59" t="e">
        <f t="shared" si="55"/>
        <v>#NUM!</v>
      </c>
      <c r="S95" s="59">
        <f ca="1">AVERAGE(OFFSET($R$3,0,0,'Données projet'!$E$9+1,1))-AVERAGE(OFFSET($H$3,0,0,'Données projet'!$E$9+1,1))</f>
        <v>284.62668108124626</v>
      </c>
      <c r="T95" s="59">
        <f t="shared" si="88"/>
        <v>333.70864452711021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0.857559323780968</v>
      </c>
      <c r="AA95" s="21">
        <f>EXP(-LN(2)/25)*AA94+(1-EXP(-LN(2)/25))/(LN(2)/25)*Calculateur!V95*Calculateur!X95*VLOOKUP('Données projet'!$B$9,Paramètres!$A$1:$I$89,3,0)*0.475*44/12</f>
        <v>3.4050024999017263</v>
      </c>
      <c r="AB95" s="21">
        <f>EXP(-LN(2)/2)*AB94+(1-EXP(-LN(2)/2))/(LN(2)/2)*V95*Y95*VLOOKUP('Données projet'!$B$9,Paramètres!$A$1:$I$89,3,0)*0.475*44/12</f>
        <v>1.2388910507449955E-8</v>
      </c>
      <c r="AC95" s="22">
        <f t="shared" si="57"/>
        <v>4.2625618360716047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5.9</v>
      </c>
      <c r="AI95" s="13">
        <f>IF('Données projet'!$A$62&gt;35,AI94+AH95-AQ94,IF(A95&lt;'Données projet'!$A$62,$AF$205^A95,IF(A95='Données projet'!$A$62,'Données projet'!$B$62,AI94+AH95-AQ94)))</f>
        <v>313.79999999999995</v>
      </c>
      <c r="AJ95" s="13">
        <f>AI95*VLOOKUP('Données projet'!$B$10,Paramètres!$A$1:$I$89,3,0)*VLOOKUP('Données projet'!$B$10,Paramètres!$A$1:$I$89,5,0)</f>
        <v>283.92623999999995</v>
      </c>
      <c r="AK95" s="13">
        <f t="shared" si="89"/>
        <v>67.796062628528304</v>
      </c>
      <c r="AL95" s="20">
        <f t="shared" si="58"/>
        <v>612.58301041135337</v>
      </c>
      <c r="AM95" s="59">
        <f t="shared" si="59"/>
        <v>905.91634374468663</v>
      </c>
      <c r="AN95" s="59">
        <f ca="1">AVERAGE(OFFSET($AM$3,0,0,'Données projet'!$E$10+1,1))-AVERAGE(OFFSET($H$3,0,0,'Données projet'!$E$10+1,1))</f>
        <v>318.40875902853116</v>
      </c>
      <c r="AO95" s="59">
        <f t="shared" si="90"/>
        <v>234.87694492493506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0.70550979828788885</v>
      </c>
      <c r="AV95" s="21">
        <f>EXP(-LN(2)/25)*AV94+(1-EXP(-LN(2)/25))/(LN(2)/25)*Calculateur!AQ95*Calculateur!AS95*VLOOKUP('Données projet'!$B$10,Paramètres!$A$1:$I$89,3,0)*0.475*44/12</f>
        <v>2.0223820822275633</v>
      </c>
      <c r="AW95" s="21">
        <f>EXP(-LN(2)/2)*AW94+(1-EXP(-LN(2)/2))/(LN(2)/2)*AQ95*AT95*VLOOKUP('Données projet'!$B$10,Paramètres!$A$1:$I$89,3,0)*0.475*44/12</f>
        <v>1.0036554548007754E-8</v>
      </c>
      <c r="AX95" s="21">
        <f t="shared" si="60"/>
        <v>2.7278918905520069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-1.2505552149377763E-12</v>
      </c>
      <c r="BE95" s="13">
        <f>BD95*VLOOKUP('Données projet'!$B$11,Paramètres!$A$1:$I$89,3,0)*VLOOKUP('Données projet'!$B$11,Paramètres!$A$1:$I$89,5,0)</f>
        <v>-6.9906036515021697E-13</v>
      </c>
      <c r="BF95" s="13" t="e">
        <f t="shared" si="91"/>
        <v>#NUM!</v>
      </c>
      <c r="BG95" s="20" t="e">
        <f t="shared" si="61"/>
        <v>#NUM!</v>
      </c>
      <c r="BH95" s="59" t="e">
        <f t="shared" si="62"/>
        <v>#NUM!</v>
      </c>
      <c r="BI95" s="59">
        <f ca="1">AVERAGE(OFFSET($BH$3,0,0,'Données projet'!$E$11+1,1))-AVERAGE(OFFSET($H$3,0,0,'Données projet'!$E$11+1,1))</f>
        <v>415.91544298418842</v>
      </c>
      <c r="BJ95" s="59">
        <f t="shared" si="92"/>
        <v>422.79312683312583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3.3450895608477529</v>
      </c>
      <c r="BQ95" s="21">
        <f>EXP(-LN(2)/25)*BQ94+(1-EXP(-LN(2)/25))/(LN(2)/25)*Calculateur!BL95*Calculateur!BN95*VLOOKUP('Données projet'!$B$11,Paramètres!$A$1:$I$89,3,0)*0.475*44/12</f>
        <v>6.9474074412724622</v>
      </c>
      <c r="BR95" s="21">
        <f>EXP(-LN(2)/2)*BR94+(1-EXP(-LN(2)/2))/(LN(2)/2)*BL95*BO95*VLOOKUP('Données projet'!$B$11,Paramètres!$A$1:$I$89,3,0)*0.475*44/12</f>
        <v>1.6983547878933184E-8</v>
      </c>
      <c r="BS95" s="22">
        <f t="shared" si="63"/>
        <v>10.292497019103761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25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82.695600000000127</v>
      </c>
      <c r="D96" s="11">
        <f t="shared" si="86"/>
        <v>22.794995761747877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814.31337079244076</v>
      </c>
      <c r="H96" s="67">
        <f t="shared" si="56"/>
        <v>477.06278761837774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-2.2737367544323206E-13</v>
      </c>
      <c r="O96" s="13">
        <f>N96*VLOOKUP('Données projet'!$B$9,Paramètres!$A$1:$I$89,3,0)*VLOOKUP('Données projet'!$B$9,Paramètres!$A$1:$I$89,5,0)</f>
        <v>-1.6671037883497774E-13</v>
      </c>
      <c r="P96" s="13" t="e">
        <f t="shared" si="87"/>
        <v>#NUM!</v>
      </c>
      <c r="Q96" s="20" t="e">
        <f t="shared" si="54"/>
        <v>#NUM!</v>
      </c>
      <c r="R96" s="59" t="e">
        <f t="shared" si="55"/>
        <v>#NUM!</v>
      </c>
      <c r="S96" s="59">
        <f ca="1">AVERAGE(OFFSET($R$3,0,0,'Données projet'!$E$9+1,1))-AVERAGE(OFFSET($H$3,0,0,'Données projet'!$E$9+1,1))</f>
        <v>284.62668108124626</v>
      </c>
      <c r="T96" s="59">
        <f t="shared" si="88"/>
        <v>333.70864452711021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0.84074310850116285</v>
      </c>
      <c r="AA96" s="21">
        <f>EXP(-LN(2)/25)*AA95+(1-EXP(-LN(2)/25))/(LN(2)/25)*Calculateur!V96*Calculateur!X96*VLOOKUP('Données projet'!$B$9,Paramètres!$A$1:$I$89,3,0)*0.475*44/12</f>
        <v>3.3118925274806146</v>
      </c>
      <c r="AB96" s="21">
        <f>EXP(-LN(2)/2)*AB95+(1-EXP(-LN(2)/2))/(LN(2)/2)*V96*Y96*VLOOKUP('Données projet'!$B$9,Paramètres!$A$1:$I$89,3,0)*0.475*44/12</f>
        <v>8.7602826313311344E-9</v>
      </c>
      <c r="AC96" s="22">
        <f t="shared" si="57"/>
        <v>4.1526356447420598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5.9</v>
      </c>
      <c r="AI96" s="13">
        <f>IF('Données projet'!$A$62&gt;35,AI95+AH96-AQ95,IF(A96&lt;'Données projet'!$A$62,$AF$205^A96,IF(A96='Données projet'!$A$62,'Données projet'!$B$62,AI95+AH96-AQ95)))</f>
        <v>319.69999999999993</v>
      </c>
      <c r="AJ96" s="13">
        <f>AI96*VLOOKUP('Données projet'!$B$10,Paramètres!$A$1:$I$89,3,0)*VLOOKUP('Données projet'!$B$10,Paramètres!$A$1:$I$89,5,0)</f>
        <v>289.26455999999996</v>
      </c>
      <c r="AK96" s="13">
        <f t="shared" si="89"/>
        <v>68.921152085057912</v>
      </c>
      <c r="AL96" s="20">
        <f t="shared" si="58"/>
        <v>623.84011521480909</v>
      </c>
      <c r="AM96" s="59">
        <f t="shared" si="59"/>
        <v>917.17344854814246</v>
      </c>
      <c r="AN96" s="59">
        <f ca="1">AVERAGE(OFFSET($AM$3,0,0,'Données projet'!$E$10+1,1))-AVERAGE(OFFSET($H$3,0,0,'Données projet'!$E$10+1,1))</f>
        <v>318.40875902853116</v>
      </c>
      <c r="AO96" s="59">
        <f t="shared" si="90"/>
        <v>234.87694492493506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0.69167518146194984</v>
      </c>
      <c r="AV96" s="21">
        <f>EXP(-LN(2)/25)*AV95+(1-EXP(-LN(2)/25))/(LN(2)/25)*Calculateur!AQ96*Calculateur!AS96*VLOOKUP('Données projet'!$B$10,Paramètres!$A$1:$I$89,3,0)*0.475*44/12</f>
        <v>1.9670799378365991</v>
      </c>
      <c r="AW96" s="21">
        <f>EXP(-LN(2)/2)*AW95+(1-EXP(-LN(2)/2))/(LN(2)/2)*AQ96*AT96*VLOOKUP('Données projet'!$B$10,Paramètres!$A$1:$I$89,3,0)*0.475*44/12</f>
        <v>7.0969157806449674E-9</v>
      </c>
      <c r="AX96" s="21">
        <f t="shared" si="60"/>
        <v>2.658755126395465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-1.2505552149377763E-12</v>
      </c>
      <c r="BE96" s="13">
        <f>BD96*VLOOKUP('Données projet'!$B$11,Paramètres!$A$1:$I$89,3,0)*VLOOKUP('Données projet'!$B$11,Paramètres!$A$1:$I$89,5,0)</f>
        <v>-6.9906036515021697E-13</v>
      </c>
      <c r="BF96" s="13" t="e">
        <f t="shared" si="91"/>
        <v>#NUM!</v>
      </c>
      <c r="BG96" s="20" t="e">
        <f t="shared" si="61"/>
        <v>#NUM!</v>
      </c>
      <c r="BH96" s="59" t="e">
        <f t="shared" si="62"/>
        <v>#NUM!</v>
      </c>
      <c r="BI96" s="59">
        <f ca="1">AVERAGE(OFFSET($BH$3,0,0,'Données projet'!$E$11+1,1))-AVERAGE(OFFSET($H$3,0,0,'Données projet'!$E$11+1,1))</f>
        <v>415.91544298418842</v>
      </c>
      <c r="BJ96" s="59">
        <f t="shared" si="92"/>
        <v>422.79312683312583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3.2794943948626973</v>
      </c>
      <c r="BQ96" s="21">
        <f>EXP(-LN(2)/25)*BQ95+(1-EXP(-LN(2)/25))/(LN(2)/25)*Calculateur!BL96*Calculateur!BN96*VLOOKUP('Données projet'!$B$11,Paramètres!$A$1:$I$89,3,0)*0.475*44/12</f>
        <v>6.7574302194425879</v>
      </c>
      <c r="BR96" s="21">
        <f>EXP(-LN(2)/2)*BR95+(1-EXP(-LN(2)/2))/(LN(2)/2)*BL96*BO96*VLOOKUP('Données projet'!$B$11,Paramètres!$A$1:$I$89,3,0)*0.475*44/12</f>
        <v>1.200918187380006E-8</v>
      </c>
      <c r="BS96" s="22">
        <f t="shared" si="63"/>
        <v>10.036924626314466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25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83.584800000000129</v>
      </c>
      <c r="D97" s="11">
        <f t="shared" si="86"/>
        <v>23.011437736237649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822.84815094639691</v>
      </c>
      <c r="H97" s="67">
        <f t="shared" si="56"/>
        <v>478.98844739061411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-2.2737367544323206E-13</v>
      </c>
      <c r="O97" s="13">
        <f>N97*VLOOKUP('Données projet'!$B$9,Paramètres!$A$1:$I$89,3,0)*VLOOKUP('Données projet'!$B$9,Paramètres!$A$1:$I$89,5,0)</f>
        <v>-1.6671037883497774E-13</v>
      </c>
      <c r="P97" s="13" t="e">
        <f t="shared" si="87"/>
        <v>#NUM!</v>
      </c>
      <c r="Q97" s="20" t="e">
        <f t="shared" si="54"/>
        <v>#NUM!</v>
      </c>
      <c r="R97" s="59" t="e">
        <f t="shared" si="55"/>
        <v>#NUM!</v>
      </c>
      <c r="S97" s="59">
        <f ca="1">AVERAGE(OFFSET($R$3,0,0,'Données projet'!$E$9+1,1))-AVERAGE(OFFSET($H$3,0,0,'Données projet'!$E$9+1,1))</f>
        <v>284.62668108124626</v>
      </c>
      <c r="T97" s="59">
        <f t="shared" si="88"/>
        <v>333.70864452711021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0.82425664894611617</v>
      </c>
      <c r="AA97" s="21">
        <f>EXP(-LN(2)/25)*AA96+(1-EXP(-LN(2)/25))/(LN(2)/25)*Calculateur!V97*Calculateur!X97*VLOOKUP('Données projet'!$B$9,Paramètres!$A$1:$I$89,3,0)*0.475*44/12</f>
        <v>3.2213286521517985</v>
      </c>
      <c r="AB97" s="21">
        <f>EXP(-LN(2)/2)*AB96+(1-EXP(-LN(2)/2))/(LN(2)/2)*V97*Y97*VLOOKUP('Données projet'!$B$9,Paramètres!$A$1:$I$89,3,0)*0.475*44/12</f>
        <v>6.1944552537249774E-9</v>
      </c>
      <c r="AC97" s="22">
        <f t="shared" si="57"/>
        <v>4.0455853072923702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5.9</v>
      </c>
      <c r="AI97" s="13">
        <f>IF('Données projet'!$A$62&gt;35,AI96+AH97-AQ96,IF(A97&lt;'Données projet'!$A$62,$AF$205^A97,IF(A97='Données projet'!$A$62,'Données projet'!$B$62,AI96+AH97-AQ96)))</f>
        <v>325.59999999999991</v>
      </c>
      <c r="AJ97" s="13">
        <f>AI97*VLOOKUP('Données projet'!$B$10,Paramètres!$A$1:$I$89,3,0)*VLOOKUP('Données projet'!$B$10,Paramètres!$A$1:$I$89,5,0)</f>
        <v>294.60287999999991</v>
      </c>
      <c r="AK97" s="13">
        <f t="shared" si="89"/>
        <v>70.043827142305673</v>
      </c>
      <c r="AL97" s="20">
        <f t="shared" si="58"/>
        <v>635.09301493951546</v>
      </c>
      <c r="AM97" s="59">
        <f t="shared" si="59"/>
        <v>928.42634827284883</v>
      </c>
      <c r="AN97" s="59">
        <f ca="1">AVERAGE(OFFSET($AM$3,0,0,'Données projet'!$E$10+1,1))-AVERAGE(OFFSET($H$3,0,0,'Données projet'!$E$10+1,1))</f>
        <v>318.40875902853116</v>
      </c>
      <c r="AO97" s="59">
        <f t="shared" si="90"/>
        <v>234.87694492493506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0.67811185303368449</v>
      </c>
      <c r="AV97" s="21">
        <f>EXP(-LN(2)/25)*AV96+(1-EXP(-LN(2)/25))/(LN(2)/25)*Calculateur!AQ97*Calculateur!AS97*VLOOKUP('Données projet'!$B$10,Paramètres!$A$1:$I$89,3,0)*0.475*44/12</f>
        <v>1.9132900334922192</v>
      </c>
      <c r="AW97" s="21">
        <f>EXP(-LN(2)/2)*AW96+(1-EXP(-LN(2)/2))/(LN(2)/2)*AQ97*AT97*VLOOKUP('Données projet'!$B$10,Paramètres!$A$1:$I$89,3,0)*0.475*44/12</f>
        <v>5.018277274003877E-9</v>
      </c>
      <c r="AX97" s="21">
        <f t="shared" si="60"/>
        <v>2.591401891544181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-1.2505552149377763E-12</v>
      </c>
      <c r="BE97" s="13">
        <f>BD97*VLOOKUP('Données projet'!$B$11,Paramètres!$A$1:$I$89,3,0)*VLOOKUP('Données projet'!$B$11,Paramètres!$A$1:$I$89,5,0)</f>
        <v>-6.9906036515021697E-13</v>
      </c>
      <c r="BF97" s="13" t="e">
        <f t="shared" si="91"/>
        <v>#NUM!</v>
      </c>
      <c r="BG97" s="20" t="e">
        <f t="shared" si="61"/>
        <v>#NUM!</v>
      </c>
      <c r="BH97" s="59" t="e">
        <f t="shared" si="62"/>
        <v>#NUM!</v>
      </c>
      <c r="BI97" s="59">
        <f ca="1">AVERAGE(OFFSET($BH$3,0,0,'Données projet'!$E$11+1,1))-AVERAGE(OFFSET($H$3,0,0,'Données projet'!$E$11+1,1))</f>
        <v>415.91544298418842</v>
      </c>
      <c r="BJ97" s="59">
        <f t="shared" si="92"/>
        <v>422.79312683312583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3.2151855100735083</v>
      </c>
      <c r="BQ97" s="21">
        <f>EXP(-LN(2)/25)*BQ96+(1-EXP(-LN(2)/25))/(LN(2)/25)*Calculateur!BL97*Calculateur!BN97*VLOOKUP('Données projet'!$B$11,Paramètres!$A$1:$I$89,3,0)*0.475*44/12</f>
        <v>6.5726479347341193</v>
      </c>
      <c r="BR97" s="21">
        <f>EXP(-LN(2)/2)*BR96+(1-EXP(-LN(2)/2))/(LN(2)/2)*BL97*BO97*VLOOKUP('Données projet'!$B$11,Paramètres!$A$1:$I$89,3,0)*0.475*44/12</f>
        <v>8.4917739394665919E-9</v>
      </c>
      <c r="BS97" s="22">
        <f t="shared" si="63"/>
        <v>9.7878334532994025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25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84.474000000000132</v>
      </c>
      <c r="D98" s="11">
        <f t="shared" si="86"/>
        <v>23.227611851623202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831.38086341603992</v>
      </c>
      <c r="H98" s="67">
        <f t="shared" si="56"/>
        <v>480.91364064157727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-2.2737367544323206E-13</v>
      </c>
      <c r="O98" s="13">
        <f>N98*VLOOKUP('Données projet'!$B$9,Paramètres!$A$1:$I$89,3,0)*VLOOKUP('Données projet'!$B$9,Paramètres!$A$1:$I$89,5,0)</f>
        <v>-1.6671037883497774E-13</v>
      </c>
      <c r="P98" s="13" t="e">
        <f t="shared" si="87"/>
        <v>#NUM!</v>
      </c>
      <c r="Q98" s="20" t="e">
        <f t="shared" si="54"/>
        <v>#NUM!</v>
      </c>
      <c r="R98" s="59" t="e">
        <f t="shared" si="55"/>
        <v>#NUM!</v>
      </c>
      <c r="S98" s="59">
        <f ca="1">AVERAGE(OFFSET($R$3,0,0,'Données projet'!$E$9+1,1))-AVERAGE(OFFSET($H$3,0,0,'Données projet'!$E$9+1,1))</f>
        <v>284.62668108124626</v>
      </c>
      <c r="T98" s="59">
        <f t="shared" si="88"/>
        <v>333.70864452711021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0.80809347880719651</v>
      </c>
      <c r="AA98" s="21">
        <f>EXP(-LN(2)/25)*AA97+(1-EXP(-LN(2)/25))/(LN(2)/25)*Calculateur!V98*Calculateur!X98*VLOOKUP('Données projet'!$B$9,Paramètres!$A$1:$I$89,3,0)*0.475*44/12</f>
        <v>3.133241250756396</v>
      </c>
      <c r="AB98" s="21">
        <f>EXP(-LN(2)/2)*AB97+(1-EXP(-LN(2)/2))/(LN(2)/2)*V98*Y98*VLOOKUP('Données projet'!$B$9,Paramètres!$A$1:$I$89,3,0)*0.475*44/12</f>
        <v>4.3801413156655672E-9</v>
      </c>
      <c r="AC98" s="22">
        <f t="shared" si="57"/>
        <v>3.9413347339437337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5.9</v>
      </c>
      <c r="AI98" s="13">
        <f>IF('Données projet'!$A$62&gt;35,AI97+AH98-AQ97,IF(A98&lt;'Données projet'!$A$62,$AF$205^A98,IF(A98='Données projet'!$A$62,'Données projet'!$B$62,AI97+AH98-AQ97)))</f>
        <v>331.49999999999989</v>
      </c>
      <c r="AJ98" s="13">
        <f>AI98*VLOOKUP('Données projet'!$B$10,Paramètres!$A$1:$I$89,3,0)*VLOOKUP('Données projet'!$B$10,Paramètres!$A$1:$I$89,5,0)</f>
        <v>299.94119999999987</v>
      </c>
      <c r="AK98" s="13">
        <f t="shared" si="89"/>
        <v>71.164136596531506</v>
      </c>
      <c r="AL98" s="20">
        <f t="shared" si="58"/>
        <v>646.3417945722922</v>
      </c>
      <c r="AM98" s="59">
        <f t="shared" si="59"/>
        <v>939.67512790562546</v>
      </c>
      <c r="AN98" s="59">
        <f ca="1">AVERAGE(OFFSET($AM$3,0,0,'Données projet'!$E$10+1,1))-AVERAGE(OFFSET($H$3,0,0,'Données projet'!$E$10+1,1))</f>
        <v>318.40875902853116</v>
      </c>
      <c r="AO98" s="59">
        <f t="shared" si="90"/>
        <v>234.87694492493506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0.66481449320308394</v>
      </c>
      <c r="AV98" s="21">
        <f>EXP(-LN(2)/25)*AV97+(1-EXP(-LN(2)/25))/(LN(2)/25)*Calculateur!AQ98*Calculateur!AS98*VLOOKUP('Données projet'!$B$10,Paramètres!$A$1:$I$89,3,0)*0.475*44/12</f>
        <v>1.8609710169108244</v>
      </c>
      <c r="AW98" s="21">
        <f>EXP(-LN(2)/2)*AW97+(1-EXP(-LN(2)/2))/(LN(2)/2)*AQ98*AT98*VLOOKUP('Données projet'!$B$10,Paramètres!$A$1:$I$89,3,0)*0.475*44/12</f>
        <v>3.5484578903224837E-9</v>
      </c>
      <c r="AX98" s="21">
        <f t="shared" si="60"/>
        <v>2.5257855136623664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-1.2505552149377763E-12</v>
      </c>
      <c r="BE98" s="13">
        <f>BD98*VLOOKUP('Données projet'!$B$11,Paramètres!$A$1:$I$89,3,0)*VLOOKUP('Données projet'!$B$11,Paramètres!$A$1:$I$89,5,0)</f>
        <v>-6.9906036515021697E-13</v>
      </c>
      <c r="BF98" s="13" t="e">
        <f t="shared" si="91"/>
        <v>#NUM!</v>
      </c>
      <c r="BG98" s="20" t="e">
        <f t="shared" si="61"/>
        <v>#NUM!</v>
      </c>
      <c r="BH98" s="59" t="e">
        <f t="shared" si="62"/>
        <v>#NUM!</v>
      </c>
      <c r="BI98" s="59">
        <f ca="1">AVERAGE(OFFSET($BH$3,0,0,'Données projet'!$E$11+1,1))-AVERAGE(OFFSET($H$3,0,0,'Données projet'!$E$11+1,1))</f>
        <v>415.91544298418842</v>
      </c>
      <c r="BJ98" s="59">
        <f t="shared" si="92"/>
        <v>422.79312683312583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3.1521376832904884</v>
      </c>
      <c r="BQ98" s="21">
        <f>EXP(-LN(2)/25)*BQ97+(1-EXP(-LN(2)/25))/(LN(2)/25)*Calculateur!BL98*Calculateur!BN98*VLOOKUP('Données projet'!$B$11,Paramètres!$A$1:$I$89,3,0)*0.475*44/12</f>
        <v>6.3929185313182817</v>
      </c>
      <c r="BR98" s="21">
        <f>EXP(-LN(2)/2)*BR97+(1-EXP(-LN(2)/2))/(LN(2)/2)*BL98*BO98*VLOOKUP('Données projet'!$B$11,Paramètres!$A$1:$I$89,3,0)*0.475*44/12</f>
        <v>6.0045909369000301E-9</v>
      </c>
      <c r="BS98" s="22">
        <f t="shared" si="63"/>
        <v>9.5450562206133611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25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85.363200000000134</v>
      </c>
      <c r="D99" s="11">
        <f t="shared" si="86"/>
        <v>23.443521253861071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839.91153248594617</v>
      </c>
      <c r="H99" s="67">
        <f t="shared" si="56"/>
        <v>482.83837285047491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-2.2737367544323206E-13</v>
      </c>
      <c r="O99" s="13">
        <f>N99*VLOOKUP('Données projet'!$B$9,Paramètres!$A$1:$I$89,3,0)*VLOOKUP('Données projet'!$B$9,Paramètres!$A$1:$I$89,5,0)</f>
        <v>-1.6671037883497774E-13</v>
      </c>
      <c r="P99" s="13" t="e">
        <f t="shared" si="87"/>
        <v>#NUM!</v>
      </c>
      <c r="Q99" s="20" t="e">
        <f t="shared" ref="Q99:Q130" si="107">(O99+P99)*0.475*44/12</f>
        <v>#NUM!</v>
      </c>
      <c r="R99" s="59" t="e">
        <f t="shared" si="55"/>
        <v>#NUM!</v>
      </c>
      <c r="S99" s="59">
        <f ca="1">AVERAGE(OFFSET($R$3,0,0,'Données projet'!$E$9+1,1))-AVERAGE(OFFSET($H$3,0,0,'Données projet'!$E$9+1,1))</f>
        <v>284.62668108124626</v>
      </c>
      <c r="T99" s="59">
        <f t="shared" si="88"/>
        <v>333.70864452711021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0.79224725857614076</v>
      </c>
      <c r="AA99" s="21">
        <f>EXP(-LN(2)/25)*AA98+(1-EXP(-LN(2)/25))/(LN(2)/25)*Calculateur!V99*Calculateur!X99*VLOOKUP('Données projet'!$B$9,Paramètres!$A$1:$I$89,3,0)*0.475*44/12</f>
        <v>3.0475626039844661</v>
      </c>
      <c r="AB99" s="21">
        <f>EXP(-LN(2)/2)*AB98+(1-EXP(-LN(2)/2))/(LN(2)/2)*V99*Y99*VLOOKUP('Données projet'!$B$9,Paramètres!$A$1:$I$89,3,0)*0.475*44/12</f>
        <v>3.0972276268624887E-9</v>
      </c>
      <c r="AC99" s="22">
        <f t="shared" si="57"/>
        <v>3.8398098656578346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5.9</v>
      </c>
      <c r="AI99" s="13">
        <f>IF('Données projet'!$A$62&gt;35,AI98+AH99-AQ98,IF(A99&lt;'Données projet'!$A$62,$AF$205^A99,IF(A99='Données projet'!$A$62,'Données projet'!$B$62,AI98+AH99-AQ98)))</f>
        <v>337.39999999999986</v>
      </c>
      <c r="AJ99" s="13">
        <f>AI99*VLOOKUP('Données projet'!$B$10,Paramètres!$A$1:$I$89,3,0)*VLOOKUP('Données projet'!$B$10,Paramètres!$A$1:$I$89,5,0)</f>
        <v>305.27951999999982</v>
      </c>
      <c r="AK99" s="13">
        <f t="shared" si="89"/>
        <v>72.282127407576809</v>
      </c>
      <c r="AL99" s="20">
        <f t="shared" si="58"/>
        <v>657.58653590152937</v>
      </c>
      <c r="AM99" s="59">
        <f t="shared" si="59"/>
        <v>950.91986923486274</v>
      </c>
      <c r="AN99" s="59">
        <f ca="1">AVERAGE(OFFSET($AM$3,0,0,'Données projet'!$E$10+1,1))-AVERAGE(OFFSET($H$3,0,0,'Données projet'!$E$10+1,1))</f>
        <v>318.40875902853116</v>
      </c>
      <c r="AO99" s="59">
        <f t="shared" si="90"/>
        <v>234.87694492493506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0.65177788648817281</v>
      </c>
      <c r="AV99" s="21">
        <f>EXP(-LN(2)/25)*AV98+(1-EXP(-LN(2)/25))/(LN(2)/25)*Calculateur!AQ99*Calculateur!AS99*VLOOKUP('Données projet'!$B$10,Paramètres!$A$1:$I$89,3,0)*0.475*44/12</f>
        <v>1.8100826665891854</v>
      </c>
      <c r="AW99" s="21">
        <f>EXP(-LN(2)/2)*AW98+(1-EXP(-LN(2)/2))/(LN(2)/2)*AQ99*AT99*VLOOKUP('Données projet'!$B$10,Paramètres!$A$1:$I$89,3,0)*0.475*44/12</f>
        <v>2.5091386370019385E-9</v>
      </c>
      <c r="AX99" s="21">
        <f t="shared" si="60"/>
        <v>2.461860555586497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-1.2505552149377763E-12</v>
      </c>
      <c r="BE99" s="13">
        <f>BD99*VLOOKUP('Données projet'!$B$11,Paramètres!$A$1:$I$89,3,0)*VLOOKUP('Données projet'!$B$11,Paramètres!$A$1:$I$89,5,0)</f>
        <v>-6.9906036515021697E-13</v>
      </c>
      <c r="BF99" s="13" t="e">
        <f t="shared" si="91"/>
        <v>#NUM!</v>
      </c>
      <c r="BG99" s="20" t="e">
        <f t="shared" si="61"/>
        <v>#NUM!</v>
      </c>
      <c r="BH99" s="59" t="e">
        <f t="shared" si="62"/>
        <v>#NUM!</v>
      </c>
      <c r="BI99" s="59">
        <f ca="1">AVERAGE(OFFSET($BH$3,0,0,'Données projet'!$E$11+1,1))-AVERAGE(OFFSET($H$3,0,0,'Données projet'!$E$11+1,1))</f>
        <v>415.91544298418842</v>
      </c>
      <c r="BJ99" s="59">
        <f t="shared" si="92"/>
        <v>422.79312683312583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3.0903261859353064</v>
      </c>
      <c r="BQ99" s="21">
        <f>EXP(-LN(2)/25)*BQ98+(1-EXP(-LN(2)/25))/(LN(2)/25)*Calculateur!BL99*Calculateur!BN99*VLOOKUP('Données projet'!$B$11,Paramètres!$A$1:$I$89,3,0)*0.475*44/12</f>
        <v>6.2181038378904088</v>
      </c>
      <c r="BR99" s="21">
        <f>EXP(-LN(2)/2)*BR98+(1-EXP(-LN(2)/2))/(LN(2)/2)*BL99*BO99*VLOOKUP('Données projet'!$B$11,Paramètres!$A$1:$I$89,3,0)*0.475*44/12</f>
        <v>4.2458869697332959E-9</v>
      </c>
      <c r="BS99" s="22">
        <f t="shared" si="63"/>
        <v>9.3084300280716015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25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86.252400000000137</v>
      </c>
      <c r="D100" s="11">
        <f t="shared" si="86"/>
        <v>23.659169019590845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848.44018190561474</v>
      </c>
      <c r="H100" s="67">
        <f t="shared" si="56"/>
        <v>484.76264937578765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-2.2737367544323206E-13</v>
      </c>
      <c r="O100" s="13">
        <f>N100*VLOOKUP('Données projet'!$B$9,Paramètres!$A$1:$I$89,3,0)*VLOOKUP('Données projet'!$B$9,Paramètres!$A$1:$I$89,5,0)</f>
        <v>-1.6671037883497774E-13</v>
      </c>
      <c r="P100" s="13" t="e">
        <f t="shared" si="87"/>
        <v>#NUM!</v>
      </c>
      <c r="Q100" s="20" t="e">
        <f t="shared" si="107"/>
        <v>#NUM!</v>
      </c>
      <c r="R100" s="59" t="e">
        <f t="shared" si="55"/>
        <v>#NUM!</v>
      </c>
      <c r="S100" s="59">
        <f ca="1">AVERAGE(OFFSET($R$3,0,0,'Données projet'!$E$9+1,1))-AVERAGE(OFFSET($H$3,0,0,'Données projet'!$E$9+1,1))</f>
        <v>284.62668108124626</v>
      </c>
      <c r="T100" s="59">
        <f t="shared" si="88"/>
        <v>333.70864452711021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0.77671177305857608</v>
      </c>
      <c r="AA100" s="21">
        <f>EXP(-LN(2)/25)*AA99+(1-EXP(-LN(2)/25))/(LN(2)/25)*Calculateur!V100*Calculateur!X100*VLOOKUP('Données projet'!$B$9,Paramètres!$A$1:$I$89,3,0)*0.475*44/12</f>
        <v>2.9642268443141586</v>
      </c>
      <c r="AB100" s="21">
        <f>EXP(-LN(2)/2)*AB99+(1-EXP(-LN(2)/2))/(LN(2)/2)*V100*Y100*VLOOKUP('Données projet'!$B$9,Paramètres!$A$1:$I$89,3,0)*0.475*44/12</f>
        <v>2.1900706578327836E-9</v>
      </c>
      <c r="AC100" s="22">
        <f t="shared" si="57"/>
        <v>3.7409386195628054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5.9</v>
      </c>
      <c r="AI100" s="13">
        <f>IF('Données projet'!$A$62&gt;35,AI99+AH100-AQ99,IF(A100&lt;'Données projet'!$A$62,$AF$205^A100,IF(A100='Données projet'!$A$62,'Données projet'!$B$62,AI99+AH100-AQ99)))</f>
        <v>343.29999999999984</v>
      </c>
      <c r="AJ100" s="13">
        <f>AI100*VLOOKUP('Données projet'!$B$10,Paramètres!$A$1:$I$89,3,0)*VLOOKUP('Données projet'!$B$10,Paramètres!$A$1:$I$89,5,0)</f>
        <v>310.61783999999983</v>
      </c>
      <c r="AK100" s="13">
        <f t="shared" si="89"/>
        <v>73.397844798859666</v>
      </c>
      <c r="AL100" s="20">
        <f t="shared" si="58"/>
        <v>668.82731769134693</v>
      </c>
      <c r="AM100" s="59">
        <f t="shared" si="59"/>
        <v>962.16065102468019</v>
      </c>
      <c r="AN100" s="59">
        <f ca="1">AVERAGE(OFFSET($AM$3,0,0,'Données projet'!$E$10+1,1))-AVERAGE(OFFSET($H$3,0,0,'Données projet'!$E$10+1,1))</f>
        <v>318.40875902853116</v>
      </c>
      <c r="AO100" s="59">
        <f t="shared" si="90"/>
        <v>234.87694492493506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0.6389969196793962</v>
      </c>
      <c r="AV100" s="21">
        <f>EXP(-LN(2)/25)*AV99+(1-EXP(-LN(2)/25))/(LN(2)/25)*Calculateur!AQ100*Calculateur!AS100*VLOOKUP('Données projet'!$B$10,Paramètres!$A$1:$I$89,3,0)*0.475*44/12</f>
        <v>1.7605858608831937</v>
      </c>
      <c r="AW100" s="21">
        <f>EXP(-LN(2)/2)*AW99+(1-EXP(-LN(2)/2))/(LN(2)/2)*AQ100*AT100*VLOOKUP('Données projet'!$B$10,Paramètres!$A$1:$I$89,3,0)*0.475*44/12</f>
        <v>1.7742289451612418E-9</v>
      </c>
      <c r="AX100" s="21">
        <f t="shared" si="60"/>
        <v>2.3995827823368185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-1.2505552149377763E-12</v>
      </c>
      <c r="BE100" s="13">
        <f>BD100*VLOOKUP('Données projet'!$B$11,Paramètres!$A$1:$I$89,3,0)*VLOOKUP('Données projet'!$B$11,Paramètres!$A$1:$I$89,5,0)</f>
        <v>-6.9906036515021697E-13</v>
      </c>
      <c r="BF100" s="13" t="e">
        <f t="shared" si="91"/>
        <v>#NUM!</v>
      </c>
      <c r="BG100" s="20" t="e">
        <f t="shared" si="61"/>
        <v>#NUM!</v>
      </c>
      <c r="BH100" s="59" t="e">
        <f t="shared" si="62"/>
        <v>#NUM!</v>
      </c>
      <c r="BI100" s="59">
        <f ca="1">AVERAGE(OFFSET($BH$3,0,0,'Données projet'!$E$11+1,1))-AVERAGE(OFFSET($H$3,0,0,'Données projet'!$E$11+1,1))</f>
        <v>415.91544298418842</v>
      </c>
      <c r="BJ100" s="59">
        <f t="shared" si="92"/>
        <v>422.79312683312583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3.0297267743419689</v>
      </c>
      <c r="BQ100" s="21">
        <f>EXP(-LN(2)/25)*BQ99+(1-EXP(-LN(2)/25))/(LN(2)/25)*Calculateur!BL100*Calculateur!BN100*VLOOKUP('Données projet'!$B$11,Paramètres!$A$1:$I$89,3,0)*0.475*44/12</f>
        <v>6.048069461447426</v>
      </c>
      <c r="BR100" s="21">
        <f>EXP(-LN(2)/2)*BR99+(1-EXP(-LN(2)/2))/(LN(2)/2)*BL100*BO100*VLOOKUP('Données projet'!$B$11,Paramètres!$A$1:$I$89,3,0)*0.475*44/12</f>
        <v>3.0022954684500151E-9</v>
      </c>
      <c r="BS100" s="22">
        <f t="shared" si="63"/>
        <v>9.0777962387916897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25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87.141600000000139</v>
      </c>
      <c r="D101" s="11">
        <f t="shared" si="86"/>
        <v>23.874558158360987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856.96683490664736</v>
      </c>
      <c r="H101" s="67">
        <f t="shared" si="56"/>
        <v>486.68647545914564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-2.2737367544323206E-13</v>
      </c>
      <c r="O101" s="13">
        <f>N101*VLOOKUP('Données projet'!$B$9,Paramètres!$A$1:$I$89,3,0)*VLOOKUP('Données projet'!$B$9,Paramètres!$A$1:$I$89,5,0)</f>
        <v>-1.6671037883497774E-13</v>
      </c>
      <c r="P101" s="13" t="e">
        <f t="shared" si="87"/>
        <v>#NUM!</v>
      </c>
      <c r="Q101" s="20" t="e">
        <f t="shared" si="107"/>
        <v>#NUM!</v>
      </c>
      <c r="R101" s="59" t="e">
        <f t="shared" si="55"/>
        <v>#NUM!</v>
      </c>
      <c r="S101" s="59">
        <f ca="1">AVERAGE(OFFSET($R$3,0,0,'Données projet'!$E$9+1,1))-AVERAGE(OFFSET($H$3,0,0,'Données projet'!$E$9+1,1))</f>
        <v>284.62668108124626</v>
      </c>
      <c r="T101" s="59">
        <f t="shared" si="88"/>
        <v>333.70864452711021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0.76148092893630026</v>
      </c>
      <c r="AA101" s="21">
        <f>EXP(-LN(2)/25)*AA100+(1-EXP(-LN(2)/25))/(LN(2)/25)*Calculateur!V101*Calculateur!X101*VLOOKUP('Données projet'!$B$9,Paramètres!$A$1:$I$89,3,0)*0.475*44/12</f>
        <v>2.8831699053744728</v>
      </c>
      <c r="AB101" s="21">
        <f>EXP(-LN(2)/2)*AB100+(1-EXP(-LN(2)/2))/(LN(2)/2)*V101*Y101*VLOOKUP('Données projet'!$B$9,Paramètres!$A$1:$I$89,3,0)*0.475*44/12</f>
        <v>1.5486138134312443E-9</v>
      </c>
      <c r="AC101" s="22">
        <f t="shared" si="57"/>
        <v>3.6446508358593865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5.9</v>
      </c>
      <c r="AI101" s="13">
        <f>IF('Données projet'!$A$62&gt;35,AI100+AH101-AQ100,IF(A101&lt;'Données projet'!$A$62,$AF$205^A101,IF(A101='Données projet'!$A$62,'Données projet'!$B$62,AI100+AH101-AQ100)))</f>
        <v>349.19999999999982</v>
      </c>
      <c r="AJ101" s="13">
        <f>AI101*VLOOKUP('Données projet'!$B$10,Paramètres!$A$1:$I$89,3,0)*VLOOKUP('Données projet'!$B$10,Paramètres!$A$1:$I$89,5,0)</f>
        <v>315.95615999999984</v>
      </c>
      <c r="AK101" s="13">
        <f t="shared" si="89"/>
        <v>74.511332350300975</v>
      </c>
      <c r="AL101" s="20">
        <f t="shared" si="58"/>
        <v>680.06421584344059</v>
      </c>
      <c r="AM101" s="59">
        <f t="shared" si="59"/>
        <v>973.39754917677396</v>
      </c>
      <c r="AN101" s="59">
        <f ca="1">AVERAGE(OFFSET($AM$3,0,0,'Données projet'!$E$10+1,1))-AVERAGE(OFFSET($H$3,0,0,'Données projet'!$E$10+1,1))</f>
        <v>318.40875902853116</v>
      </c>
      <c r="AO101" s="59">
        <f t="shared" si="90"/>
        <v>234.87694492493506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0.62646657983411969</v>
      </c>
      <c r="AV101" s="21">
        <f>EXP(-LN(2)/25)*AV100+(1-EXP(-LN(2)/25))/(LN(2)/25)*Calculateur!AQ101*Calculateur!AS101*VLOOKUP('Données projet'!$B$10,Paramètres!$A$1:$I$89,3,0)*0.475*44/12</f>
        <v>1.7124425479321561</v>
      </c>
      <c r="AW101" s="21">
        <f>EXP(-LN(2)/2)*AW100+(1-EXP(-LN(2)/2))/(LN(2)/2)*AQ101*AT101*VLOOKUP('Données projet'!$B$10,Paramètres!$A$1:$I$89,3,0)*0.475*44/12</f>
        <v>1.2545693185009692E-9</v>
      </c>
      <c r="AX101" s="21">
        <f t="shared" si="60"/>
        <v>2.3389091290208452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-1.2505552149377763E-12</v>
      </c>
      <c r="BE101" s="13">
        <f>BD101*VLOOKUP('Données projet'!$B$11,Paramètres!$A$1:$I$89,3,0)*VLOOKUP('Données projet'!$B$11,Paramètres!$A$1:$I$89,5,0)</f>
        <v>-6.9906036515021697E-13</v>
      </c>
      <c r="BF101" s="13" t="e">
        <f t="shared" si="91"/>
        <v>#NUM!</v>
      </c>
      <c r="BG101" s="20" t="e">
        <f t="shared" si="61"/>
        <v>#NUM!</v>
      </c>
      <c r="BH101" s="59" t="e">
        <f t="shared" si="62"/>
        <v>#NUM!</v>
      </c>
      <c r="BI101" s="59">
        <f ca="1">AVERAGE(OFFSET($BH$3,0,0,'Données projet'!$E$11+1,1))-AVERAGE(OFFSET($H$3,0,0,'Données projet'!$E$11+1,1))</f>
        <v>415.91544298418842</v>
      </c>
      <c r="BJ101" s="59">
        <f t="shared" si="92"/>
        <v>422.79312683312583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2.9703156802479853</v>
      </c>
      <c r="BQ101" s="21">
        <f>EXP(-LN(2)/25)*BQ100+(1-EXP(-LN(2)/25))/(LN(2)/25)*Calculateur!BL101*Calculateur!BN101*VLOOKUP('Données projet'!$B$11,Paramètres!$A$1:$I$89,3,0)*0.475*44/12</f>
        <v>5.8826846839699964</v>
      </c>
      <c r="BR101" s="21">
        <f>EXP(-LN(2)/2)*BR100+(1-EXP(-LN(2)/2))/(LN(2)/2)*BL101*BO101*VLOOKUP('Données projet'!$B$11,Paramètres!$A$1:$I$89,3,0)*0.475*44/12</f>
        <v>2.122943484866648E-9</v>
      </c>
      <c r="BS101" s="22">
        <f t="shared" si="63"/>
        <v>8.8530003663409254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25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88.030800000000141</v>
      </c>
      <c r="D102" s="11">
        <f t="shared" si="86"/>
        <v>24.089691614761293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865.49151421921113</v>
      </c>
      <c r="H102" s="67">
        <f t="shared" si="56"/>
        <v>488.6098562290428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-2.2737367544323206E-13</v>
      </c>
      <c r="O102" s="13">
        <f>N102*VLOOKUP('Données projet'!$B$9,Paramètres!$A$1:$I$89,3,0)*VLOOKUP('Données projet'!$B$9,Paramètres!$A$1:$I$89,5,0)</f>
        <v>-1.6671037883497774E-13</v>
      </c>
      <c r="P102" s="13" t="e">
        <f t="shared" si="87"/>
        <v>#NUM!</v>
      </c>
      <c r="Q102" s="20" t="e">
        <f t="shared" si="107"/>
        <v>#NUM!</v>
      </c>
      <c r="R102" s="59" t="e">
        <f t="shared" si="55"/>
        <v>#NUM!</v>
      </c>
      <c r="S102" s="59">
        <f ca="1">AVERAGE(OFFSET($R$3,0,0,'Données projet'!$E$9+1,1))-AVERAGE(OFFSET($H$3,0,0,'Données projet'!$E$9+1,1))</f>
        <v>284.62668108124626</v>
      </c>
      <c r="T102" s="59">
        <f t="shared" si="88"/>
        <v>333.70864452711021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0.74654875237736473</v>
      </c>
      <c r="AA102" s="21">
        <f>EXP(-LN(2)/25)*AA101+(1-EXP(-LN(2)/25))/(LN(2)/25)*Calculateur!V102*Calculateur!X102*VLOOKUP('Données projet'!$B$9,Paramètres!$A$1:$I$89,3,0)*0.475*44/12</f>
        <v>2.8043294726926922</v>
      </c>
      <c r="AB102" s="21">
        <f>EXP(-LN(2)/2)*AB101+(1-EXP(-LN(2)/2))/(LN(2)/2)*V102*Y102*VLOOKUP('Données projet'!$B$9,Paramètres!$A$1:$I$89,3,0)*0.475*44/12</f>
        <v>1.0950353289163918E-9</v>
      </c>
      <c r="AC102" s="22">
        <f t="shared" si="57"/>
        <v>3.550878226165092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5.9</v>
      </c>
      <c r="AI102" s="13">
        <f>IF('Données projet'!$A$62&gt;35,AI101+AH102-AQ101,IF(A102&lt;'Données projet'!$A$62,$AF$205^A102,IF(A102='Données projet'!$A$62,'Données projet'!$B$62,AI101+AH102-AQ101)))</f>
        <v>355.0999999999998</v>
      </c>
      <c r="AJ102" s="13">
        <f>AI102*VLOOKUP('Données projet'!$B$10,Paramètres!$A$1:$I$89,3,0)*VLOOKUP('Données projet'!$B$10,Paramètres!$A$1:$I$89,5,0)</f>
        <v>321.29447999999979</v>
      </c>
      <c r="AK102" s="13">
        <f t="shared" si="89"/>
        <v>75.6226320847924</v>
      </c>
      <c r="AL102" s="20">
        <f t="shared" si="58"/>
        <v>691.29730354767969</v>
      </c>
      <c r="AM102" s="59">
        <f t="shared" si="59"/>
        <v>984.63063688101306</v>
      </c>
      <c r="AN102" s="59">
        <f ca="1">AVERAGE(OFFSET($AM$3,0,0,'Données projet'!$E$10+1,1))-AVERAGE(OFFSET($H$3,0,0,'Données projet'!$E$10+1,1))</f>
        <v>318.40875902853116</v>
      </c>
      <c r="AO102" s="59">
        <f t="shared" si="90"/>
        <v>234.87694492493506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0.61418195231045636</v>
      </c>
      <c r="AV102" s="21">
        <f>EXP(-LN(2)/25)*AV101+(1-EXP(-LN(2)/25))/(LN(2)/25)*Calculateur!AQ102*Calculateur!AS102*VLOOKUP('Données projet'!$B$10,Paramètres!$A$1:$I$89,3,0)*0.475*44/12</f>
        <v>1.6656157164055116</v>
      </c>
      <c r="AW102" s="21">
        <f>EXP(-LN(2)/2)*AW101+(1-EXP(-LN(2)/2))/(LN(2)/2)*AQ102*AT102*VLOOKUP('Données projet'!$B$10,Paramètres!$A$1:$I$89,3,0)*0.475*44/12</f>
        <v>8.8711447258062092E-10</v>
      </c>
      <c r="AX102" s="21">
        <f t="shared" si="60"/>
        <v>2.2797976696030826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-1.2505552149377763E-12</v>
      </c>
      <c r="BE102" s="13">
        <f>BD102*VLOOKUP('Données projet'!$B$11,Paramètres!$A$1:$I$89,3,0)*VLOOKUP('Données projet'!$B$11,Paramètres!$A$1:$I$89,5,0)</f>
        <v>-6.9906036515021697E-13</v>
      </c>
      <c r="BF102" s="13" t="e">
        <f t="shared" si="91"/>
        <v>#NUM!</v>
      </c>
      <c r="BG102" s="20" t="e">
        <f t="shared" si="61"/>
        <v>#NUM!</v>
      </c>
      <c r="BH102" s="59" t="e">
        <f t="shared" si="62"/>
        <v>#NUM!</v>
      </c>
      <c r="BI102" s="59">
        <f ca="1">AVERAGE(OFFSET($BH$3,0,0,'Données projet'!$E$11+1,1))-AVERAGE(OFFSET($H$3,0,0,'Données projet'!$E$11+1,1))</f>
        <v>415.91544298418842</v>
      </c>
      <c r="BJ102" s="59">
        <f t="shared" si="92"/>
        <v>422.79312683312583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2.9120696014719956</v>
      </c>
      <c r="BQ102" s="21">
        <f>EXP(-LN(2)/25)*BQ101+(1-EXP(-LN(2)/25))/(LN(2)/25)*Calculateur!BL102*Calculateur!BN102*VLOOKUP('Données projet'!$B$11,Paramètres!$A$1:$I$89,3,0)*0.475*44/12</f>
        <v>5.7218223619298945</v>
      </c>
      <c r="BR102" s="21">
        <f>EXP(-LN(2)/2)*BR101+(1-EXP(-LN(2)/2))/(LN(2)/2)*BL102*BO102*VLOOKUP('Données projet'!$B$11,Paramètres!$A$1:$I$89,3,0)*0.475*44/12</f>
        <v>1.5011477342250075E-9</v>
      </c>
      <c r="BS102" s="22">
        <f t="shared" si="63"/>
        <v>8.6338919649030377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25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88.920000000000144</v>
      </c>
      <c r="D103" s="11">
        <f t="shared" si="86"/>
        <v>24.304572270466512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874.01424208781282</v>
      </c>
      <c r="H103" s="67">
        <f t="shared" si="56"/>
        <v>490.53279670439605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-2.2737367544323206E-13</v>
      </c>
      <c r="O103" s="13">
        <f>N103*VLOOKUP('Données projet'!$B$9,Paramètres!$A$1:$I$89,3,0)*VLOOKUP('Données projet'!$B$9,Paramètres!$A$1:$I$89,5,0)</f>
        <v>-1.6671037883497774E-13</v>
      </c>
      <c r="P103" s="13" t="e">
        <f t="shared" si="87"/>
        <v>#NUM!</v>
      </c>
      <c r="Q103" s="20" t="e">
        <f t="shared" si="107"/>
        <v>#NUM!</v>
      </c>
      <c r="R103" s="59" t="e">
        <f t="shared" si="55"/>
        <v>#NUM!</v>
      </c>
      <c r="S103" s="59">
        <f ca="1">AVERAGE(OFFSET($R$3,0,0,'Données projet'!$E$9+1,1))-AVERAGE(OFFSET($H$3,0,0,'Données projet'!$E$9+1,1))</f>
        <v>284.62668108124626</v>
      </c>
      <c r="T103" s="59">
        <f t="shared" si="88"/>
        <v>333.70864452711021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0.73190938669302152</v>
      </c>
      <c r="AA103" s="21">
        <f>EXP(-LN(2)/25)*AA102+(1-EXP(-LN(2)/25))/(LN(2)/25)*Calculateur!V103*Calculateur!X103*VLOOKUP('Données projet'!$B$9,Paramètres!$A$1:$I$89,3,0)*0.475*44/12</f>
        <v>2.727644935788633</v>
      </c>
      <c r="AB103" s="21">
        <f>EXP(-LN(2)/2)*AB102+(1-EXP(-LN(2)/2))/(LN(2)/2)*V103*Y103*VLOOKUP('Données projet'!$B$9,Paramètres!$A$1:$I$89,3,0)*0.475*44/12</f>
        <v>7.7430690671562217E-10</v>
      </c>
      <c r="AC103" s="22">
        <f t="shared" si="57"/>
        <v>3.4595543232559614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>
        <f>VLOOKUP(A103,'Données projet'!$A$61:$I$81,2,0)</f>
        <v>361</v>
      </c>
      <c r="AG103" s="12">
        <f>VLOOKUP(A103,'Données projet'!$A$61:$I$81,9,0)</f>
        <v>5.9</v>
      </c>
      <c r="AH103" s="12">
        <f t="array" ref="AH103">INDEX(AG:AG,MIN(IF(ISNUMBER(AG103:AG299),ROW(AG103:AG299),"")))</f>
        <v>5.9</v>
      </c>
      <c r="AI103" s="13">
        <f>IF('Données projet'!$A$62&gt;35,AI102+AH103-AQ102,IF(A103&lt;'Données projet'!$A$62,$AF$205^A103,IF(A103='Données projet'!$A$62,'Données projet'!$B$62,AI102+AH103-AQ102)))</f>
        <v>360.99999999999977</v>
      </c>
      <c r="AJ103" s="13">
        <f>AI103*VLOOKUP('Données projet'!$B$10,Paramètres!$A$1:$I$89,3,0)*VLOOKUP('Données projet'!$B$10,Paramètres!$A$1:$I$89,5,0)</f>
        <v>326.6327999999998</v>
      </c>
      <c r="AK103" s="13">
        <f t="shared" si="89"/>
        <v>76.731784548754774</v>
      </c>
      <c r="AL103" s="20">
        <f t="shared" si="58"/>
        <v>702.52665142241415</v>
      </c>
      <c r="AM103" s="59">
        <f t="shared" si="59"/>
        <v>995.85998475574752</v>
      </c>
      <c r="AN103" s="59">
        <f ca="1">AVERAGE(OFFSET($AM$3,0,0,'Données projet'!$E$10+1,1))-AVERAGE(OFFSET($H$3,0,0,'Données projet'!$E$10+1,1))</f>
        <v>318.40875902853116</v>
      </c>
      <c r="AO103" s="59">
        <f t="shared" si="90"/>
        <v>234.87694492493506</v>
      </c>
      <c r="AP103" s="15">
        <f>IF(ISNA(VLOOKUP(A103,'Données projet'!$A$61:$I$81,3,0)),0,VLOOKUP(A103,'Données projet'!$A$61:$I$81,3,0))</f>
        <v>9</v>
      </c>
      <c r="AQ103" s="15">
        <f>IF(ISNA(VLOOKUP(A103,'Données projet'!$A$61:$I$81,4,0)),0,VLOOKUP(A103,'Données projet'!$A$61:$I$81,4,0))</f>
        <v>55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0.60213821883964913</v>
      </c>
      <c r="AV103" s="21">
        <f>EXP(-LN(2)/25)*AV102+(1-EXP(-LN(2)/25))/(LN(2)/25)*Calculateur!AQ103*Calculateur!AS103*VLOOKUP('Données projet'!$B$10,Paramètres!$A$1:$I$89,3,0)*0.475*44/12</f>
        <v>1.6200693670494792</v>
      </c>
      <c r="AW103" s="21">
        <f>EXP(-LN(2)/2)*AW102+(1-EXP(-LN(2)/2))/(LN(2)/2)*AQ103*AT103*VLOOKUP('Données projet'!$B$10,Paramètres!$A$1:$I$89,3,0)*0.475*44/12</f>
        <v>6.2728465925048462E-10</v>
      </c>
      <c r="AX103" s="21">
        <f t="shared" si="60"/>
        <v>2.2222075865164128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-1.2505552149377763E-12</v>
      </c>
      <c r="BE103" s="13">
        <f>BD103*VLOOKUP('Données projet'!$B$11,Paramètres!$A$1:$I$89,3,0)*VLOOKUP('Données projet'!$B$11,Paramètres!$A$1:$I$89,5,0)</f>
        <v>-6.9906036515021697E-13</v>
      </c>
      <c r="BF103" s="13" t="e">
        <f t="shared" si="91"/>
        <v>#NUM!</v>
      </c>
      <c r="BG103" s="20" t="e">
        <f t="shared" si="61"/>
        <v>#NUM!</v>
      </c>
      <c r="BH103" s="59" t="e">
        <f t="shared" si="62"/>
        <v>#NUM!</v>
      </c>
      <c r="BI103" s="59">
        <f ca="1">AVERAGE(OFFSET($BH$3,0,0,'Données projet'!$E$11+1,1))-AVERAGE(OFFSET($H$3,0,0,'Données projet'!$E$11+1,1))</f>
        <v>415.91544298418842</v>
      </c>
      <c r="BJ103" s="59">
        <f t="shared" si="92"/>
        <v>422.79312683312583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2.8549656927742029</v>
      </c>
      <c r="BQ103" s="21">
        <f>EXP(-LN(2)/25)*BQ102+(1-EXP(-LN(2)/25))/(LN(2)/25)*Calculateur!BL103*Calculateur!BN103*VLOOKUP('Données projet'!$B$11,Paramètres!$A$1:$I$89,3,0)*0.475*44/12</f>
        <v>5.565358828545361</v>
      </c>
      <c r="BR103" s="21">
        <f>EXP(-LN(2)/2)*BR102+(1-EXP(-LN(2)/2))/(LN(2)/2)*BL103*BO103*VLOOKUP('Données projet'!$B$11,Paramètres!$A$1:$I$89,3,0)*0.475*44/12</f>
        <v>1.061471742433324E-9</v>
      </c>
      <c r="BS103" s="22">
        <f t="shared" si="63"/>
        <v>8.4203245223810352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25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89.809200000000146</v>
      </c>
      <c r="D104" s="11">
        <f t="shared" si="86"/>
        <v>24.519202946196138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882.53504028642749</v>
      </c>
      <c r="H104" s="67">
        <f t="shared" si="56"/>
        <v>492.4553017979585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-2.2737367544323206E-13</v>
      </c>
      <c r="O104" s="13">
        <f>N104*VLOOKUP('Données projet'!$B$9,Paramètres!$A$1:$I$89,3,0)*VLOOKUP('Données projet'!$B$9,Paramètres!$A$1:$I$89,5,0)</f>
        <v>-1.6671037883497774E-13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284.62668108124626</v>
      </c>
      <c r="T104" s="59">
        <f t="shared" si="88"/>
        <v>333.70864452711021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0.71755709004061685</v>
      </c>
      <c r="AA104" s="21">
        <f>EXP(-LN(2)/25)*AA103+(1-EXP(-LN(2)/25))/(LN(2)/25)*Calculateur!V104*Calculateur!X104*VLOOKUP('Données projet'!$B$9,Paramètres!$A$1:$I$89,3,0)*0.475*44/12</f>
        <v>2.6530573415788798</v>
      </c>
      <c r="AB104" s="21">
        <f>EXP(-LN(2)/2)*AB103+(1-EXP(-LN(2)/2))/(LN(2)/2)*V104*Y104*VLOOKUP('Données projet'!$B$9,Paramètres!$A$1:$I$89,3,0)*0.475*44/12</f>
        <v>5.475176644581959E-10</v>
      </c>
      <c r="AC104" s="22">
        <f t="shared" si="57"/>
        <v>3.3706144321670144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5.2</v>
      </c>
      <c r="AI104" s="13">
        <f>IF('Données projet'!$A$62&gt;35,AI103+AH104-AQ103,IF(A104&lt;'Données projet'!$A$62,$AF$205^A104,IF(A104='Données projet'!$A$62,'Données projet'!$B$62,AI103+AH104-AQ103)))</f>
        <v>311.19999999999976</v>
      </c>
      <c r="AJ104" s="13">
        <f>AI104*VLOOKUP('Données projet'!$B$10,Paramètres!$A$1:$I$89,3,0)*VLOOKUP('Données projet'!$B$10,Paramètres!$A$1:$I$89,5,0)</f>
        <v>281.57375999999977</v>
      </c>
      <c r="AK104" s="13">
        <f t="shared" si="89"/>
        <v>67.299481043334993</v>
      </c>
      <c r="AL104" s="20">
        <f t="shared" si="58"/>
        <v>607.62089481714133</v>
      </c>
      <c r="AM104" s="59">
        <f t="shared" si="59"/>
        <v>900.95422815047459</v>
      </c>
      <c r="AN104" s="59">
        <f ca="1">AVERAGE(OFFSET($AM$3,0,0,'Données projet'!$E$10+1,1))-AVERAGE(OFFSET($H$3,0,0,'Données projet'!$E$10+1,1))</f>
        <v>318.40875902853116</v>
      </c>
      <c r="AO104" s="59">
        <f t="shared" si="90"/>
        <v>234.87694492493506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0.59033065563625242</v>
      </c>
      <c r="AV104" s="21">
        <f>EXP(-LN(2)/25)*AV103+(1-EXP(-LN(2)/25))/(LN(2)/25)*Calculateur!AQ104*Calculateur!AS104*VLOOKUP('Données projet'!$B$10,Paramètres!$A$1:$I$89,3,0)*0.475*44/12</f>
        <v>1.5757684850117659</v>
      </c>
      <c r="AW104" s="21">
        <f>EXP(-LN(2)/2)*AW103+(1-EXP(-LN(2)/2))/(LN(2)/2)*AQ104*AT104*VLOOKUP('Données projet'!$B$10,Paramètres!$A$1:$I$89,3,0)*0.475*44/12</f>
        <v>4.4355723629031046E-10</v>
      </c>
      <c r="AX104" s="21">
        <f t="shared" si="60"/>
        <v>2.1660991410915758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-1.2505552149377763E-12</v>
      </c>
      <c r="BE104" s="13">
        <f>BD104*VLOOKUP('Données projet'!$B$11,Paramètres!$A$1:$I$89,3,0)*VLOOKUP('Données projet'!$B$11,Paramètres!$A$1:$I$89,5,0)</f>
        <v>-6.9906036515021697E-13</v>
      </c>
      <c r="BF104" s="13" t="e">
        <f t="shared" si="91"/>
        <v>#NUM!</v>
      </c>
      <c r="BG104" s="20" t="e">
        <f t="shared" si="61"/>
        <v>#NUM!</v>
      </c>
      <c r="BH104" s="59" t="e">
        <f t="shared" si="62"/>
        <v>#NUM!</v>
      </c>
      <c r="BI104" s="59">
        <f ca="1">AVERAGE(OFFSET($BH$3,0,0,'Données projet'!$E$11+1,1))-AVERAGE(OFFSET($H$3,0,0,'Données projet'!$E$11+1,1))</f>
        <v>415.91544298418842</v>
      </c>
      <c r="BJ104" s="59">
        <f t="shared" si="92"/>
        <v>422.79312683312583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2.7989815568960288</v>
      </c>
      <c r="BQ104" s="21">
        <f>EXP(-LN(2)/25)*BQ103+(1-EXP(-LN(2)/25))/(LN(2)/25)*Calculateur!BL104*Calculateur!BN104*VLOOKUP('Données projet'!$B$11,Paramètres!$A$1:$I$89,3,0)*0.475*44/12</f>
        <v>5.4131737987092867</v>
      </c>
      <c r="BR104" s="21">
        <f>EXP(-LN(2)/2)*BR103+(1-EXP(-LN(2)/2))/(LN(2)/2)*BL104*BO104*VLOOKUP('Données projet'!$B$11,Paramètres!$A$1:$I$89,3,0)*0.475*44/12</f>
        <v>7.5057386711250376E-10</v>
      </c>
      <c r="BS104" s="22">
        <f t="shared" si="63"/>
        <v>8.2121553563558898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25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90.698400000000149</v>
      </c>
      <c r="D105" s="11">
        <f t="shared" si="86"/>
        <v>24.733586403594217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891.05393013300909</v>
      </c>
      <c r="H105" s="67">
        <f t="shared" si="56"/>
        <v>494.37737631959351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-2.2737367544323206E-13</v>
      </c>
      <c r="O105" s="13">
        <f>N105*VLOOKUP('Données projet'!$B$9,Paramètres!$A$1:$I$89,3,0)*VLOOKUP('Données projet'!$B$9,Paramètres!$A$1:$I$89,5,0)</f>
        <v>-1.6671037883497774E-13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284.62668108124626</v>
      </c>
      <c r="T105" s="59">
        <f t="shared" si="88"/>
        <v>333.70864452711021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0.70348623317152925</v>
      </c>
      <c r="AA105" s="21">
        <f>EXP(-LN(2)/25)*AA104+(1-EXP(-LN(2)/25))/(LN(2)/25)*Calculateur!V105*Calculateur!X105*VLOOKUP('Données projet'!$B$9,Paramètres!$A$1:$I$89,3,0)*0.475*44/12</f>
        <v>2.5805093490551836</v>
      </c>
      <c r="AB105" s="21">
        <f>EXP(-LN(2)/2)*AB104+(1-EXP(-LN(2)/2))/(LN(2)/2)*V105*Y105*VLOOKUP('Données projet'!$B$9,Paramètres!$A$1:$I$89,3,0)*0.475*44/12</f>
        <v>3.8715345335781109E-10</v>
      </c>
      <c r="AC105" s="22">
        <f t="shared" si="57"/>
        <v>3.2839955826138665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5.2</v>
      </c>
      <c r="AI105" s="13">
        <f>IF('Données projet'!$A$62&gt;35,AI104+AH105-AQ104,IF(A105&lt;'Données projet'!$A$62,$AF$205^A105,IF(A105='Données projet'!$A$62,'Données projet'!$B$62,AI104+AH105-AQ104)))</f>
        <v>316.39999999999975</v>
      </c>
      <c r="AJ105" s="13">
        <f>AI105*VLOOKUP('Données projet'!$B$10,Paramètres!$A$1:$I$89,3,0)*VLOOKUP('Données projet'!$B$10,Paramètres!$A$1:$I$89,5,0)</f>
        <v>286.27871999999974</v>
      </c>
      <c r="AK105" s="13">
        <f t="shared" si="89"/>
        <v>68.292165517667542</v>
      </c>
      <c r="AL105" s="20">
        <f t="shared" si="58"/>
        <v>617.54429227660387</v>
      </c>
      <c r="AM105" s="59">
        <f t="shared" si="59"/>
        <v>910.87762560993724</v>
      </c>
      <c r="AN105" s="59">
        <f ca="1">AVERAGE(OFFSET($AM$3,0,0,'Données projet'!$E$10+1,1))-AVERAGE(OFFSET($H$3,0,0,'Données projet'!$E$10+1,1))</f>
        <v>318.40875902853116</v>
      </c>
      <c r="AO105" s="59">
        <f t="shared" si="90"/>
        <v>234.87694492493506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0.57875463154537188</v>
      </c>
      <c r="AV105" s="21">
        <f>EXP(-LN(2)/25)*AV104+(1-EXP(-LN(2)/25))/(LN(2)/25)*Calculateur!AQ105*Calculateur!AS105*VLOOKUP('Données projet'!$B$10,Paramètres!$A$1:$I$89,3,0)*0.475*44/12</f>
        <v>1.5326790129230561</v>
      </c>
      <c r="AW105" s="21">
        <f>EXP(-LN(2)/2)*AW104+(1-EXP(-LN(2)/2))/(LN(2)/2)*AQ105*AT105*VLOOKUP('Données projet'!$B$10,Paramètres!$A$1:$I$89,3,0)*0.475*44/12</f>
        <v>3.1364232962524231E-10</v>
      </c>
      <c r="AX105" s="21">
        <f t="shared" si="60"/>
        <v>2.1114336447820703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-1.2505552149377763E-12</v>
      </c>
      <c r="BE105" s="13">
        <f>BD105*VLOOKUP('Données projet'!$B$11,Paramètres!$A$1:$I$89,3,0)*VLOOKUP('Données projet'!$B$11,Paramètres!$A$1:$I$89,5,0)</f>
        <v>-6.9906036515021697E-13</v>
      </c>
      <c r="BF105" s="13" t="e">
        <f t="shared" si="91"/>
        <v>#NUM!</v>
      </c>
      <c r="BG105" s="20" t="e">
        <f t="shared" si="61"/>
        <v>#NUM!</v>
      </c>
      <c r="BH105" s="59" t="e">
        <f t="shared" si="62"/>
        <v>#NUM!</v>
      </c>
      <c r="BI105" s="59">
        <f ca="1">AVERAGE(OFFSET($BH$3,0,0,'Données projet'!$E$11+1,1))-AVERAGE(OFFSET($H$3,0,0,'Données projet'!$E$11+1,1))</f>
        <v>415.91544298418842</v>
      </c>
      <c r="BJ105" s="59">
        <f t="shared" si="92"/>
        <v>422.79312683312583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2.7440952357754744</v>
      </c>
      <c r="BQ105" s="21">
        <f>EXP(-LN(2)/25)*BQ104+(1-EXP(-LN(2)/25))/(LN(2)/25)*Calculateur!BL105*Calculateur!BN105*VLOOKUP('Données projet'!$B$11,Paramètres!$A$1:$I$89,3,0)*0.475*44/12</f>
        <v>5.2651502765171427</v>
      </c>
      <c r="BR105" s="21">
        <f>EXP(-LN(2)/2)*BR104+(1-EXP(-LN(2)/2))/(LN(2)/2)*BL105*BO105*VLOOKUP('Données projet'!$B$11,Paramètres!$A$1:$I$89,3,0)*0.475*44/12</f>
        <v>5.3073587121666199E-10</v>
      </c>
      <c r="BS105" s="22">
        <f t="shared" si="63"/>
        <v>8.0092455128233535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25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91.587600000000151</v>
      </c>
      <c r="D106" s="11">
        <f t="shared" si="86"/>
        <v>24.947725347033305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899.5709325034162</v>
      </c>
      <c r="H106" s="67">
        <f t="shared" si="56"/>
        <v>496.29902497941657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-2.2737367544323206E-13</v>
      </c>
      <c r="O106" s="13">
        <f>N106*VLOOKUP('Données projet'!$B$9,Paramètres!$A$1:$I$89,3,0)*VLOOKUP('Données projet'!$B$9,Paramètres!$A$1:$I$89,5,0)</f>
        <v>-1.6671037883497774E-13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284.62668108124626</v>
      </c>
      <c r="T106" s="59">
        <f t="shared" si="88"/>
        <v>333.70864452711021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0.68969129722326927</v>
      </c>
      <c r="AA106" s="21">
        <f>EXP(-LN(2)/25)*AA105+(1-EXP(-LN(2)/25))/(LN(2)/25)*Calculateur!V106*Calculateur!X106*VLOOKUP('Données projet'!$B$9,Paramètres!$A$1:$I$89,3,0)*0.475*44/12</f>
        <v>2.5099451852021808</v>
      </c>
      <c r="AB106" s="21">
        <f>EXP(-LN(2)/2)*AB105+(1-EXP(-LN(2)/2))/(LN(2)/2)*V106*Y106*VLOOKUP('Données projet'!$B$9,Paramètres!$A$1:$I$89,3,0)*0.475*44/12</f>
        <v>2.7375883222909795E-10</v>
      </c>
      <c r="AC106" s="22">
        <f t="shared" si="57"/>
        <v>3.199636482699209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5.2</v>
      </c>
      <c r="AI106" s="13">
        <f>IF('Données projet'!$A$62&gt;35,AI105+AH106-AQ105,IF(A106&lt;'Données projet'!$A$62,$AF$205^A106,IF(A106='Données projet'!$A$62,'Données projet'!$B$62,AI105+AH106-AQ105)))</f>
        <v>321.59999999999974</v>
      </c>
      <c r="AJ106" s="13">
        <f>AI106*VLOOKUP('Données projet'!$B$10,Paramètres!$A$1:$I$89,3,0)*VLOOKUP('Données projet'!$B$10,Paramètres!$A$1:$I$89,5,0)</f>
        <v>290.98367999999977</v>
      </c>
      <c r="AK106" s="13">
        <f t="shared" si="89"/>
        <v>69.282952690245352</v>
      </c>
      <c r="AL106" s="20">
        <f t="shared" si="58"/>
        <v>627.46438526884356</v>
      </c>
      <c r="AM106" s="59">
        <f t="shared" si="59"/>
        <v>920.79771860217693</v>
      </c>
      <c r="AN106" s="59">
        <f ca="1">AVERAGE(OFFSET($AM$3,0,0,'Données projet'!$E$10+1,1))-AVERAGE(OFFSET($H$3,0,0,'Données projet'!$E$10+1,1))</f>
        <v>318.40875902853116</v>
      </c>
      <c r="AO106" s="59">
        <f t="shared" si="90"/>
        <v>234.87694492493506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0.56740560622623604</v>
      </c>
      <c r="AV106" s="21">
        <f>EXP(-LN(2)/25)*AV105+(1-EXP(-LN(2)/25))/(LN(2)/25)*Calculateur!AQ106*Calculateur!AS106*VLOOKUP('Données projet'!$B$10,Paramètres!$A$1:$I$89,3,0)*0.475*44/12</f>
        <v>1.4907678247145888</v>
      </c>
      <c r="AW106" s="21">
        <f>EXP(-LN(2)/2)*AW105+(1-EXP(-LN(2)/2))/(LN(2)/2)*AQ106*AT106*VLOOKUP('Données projet'!$B$10,Paramètres!$A$1:$I$89,3,0)*0.475*44/12</f>
        <v>2.2177861814515523E-10</v>
      </c>
      <c r="AX106" s="21">
        <f t="shared" si="60"/>
        <v>2.0581734311626034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-1.2505552149377763E-12</v>
      </c>
      <c r="BE106" s="13">
        <f>BD106*VLOOKUP('Données projet'!$B$11,Paramètres!$A$1:$I$89,3,0)*VLOOKUP('Données projet'!$B$11,Paramètres!$A$1:$I$89,5,0)</f>
        <v>-6.9906036515021697E-13</v>
      </c>
      <c r="BF106" s="13" t="e">
        <f t="shared" si="91"/>
        <v>#NUM!</v>
      </c>
      <c r="BG106" s="20" t="e">
        <f t="shared" si="61"/>
        <v>#NUM!</v>
      </c>
      <c r="BH106" s="59" t="e">
        <f t="shared" si="62"/>
        <v>#NUM!</v>
      </c>
      <c r="BI106" s="59">
        <f ca="1">AVERAGE(OFFSET($BH$3,0,0,'Données projet'!$E$11+1,1))-AVERAGE(OFFSET($H$3,0,0,'Données projet'!$E$11+1,1))</f>
        <v>415.91544298418842</v>
      </c>
      <c r="BJ106" s="59">
        <f t="shared" si="92"/>
        <v>422.79312683312583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2.6902852019347439</v>
      </c>
      <c r="BQ106" s="21">
        <f>EXP(-LN(2)/25)*BQ105+(1-EXP(-LN(2)/25))/(LN(2)/25)*Calculateur!BL106*Calculateur!BN106*VLOOKUP('Données projet'!$B$11,Paramètres!$A$1:$I$89,3,0)*0.475*44/12</f>
        <v>5.1211744653235618</v>
      </c>
      <c r="BR106" s="21">
        <f>EXP(-LN(2)/2)*BR105+(1-EXP(-LN(2)/2))/(LN(2)/2)*BL106*BO106*VLOOKUP('Données projet'!$B$11,Paramètres!$A$1:$I$89,3,0)*0.475*44/12</f>
        <v>3.7528693355625188E-10</v>
      </c>
      <c r="BS106" s="22">
        <f t="shared" si="63"/>
        <v>7.811459667633593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25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92.476800000000154</v>
      </c>
      <c r="D107" s="11">
        <f t="shared" si="86"/>
        <v>25.161622425346469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908.08606784478104</v>
      </c>
      <c r="H107" s="67">
        <f t="shared" si="56"/>
        <v>498.22025239081199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-2.2737367544323206E-13</v>
      </c>
      <c r="O107" s="13">
        <f>N107*VLOOKUP('Données projet'!$B$9,Paramètres!$A$1:$I$89,3,0)*VLOOKUP('Données projet'!$B$9,Paramètres!$A$1:$I$89,5,0)</f>
        <v>-1.6671037883497774E-13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284.62668108124626</v>
      </c>
      <c r="T107" s="59">
        <f t="shared" si="88"/>
        <v>333.70864452711021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0.67616687155487454</v>
      </c>
      <c r="AA107" s="21">
        <f>EXP(-LN(2)/25)*AA106+(1-EXP(-LN(2)/25))/(LN(2)/25)*Calculateur!V107*Calculateur!X107*VLOOKUP('Données projet'!$B$9,Paramètres!$A$1:$I$89,3,0)*0.475*44/12</f>
        <v>2.4413106021205464</v>
      </c>
      <c r="AB107" s="21">
        <f>EXP(-LN(2)/2)*AB106+(1-EXP(-LN(2)/2))/(LN(2)/2)*V107*Y107*VLOOKUP('Données projet'!$B$9,Paramètres!$A$1:$I$89,3,0)*0.475*44/12</f>
        <v>1.9357672667890554E-10</v>
      </c>
      <c r="AC107" s="22">
        <f t="shared" si="57"/>
        <v>3.1174774738689974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5.2</v>
      </c>
      <c r="AI107" s="13">
        <f>IF('Données projet'!$A$62&gt;35,AI106+AH107-AQ106,IF(A107&lt;'Données projet'!$A$62,$AF$205^A107,IF(A107='Données projet'!$A$62,'Données projet'!$B$62,AI106+AH107-AQ106)))</f>
        <v>326.79999999999973</v>
      </c>
      <c r="AJ107" s="13">
        <f>AI107*VLOOKUP('Données projet'!$B$10,Paramètres!$A$1:$I$89,3,0)*VLOOKUP('Données projet'!$B$10,Paramètres!$A$1:$I$89,5,0)</f>
        <v>295.68863999999974</v>
      </c>
      <c r="AK107" s="13">
        <f t="shared" si="89"/>
        <v>70.271876780519676</v>
      </c>
      <c r="AL107" s="20">
        <f t="shared" si="58"/>
        <v>637.38123339273795</v>
      </c>
      <c r="AM107" s="59">
        <f t="shared" si="59"/>
        <v>930.71456672607133</v>
      </c>
      <c r="AN107" s="59">
        <f ca="1">AVERAGE(OFFSET($AM$3,0,0,'Données projet'!$E$10+1,1))-AVERAGE(OFFSET($H$3,0,0,'Données projet'!$E$10+1,1))</f>
        <v>318.40875902853116</v>
      </c>
      <c r="AO107" s="59">
        <f t="shared" si="90"/>
        <v>234.87694492493506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0.55627912837138649</v>
      </c>
      <c r="AV107" s="21">
        <f>EXP(-LN(2)/25)*AV106+(1-EXP(-LN(2)/25))/(LN(2)/25)*Calculateur!AQ107*Calculateur!AS107*VLOOKUP('Données projet'!$B$10,Paramètres!$A$1:$I$89,3,0)*0.475*44/12</f>
        <v>1.4500027001516957</v>
      </c>
      <c r="AW107" s="21">
        <f>EXP(-LN(2)/2)*AW106+(1-EXP(-LN(2)/2))/(LN(2)/2)*AQ107*AT107*VLOOKUP('Données projet'!$B$10,Paramètres!$A$1:$I$89,3,0)*0.475*44/12</f>
        <v>1.5682116481262116E-10</v>
      </c>
      <c r="AX107" s="21">
        <f t="shared" si="60"/>
        <v>2.0062818286799033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-1.2505552149377763E-12</v>
      </c>
      <c r="BE107" s="13">
        <f>BD107*VLOOKUP('Données projet'!$B$11,Paramètres!$A$1:$I$89,3,0)*VLOOKUP('Données projet'!$B$11,Paramètres!$A$1:$I$89,5,0)</f>
        <v>-6.9906036515021697E-13</v>
      </c>
      <c r="BF107" s="13" t="e">
        <f t="shared" si="91"/>
        <v>#NUM!</v>
      </c>
      <c r="BG107" s="20" t="e">
        <f t="shared" si="61"/>
        <v>#NUM!</v>
      </c>
      <c r="BH107" s="59" t="e">
        <f t="shared" si="62"/>
        <v>#NUM!</v>
      </c>
      <c r="BI107" s="59">
        <f ca="1">AVERAGE(OFFSET($BH$3,0,0,'Données projet'!$E$11+1,1))-AVERAGE(OFFSET($H$3,0,0,'Données projet'!$E$11+1,1))</f>
        <v>415.91544298418842</v>
      </c>
      <c r="BJ107" s="59">
        <f t="shared" si="92"/>
        <v>422.79312683312583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2.6375303500367502</v>
      </c>
      <c r="BQ107" s="21">
        <f>EXP(-LN(2)/25)*BQ106+(1-EXP(-LN(2)/25))/(LN(2)/25)*Calculateur!BL107*Calculateur!BN107*VLOOKUP('Données projet'!$B$11,Paramètres!$A$1:$I$89,3,0)*0.475*44/12</f>
        <v>4.9811356802584283</v>
      </c>
      <c r="BR107" s="21">
        <f>EXP(-LN(2)/2)*BR106+(1-EXP(-LN(2)/2))/(LN(2)/2)*BL107*BO107*VLOOKUP('Données projet'!$B$11,Paramètres!$A$1:$I$89,3,0)*0.475*44/12</f>
        <v>2.65367935608331E-10</v>
      </c>
      <c r="BS107" s="22">
        <f t="shared" si="63"/>
        <v>7.6186660305605471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25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93.366000000000156</v>
      </c>
      <c r="D108" s="11">
        <f t="shared" si="86"/>
        <v>25.375280233490724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916.59935618835073</v>
      </c>
      <c r="H108" s="67">
        <f t="shared" si="56"/>
        <v>500.14106307332992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-2.2737367544323206E-13</v>
      </c>
      <c r="O108" s="13">
        <f>N108*VLOOKUP('Données projet'!$B$9,Paramètres!$A$1:$I$89,3,0)*VLOOKUP('Données projet'!$B$9,Paramètres!$A$1:$I$89,5,0)</f>
        <v>-1.6671037883497774E-13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284.62668108124626</v>
      </c>
      <c r="T108" s="59">
        <f t="shared" si="88"/>
        <v>333.70864452711021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0.66290765162475185</v>
      </c>
      <c r="AA108" s="21">
        <f>EXP(-LN(2)/25)*AA107+(1-EXP(-LN(2)/25))/(LN(2)/25)*Calculateur!V108*Calculateur!X108*VLOOKUP('Données projet'!$B$9,Paramètres!$A$1:$I$89,3,0)*0.475*44/12</f>
        <v>2.3745528353226151</v>
      </c>
      <c r="AB108" s="21">
        <f>EXP(-LN(2)/2)*AB107+(1-EXP(-LN(2)/2))/(LN(2)/2)*V108*Y108*VLOOKUP('Données projet'!$B$9,Paramètres!$A$1:$I$89,3,0)*0.475*44/12</f>
        <v>1.3687941611454898E-10</v>
      </c>
      <c r="AC108" s="22">
        <f t="shared" si="57"/>
        <v>3.0374604870842465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5.2</v>
      </c>
      <c r="AI108" s="13">
        <f>IF('Données projet'!$A$62&gt;35,AI107+AH108-AQ107,IF(A108&lt;'Données projet'!$A$62,$AF$205^A108,IF(A108='Données projet'!$A$62,'Données projet'!$B$62,AI107+AH108-AQ107)))</f>
        <v>331.99999999999972</v>
      </c>
      <c r="AJ108" s="13">
        <f>AI108*VLOOKUP('Données projet'!$B$10,Paramètres!$A$1:$I$89,3,0)*VLOOKUP('Données projet'!$B$10,Paramètres!$A$1:$I$89,5,0)</f>
        <v>300.39359999999976</v>
      </c>
      <c r="AK108" s="13">
        <f t="shared" si="89"/>
        <v>71.258970856492667</v>
      </c>
      <c r="AL108" s="20">
        <f t="shared" si="58"/>
        <v>647.29489424172436</v>
      </c>
      <c r="AM108" s="59">
        <f t="shared" si="59"/>
        <v>940.62822757505774</v>
      </c>
      <c r="AN108" s="59">
        <f ca="1">AVERAGE(OFFSET($AM$3,0,0,'Données projet'!$E$10+1,1))-AVERAGE(OFFSET($H$3,0,0,'Données projet'!$E$10+1,1))</f>
        <v>318.40875902853116</v>
      </c>
      <c r="AO108" s="59">
        <f t="shared" si="90"/>
        <v>234.87694492493506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0.54537083396078911</v>
      </c>
      <c r="AV108" s="21">
        <f>EXP(-LN(2)/25)*AV107+(1-EXP(-LN(2)/25))/(LN(2)/25)*Calculateur!AQ108*Calculateur!AS108*VLOOKUP('Données projet'!$B$10,Paramètres!$A$1:$I$89,3,0)*0.475*44/12</f>
        <v>1.4103523000637197</v>
      </c>
      <c r="AW108" s="21">
        <f>EXP(-LN(2)/2)*AW107+(1-EXP(-LN(2)/2))/(LN(2)/2)*AQ108*AT108*VLOOKUP('Données projet'!$B$10,Paramètres!$A$1:$I$89,3,0)*0.475*44/12</f>
        <v>1.1088930907257761E-10</v>
      </c>
      <c r="AX108" s="21">
        <f t="shared" si="60"/>
        <v>1.955723134135398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-1.2505552149377763E-12</v>
      </c>
      <c r="BE108" s="13">
        <f>BD108*VLOOKUP('Données projet'!$B$11,Paramètres!$A$1:$I$89,3,0)*VLOOKUP('Données projet'!$B$11,Paramètres!$A$1:$I$89,5,0)</f>
        <v>-6.9906036515021697E-13</v>
      </c>
      <c r="BF108" s="13" t="e">
        <f t="shared" si="91"/>
        <v>#NUM!</v>
      </c>
      <c r="BG108" s="20" t="e">
        <f t="shared" si="61"/>
        <v>#NUM!</v>
      </c>
      <c r="BH108" s="59" t="e">
        <f t="shared" si="62"/>
        <v>#NUM!</v>
      </c>
      <c r="BI108" s="59">
        <f ca="1">AVERAGE(OFFSET($BH$3,0,0,'Données projet'!$E$11+1,1))-AVERAGE(OFFSET($H$3,0,0,'Données projet'!$E$11+1,1))</f>
        <v>415.91544298418842</v>
      </c>
      <c r="BJ108" s="59">
        <f t="shared" si="92"/>
        <v>422.79312683312583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2.5858099886071937</v>
      </c>
      <c r="BQ108" s="21">
        <f>EXP(-LN(2)/25)*BQ107+(1-EXP(-LN(2)/25))/(LN(2)/25)*Calculateur!BL108*Calculateur!BN108*VLOOKUP('Données projet'!$B$11,Paramètres!$A$1:$I$89,3,0)*0.475*44/12</f>
        <v>4.8449262631352203</v>
      </c>
      <c r="BR108" s="21">
        <f>EXP(-LN(2)/2)*BR107+(1-EXP(-LN(2)/2))/(LN(2)/2)*BL108*BO108*VLOOKUP('Données projet'!$B$11,Paramètres!$A$1:$I$89,3,0)*0.475*44/12</f>
        <v>1.8764346677812594E-10</v>
      </c>
      <c r="BS108" s="22">
        <f t="shared" si="63"/>
        <v>7.4307362519300577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25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94.255200000000158</v>
      </c>
      <c r="D109" s="11">
        <f t="shared" si="86"/>
        <v>25.588701314145272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925.11081716182434</v>
      </c>
      <c r="H109" s="67">
        <f t="shared" si="56"/>
        <v>502.06146145546995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-2.2737367544323206E-13</v>
      </c>
      <c r="O109" s="13">
        <f>N109*VLOOKUP('Données projet'!$B$9,Paramètres!$A$1:$I$89,3,0)*VLOOKUP('Données projet'!$B$9,Paramètres!$A$1:$I$89,5,0)</f>
        <v>-1.6671037883497774E-13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284.62668108124626</v>
      </c>
      <c r="T109" s="59">
        <f t="shared" si="88"/>
        <v>333.70864452711021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0.64990843691013334</v>
      </c>
      <c r="AA109" s="21">
        <f>EXP(-LN(2)/25)*AA108+(1-EXP(-LN(2)/25))/(LN(2)/25)*Calculateur!V109*Calculateur!X109*VLOOKUP('Données projet'!$B$9,Paramètres!$A$1:$I$89,3,0)*0.475*44/12</f>
        <v>2.3096205631684117</v>
      </c>
      <c r="AB109" s="21">
        <f>EXP(-LN(2)/2)*AB108+(1-EXP(-LN(2)/2))/(LN(2)/2)*V109*Y109*VLOOKUP('Données projet'!$B$9,Paramètres!$A$1:$I$89,3,0)*0.475*44/12</f>
        <v>9.6788363339452772E-11</v>
      </c>
      <c r="AC109" s="22">
        <f t="shared" si="57"/>
        <v>2.9595290001753334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5.2</v>
      </c>
      <c r="AI109" s="13">
        <f>IF('Données projet'!$A$62&gt;35,AI108+AH109-AQ108,IF(A109&lt;'Données projet'!$A$62,$AF$205^A109,IF(A109='Données projet'!$A$62,'Données projet'!$B$62,AI108+AH109-AQ108)))</f>
        <v>337.1999999999997</v>
      </c>
      <c r="AJ109" s="13">
        <f>AI109*VLOOKUP('Données projet'!$B$10,Paramètres!$A$1:$I$89,3,0)*VLOOKUP('Données projet'!$B$10,Paramètres!$A$1:$I$89,5,0)</f>
        <v>305.09855999999974</v>
      </c>
      <c r="AK109" s="13">
        <f t="shared" si="89"/>
        <v>72.244266890878734</v>
      </c>
      <c r="AL109" s="20">
        <f t="shared" si="58"/>
        <v>657.20542350161338</v>
      </c>
      <c r="AM109" s="59">
        <f t="shared" si="59"/>
        <v>950.53875683494675</v>
      </c>
      <c r="AN109" s="59">
        <f ca="1">AVERAGE(OFFSET($AM$3,0,0,'Données projet'!$E$10+1,1))-AVERAGE(OFFSET($H$3,0,0,'Données projet'!$E$10+1,1))</f>
        <v>318.40875902853116</v>
      </c>
      <c r="AO109" s="59">
        <f t="shared" si="90"/>
        <v>234.87694492493506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0.53467644455018093</v>
      </c>
      <c r="AV109" s="21">
        <f>EXP(-LN(2)/25)*AV108+(1-EXP(-LN(2)/25))/(LN(2)/25)*Calculateur!AQ109*Calculateur!AS109*VLOOKUP('Données projet'!$B$10,Paramètres!$A$1:$I$89,3,0)*0.475*44/12</f>
        <v>1.3717861422512732</v>
      </c>
      <c r="AW109" s="21">
        <f>EXP(-LN(2)/2)*AW108+(1-EXP(-LN(2)/2))/(LN(2)/2)*AQ109*AT109*VLOOKUP('Données projet'!$B$10,Paramètres!$A$1:$I$89,3,0)*0.475*44/12</f>
        <v>7.8410582406310578E-11</v>
      </c>
      <c r="AX109" s="21">
        <f t="shared" si="60"/>
        <v>1.9064625868798646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-1.2505552149377763E-12</v>
      </c>
      <c r="BE109" s="13">
        <f>BD109*VLOOKUP('Données projet'!$B$11,Paramètres!$A$1:$I$89,3,0)*VLOOKUP('Données projet'!$B$11,Paramètres!$A$1:$I$89,5,0)</f>
        <v>-6.9906036515021697E-13</v>
      </c>
      <c r="BF109" s="13" t="e">
        <f t="shared" si="91"/>
        <v>#NUM!</v>
      </c>
      <c r="BG109" s="20" t="e">
        <f t="shared" si="61"/>
        <v>#NUM!</v>
      </c>
      <c r="BH109" s="59" t="e">
        <f t="shared" si="62"/>
        <v>#NUM!</v>
      </c>
      <c r="BI109" s="59">
        <f ca="1">AVERAGE(OFFSET($BH$3,0,0,'Données projet'!$E$11+1,1))-AVERAGE(OFFSET($H$3,0,0,'Données projet'!$E$11+1,1))</f>
        <v>415.91544298418842</v>
      </c>
      <c r="BJ109" s="59">
        <f t="shared" si="92"/>
        <v>422.79312683312583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2.5351038319189652</v>
      </c>
      <c r="BQ109" s="21">
        <f>EXP(-LN(2)/25)*BQ108+(1-EXP(-LN(2)/25))/(LN(2)/25)*Calculateur!BL109*Calculateur!BN109*VLOOKUP('Données projet'!$B$11,Paramètres!$A$1:$I$89,3,0)*0.475*44/12</f>
        <v>4.7124414996861885</v>
      </c>
      <c r="BR109" s="21">
        <f>EXP(-LN(2)/2)*BR108+(1-EXP(-LN(2)/2))/(LN(2)/2)*BL109*BO109*VLOOKUP('Données projet'!$B$11,Paramètres!$A$1:$I$89,3,0)*0.475*44/12</f>
        <v>1.326839678041655E-10</v>
      </c>
      <c r="BS109" s="22">
        <f t="shared" si="63"/>
        <v>7.2475453317378378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25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95.144400000000161</v>
      </c>
      <c r="D110" s="11">
        <f t="shared" si="86"/>
        <v>25.801888159247749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933.62047000121208</v>
      </c>
      <c r="H110" s="67">
        <f t="shared" si="56"/>
        <v>503.98145187735673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-2.2737367544323206E-13</v>
      </c>
      <c r="O110" s="13">
        <f>N110*VLOOKUP('Données projet'!$B$9,Paramètres!$A$1:$I$89,3,0)*VLOOKUP('Données projet'!$B$9,Paramètres!$A$1:$I$89,5,0)</f>
        <v>-1.6671037883497774E-13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284.62668108124626</v>
      </c>
      <c r="T110" s="59">
        <f t="shared" si="88"/>
        <v>333.70864452711021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0.63716412886733043</v>
      </c>
      <c r="AA110" s="21">
        <f>EXP(-LN(2)/25)*AA109+(1-EXP(-LN(2)/25))/(LN(2)/25)*Calculateur!V110*Calculateur!X110*VLOOKUP('Données projet'!$B$9,Paramètres!$A$1:$I$89,3,0)*0.475*44/12</f>
        <v>2.2464638674109048</v>
      </c>
      <c r="AB110" s="21">
        <f>EXP(-LN(2)/2)*AB109+(1-EXP(-LN(2)/2))/(LN(2)/2)*V110*Y110*VLOOKUP('Données projet'!$B$9,Paramètres!$A$1:$I$89,3,0)*0.475*44/12</f>
        <v>6.8439708057274488E-11</v>
      </c>
      <c r="AC110" s="22">
        <f t="shared" si="57"/>
        <v>2.8836279963466751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5.2</v>
      </c>
      <c r="AI110" s="13">
        <f>IF('Données projet'!$A$62&gt;35,AI109+AH110-AQ109,IF(A110&lt;'Données projet'!$A$62,$AF$205^A110,IF(A110='Données projet'!$A$62,'Données projet'!$B$62,AI109+AH110-AQ109)))</f>
        <v>342.39999999999969</v>
      </c>
      <c r="AJ110" s="13">
        <f>AI110*VLOOKUP('Données projet'!$B$10,Paramètres!$A$1:$I$89,3,0)*VLOOKUP('Données projet'!$B$10,Paramètres!$A$1:$I$89,5,0)</f>
        <v>309.80351999999971</v>
      </c>
      <c r="AK110" s="13">
        <f t="shared" si="89"/>
        <v>73.227795813703693</v>
      </c>
      <c r="AL110" s="20">
        <f t="shared" si="58"/>
        <v>667.11287504220002</v>
      </c>
      <c r="AM110" s="59">
        <f t="shared" si="59"/>
        <v>960.44620837553339</v>
      </c>
      <c r="AN110" s="59">
        <f ca="1">AVERAGE(OFFSET($AM$3,0,0,'Données projet'!$E$10+1,1))-AVERAGE(OFFSET($H$3,0,0,'Données projet'!$E$10+1,1))</f>
        <v>318.40875902853116</v>
      </c>
      <c r="AO110" s="59">
        <f t="shared" si="90"/>
        <v>234.87694492493506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0.52419176559298131</v>
      </c>
      <c r="AV110" s="21">
        <f>EXP(-LN(2)/25)*AV109+(1-EXP(-LN(2)/25))/(LN(2)/25)*Calculateur!AQ110*Calculateur!AS110*VLOOKUP('Données projet'!$B$10,Paramètres!$A$1:$I$89,3,0)*0.475*44/12</f>
        <v>1.3342745780523142</v>
      </c>
      <c r="AW110" s="21">
        <f>EXP(-LN(2)/2)*AW109+(1-EXP(-LN(2)/2))/(LN(2)/2)*AQ110*AT110*VLOOKUP('Données projet'!$B$10,Paramètres!$A$1:$I$89,3,0)*0.475*44/12</f>
        <v>5.5444654536288807E-11</v>
      </c>
      <c r="AX110" s="21">
        <f t="shared" si="60"/>
        <v>1.8584663437007403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-1.2505552149377763E-12</v>
      </c>
      <c r="BE110" s="13">
        <f>BD110*VLOOKUP('Données projet'!$B$11,Paramètres!$A$1:$I$89,3,0)*VLOOKUP('Données projet'!$B$11,Paramètres!$A$1:$I$89,5,0)</f>
        <v>-6.9906036515021697E-13</v>
      </c>
      <c r="BF110" s="13" t="e">
        <f t="shared" si="91"/>
        <v>#NUM!</v>
      </c>
      <c r="BG110" s="20" t="e">
        <f t="shared" si="61"/>
        <v>#NUM!</v>
      </c>
      <c r="BH110" s="59" t="e">
        <f t="shared" si="62"/>
        <v>#NUM!</v>
      </c>
      <c r="BI110" s="59">
        <f ca="1">AVERAGE(OFFSET($BH$3,0,0,'Données projet'!$E$11+1,1))-AVERAGE(OFFSET($H$3,0,0,'Données projet'!$E$11+1,1))</f>
        <v>415.91544298418842</v>
      </c>
      <c r="BJ110" s="59">
        <f t="shared" si="92"/>
        <v>422.79312683312583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2.4853919920356913</v>
      </c>
      <c r="BQ110" s="21">
        <f>EXP(-LN(2)/25)*BQ109+(1-EXP(-LN(2)/25))/(LN(2)/25)*Calculateur!BL110*Calculateur!BN110*VLOOKUP('Données projet'!$B$11,Paramètres!$A$1:$I$89,3,0)*0.475*44/12</f>
        <v>4.5835795390607412</v>
      </c>
      <c r="BR110" s="21">
        <f>EXP(-LN(2)/2)*BR109+(1-EXP(-LN(2)/2))/(LN(2)/2)*BL110*BO110*VLOOKUP('Données projet'!$B$11,Paramètres!$A$1:$I$89,3,0)*0.475*44/12</f>
        <v>9.3821733389062971E-11</v>
      </c>
      <c r="BS110" s="22">
        <f t="shared" si="63"/>
        <v>7.0689715311902539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25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96.033600000000163</v>
      </c>
      <c r="D111" s="11">
        <f t="shared" si="86"/>
        <v>26.014843211471252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942.12833356223564</v>
      </c>
      <c r="H111" s="67">
        <f t="shared" si="56"/>
        <v>505.90103859331265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-2.2737367544323206E-13</v>
      </c>
      <c r="O111" s="13">
        <f>N111*VLOOKUP('Données projet'!$B$9,Paramètres!$A$1:$I$89,3,0)*VLOOKUP('Données projet'!$B$9,Paramètres!$A$1:$I$89,5,0)</f>
        <v>-1.6671037883497774E-13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284.62668108124626</v>
      </c>
      <c r="T111" s="59">
        <f t="shared" si="88"/>
        <v>333.70864452711021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0.62466972893198647</v>
      </c>
      <c r="AA111" s="21">
        <f>EXP(-LN(2)/25)*AA110+(1-EXP(-LN(2)/25))/(LN(2)/25)*Calculateur!V111*Calculateur!X111*VLOOKUP('Données projet'!$B$9,Paramètres!$A$1:$I$89,3,0)*0.475*44/12</f>
        <v>2.1850341948201533</v>
      </c>
      <c r="AB111" s="21">
        <f>EXP(-LN(2)/2)*AB110+(1-EXP(-LN(2)/2))/(LN(2)/2)*V111*Y111*VLOOKUP('Données projet'!$B$9,Paramètres!$A$1:$I$89,3,0)*0.475*44/12</f>
        <v>4.8394181669726386E-11</v>
      </c>
      <c r="AC111" s="22">
        <f t="shared" si="57"/>
        <v>2.8097039238005337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5.2</v>
      </c>
      <c r="AI111" s="13">
        <f>IF('Données projet'!$A$62&gt;35,AI110+AH111-AQ110,IF(A111&lt;'Données projet'!$A$62,$AF$205^A111,IF(A111='Données projet'!$A$62,'Données projet'!$B$62,AI110+AH111-AQ110)))</f>
        <v>347.59999999999968</v>
      </c>
      <c r="AJ111" s="13">
        <f>AI111*VLOOKUP('Données projet'!$B$10,Paramètres!$A$1:$I$89,3,0)*VLOOKUP('Données projet'!$B$10,Paramètres!$A$1:$I$89,5,0)</f>
        <v>314.50847999999968</v>
      </c>
      <c r="AK111" s="13">
        <f t="shared" si="89"/>
        <v>74.209587561617383</v>
      </c>
      <c r="AL111" s="20">
        <f t="shared" si="58"/>
        <v>677.01730100314978</v>
      </c>
      <c r="AM111" s="59">
        <f t="shared" si="59"/>
        <v>970.35063433648315</v>
      </c>
      <c r="AN111" s="59">
        <f ca="1">AVERAGE(OFFSET($AM$3,0,0,'Données projet'!$E$10+1,1))-AVERAGE(OFFSET($H$3,0,0,'Données projet'!$E$10+1,1))</f>
        <v>318.40875902853116</v>
      </c>
      <c r="AO111" s="59">
        <f t="shared" si="90"/>
        <v>234.87694492493506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0.51391268479510965</v>
      </c>
      <c r="AV111" s="21">
        <f>EXP(-LN(2)/25)*AV110+(1-EXP(-LN(2)/25))/(LN(2)/25)*Calculateur!AQ111*Calculateur!AS111*VLOOKUP('Données projet'!$B$10,Paramètres!$A$1:$I$89,3,0)*0.475*44/12</f>
        <v>1.2977887695490231</v>
      </c>
      <c r="AW111" s="21">
        <f>EXP(-LN(2)/2)*AW110+(1-EXP(-LN(2)/2))/(LN(2)/2)*AQ111*AT111*VLOOKUP('Données projet'!$B$10,Paramètres!$A$1:$I$89,3,0)*0.475*44/12</f>
        <v>3.9205291203155289E-11</v>
      </c>
      <c r="AX111" s="21">
        <f t="shared" si="60"/>
        <v>1.8117014543833381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-1.2505552149377763E-12</v>
      </c>
      <c r="BE111" s="13">
        <f>BD111*VLOOKUP('Données projet'!$B$11,Paramètres!$A$1:$I$89,3,0)*VLOOKUP('Données projet'!$B$11,Paramètres!$A$1:$I$89,5,0)</f>
        <v>-6.9906036515021697E-13</v>
      </c>
      <c r="BF111" s="13" t="e">
        <f t="shared" si="91"/>
        <v>#NUM!</v>
      </c>
      <c r="BG111" s="20" t="e">
        <f t="shared" si="61"/>
        <v>#NUM!</v>
      </c>
      <c r="BH111" s="59" t="e">
        <f t="shared" si="62"/>
        <v>#NUM!</v>
      </c>
      <c r="BI111" s="59">
        <f ca="1">AVERAGE(OFFSET($BH$3,0,0,'Données projet'!$E$11+1,1))-AVERAGE(OFFSET($H$3,0,0,'Données projet'!$E$11+1,1))</f>
        <v>415.91544298418842</v>
      </c>
      <c r="BJ111" s="59">
        <f t="shared" si="92"/>
        <v>422.79312683312583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2.4366549710113001</v>
      </c>
      <c r="BQ111" s="21">
        <f>EXP(-LN(2)/25)*BQ110+(1-EXP(-LN(2)/25))/(LN(2)/25)*Calculateur!BL111*Calculateur!BN111*VLOOKUP('Données projet'!$B$11,Paramètres!$A$1:$I$89,3,0)*0.475*44/12</f>
        <v>4.4582413155251528</v>
      </c>
      <c r="BR111" s="21">
        <f>EXP(-LN(2)/2)*BR110+(1-EXP(-LN(2)/2))/(LN(2)/2)*BL111*BO111*VLOOKUP('Données projet'!$B$11,Paramètres!$A$1:$I$89,3,0)*0.475*44/12</f>
        <v>6.6341983902082749E-11</v>
      </c>
      <c r="BS111" s="22">
        <f t="shared" si="63"/>
        <v>6.8948962866027941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25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96.922800000000166</v>
      </c>
      <c r="D112" s="11">
        <f t="shared" si="86"/>
        <v>26.227568865645399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950.6344263312991</v>
      </c>
      <c r="H112" s="67">
        <f t="shared" si="56"/>
        <v>507.82022577433264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-2.2737367544323206E-13</v>
      </c>
      <c r="O112" s="13">
        <f>N112*VLOOKUP('Données projet'!$B$9,Paramètres!$A$1:$I$89,3,0)*VLOOKUP('Données projet'!$B$9,Paramètres!$A$1:$I$89,5,0)</f>
        <v>-1.6671037883497774E-13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284.62668108124626</v>
      </c>
      <c r="T112" s="59">
        <f t="shared" si="88"/>
        <v>333.70864452711021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0.61242033655854311</v>
      </c>
      <c r="AA112" s="21">
        <f>EXP(-LN(2)/25)*AA111+(1-EXP(-LN(2)/25))/(LN(2)/25)*Calculateur!V112*Calculateur!X112*VLOOKUP('Données projet'!$B$9,Paramètres!$A$1:$I$89,3,0)*0.475*44/12</f>
        <v>2.1252843198568416</v>
      </c>
      <c r="AB112" s="21">
        <f>EXP(-LN(2)/2)*AB111+(1-EXP(-LN(2)/2))/(LN(2)/2)*V112*Y112*VLOOKUP('Données projet'!$B$9,Paramètres!$A$1:$I$89,3,0)*0.475*44/12</f>
        <v>3.4219854028637244E-11</v>
      </c>
      <c r="AC112" s="22">
        <f t="shared" si="57"/>
        <v>2.7377046564496044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5.2</v>
      </c>
      <c r="AI112" s="13">
        <f>IF('Données projet'!$A$62&gt;35,AI111+AH112-AQ111,IF(A112&lt;'Données projet'!$A$62,$AF$205^A112,IF(A112='Données projet'!$A$62,'Données projet'!$B$62,AI111+AH112-AQ111)))</f>
        <v>352.79999999999967</v>
      </c>
      <c r="AJ112" s="13">
        <f>AI112*VLOOKUP('Données projet'!$B$10,Paramètres!$A$1:$I$89,3,0)*VLOOKUP('Données projet'!$B$10,Paramètres!$A$1:$I$89,5,0)</f>
        <v>319.21343999999971</v>
      </c>
      <c r="AK112" s="13">
        <f t="shared" si="89"/>
        <v>75.189671124171639</v>
      </c>
      <c r="AL112" s="20">
        <f t="shared" si="58"/>
        <v>686.91875187459846</v>
      </c>
      <c r="AM112" s="59">
        <f t="shared" si="59"/>
        <v>980.25208520793171</v>
      </c>
      <c r="AN112" s="59">
        <f ca="1">AVERAGE(OFFSET($AM$3,0,0,'Données projet'!$E$10+1,1))-AVERAGE(OFFSET($H$3,0,0,'Données projet'!$E$10+1,1))</f>
        <v>318.40875902853116</v>
      </c>
      <c r="AO112" s="59">
        <f t="shared" si="90"/>
        <v>234.87694492493506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0.50383517050206406</v>
      </c>
      <c r="AV112" s="21">
        <f>EXP(-LN(2)/25)*AV111+(1-EXP(-LN(2)/25))/(LN(2)/25)*Calculateur!AQ112*Calculateur!AS112*VLOOKUP('Données projet'!$B$10,Paramètres!$A$1:$I$89,3,0)*0.475*44/12</f>
        <v>1.2623006673979598</v>
      </c>
      <c r="AW112" s="21">
        <f>EXP(-LN(2)/2)*AW111+(1-EXP(-LN(2)/2))/(LN(2)/2)*AQ112*AT112*VLOOKUP('Données projet'!$B$10,Paramètres!$A$1:$I$89,3,0)*0.475*44/12</f>
        <v>2.7722327268144404E-11</v>
      </c>
      <c r="AX112" s="21">
        <f t="shared" si="60"/>
        <v>1.7661358379277461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-1.2505552149377763E-12</v>
      </c>
      <c r="BE112" s="13">
        <f>BD112*VLOOKUP('Données projet'!$B$11,Paramètres!$A$1:$I$89,3,0)*VLOOKUP('Données projet'!$B$11,Paramètres!$A$1:$I$89,5,0)</f>
        <v>-6.9906036515021697E-13</v>
      </c>
      <c r="BF112" s="13" t="e">
        <f t="shared" si="91"/>
        <v>#NUM!</v>
      </c>
      <c r="BG112" s="20" t="e">
        <f t="shared" si="61"/>
        <v>#NUM!</v>
      </c>
      <c r="BH112" s="59" t="e">
        <f t="shared" si="62"/>
        <v>#NUM!</v>
      </c>
      <c r="BI112" s="59">
        <f ca="1">AVERAGE(OFFSET($BH$3,0,0,'Données projet'!$E$11+1,1))-AVERAGE(OFFSET($H$3,0,0,'Données projet'!$E$11+1,1))</f>
        <v>415.91544298418842</v>
      </c>
      <c r="BJ112" s="59">
        <f t="shared" si="92"/>
        <v>422.79312683312583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2.3888736532425496</v>
      </c>
      <c r="BQ112" s="21">
        <f>EXP(-LN(2)/25)*BQ111+(1-EXP(-LN(2)/25))/(LN(2)/25)*Calculateur!BL112*Calculateur!BN112*VLOOKUP('Données projet'!$B$11,Paramètres!$A$1:$I$89,3,0)*0.475*44/12</f>
        <v>4.3363304723033957</v>
      </c>
      <c r="BR112" s="21">
        <f>EXP(-LN(2)/2)*BR111+(1-EXP(-LN(2)/2))/(LN(2)/2)*BL112*BO112*VLOOKUP('Données projet'!$B$11,Paramètres!$A$1:$I$89,3,0)*0.475*44/12</f>
        <v>4.6910866694531485E-11</v>
      </c>
      <c r="BS112" s="22">
        <f t="shared" si="63"/>
        <v>6.7252041255928559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25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97.812000000000168</v>
      </c>
      <c r="D113" s="11">
        <f t="shared" si="86"/>
        <v>26.440067470123306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959.1387664360409</v>
      </c>
      <c r="H113" s="67">
        <f t="shared" si="56"/>
        <v>509.73901751046503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-2.2737367544323206E-13</v>
      </c>
      <c r="O113" s="13">
        <f>N113*VLOOKUP('Données projet'!$B$9,Paramètres!$A$1:$I$89,3,0)*VLOOKUP('Données projet'!$B$9,Paramètres!$A$1:$I$89,5,0)</f>
        <v>-1.6671037883497774E-13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284.62668108124626</v>
      </c>
      <c r="T113" s="59">
        <f t="shared" si="88"/>
        <v>333.70864452711021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0.60041114729815137</v>
      </c>
      <c r="AA113" s="21">
        <f>EXP(-LN(2)/25)*AA112+(1-EXP(-LN(2)/25))/(LN(2)/25)*Calculateur!V113*Calculateur!X113*VLOOKUP('Données projet'!$B$9,Paramètres!$A$1:$I$89,3,0)*0.475*44/12</f>
        <v>2.0671683083665111</v>
      </c>
      <c r="AB113" s="21">
        <f>EXP(-LN(2)/2)*AB112+(1-EXP(-LN(2)/2))/(LN(2)/2)*V113*Y113*VLOOKUP('Données projet'!$B$9,Paramètres!$A$1:$I$89,3,0)*0.475*44/12</f>
        <v>2.4197090834863193E-11</v>
      </c>
      <c r="AC113" s="22">
        <f t="shared" si="57"/>
        <v>2.6675794556888595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>
        <f>VLOOKUP(A113,'Données projet'!$A$61:$I$81,2,0)</f>
        <v>358</v>
      </c>
      <c r="AG113" s="12">
        <f>VLOOKUP(A113,'Données projet'!$A$61:$I$81,9,0)</f>
        <v>5.2</v>
      </c>
      <c r="AH113" s="12">
        <f t="array" ref="AH113">INDEX(AG:AG,MIN(IF(ISNUMBER(AG113:AG309),ROW(AG113:AG309),"")))</f>
        <v>5.2</v>
      </c>
      <c r="AI113" s="13">
        <f>IF('Données projet'!$A$62&gt;35,AI112+AH113-AQ112,IF(A113&lt;'Données projet'!$A$62,$AF$205^A113,IF(A113='Données projet'!$A$62,'Données projet'!$B$62,AI112+AH113-AQ112)))</f>
        <v>357.99999999999966</v>
      </c>
      <c r="AJ113" s="13">
        <f>AI113*VLOOKUP('Données projet'!$B$10,Paramètres!$A$1:$I$89,3,0)*VLOOKUP('Données projet'!$B$10,Paramètres!$A$1:$I$89,5,0)</f>
        <v>323.91839999999968</v>
      </c>
      <c r="AK113" s="13">
        <f t="shared" si="89"/>
        <v>76.168074587293034</v>
      </c>
      <c r="AL113" s="20">
        <f t="shared" si="58"/>
        <v>696.8172765728682</v>
      </c>
      <c r="AM113" s="59">
        <f t="shared" si="59"/>
        <v>990.15060990620145</v>
      </c>
      <c r="AN113" s="59">
        <f ca="1">AVERAGE(OFFSET($AM$3,0,0,'Données projet'!$E$10+1,1))-AVERAGE(OFFSET($H$3,0,0,'Données projet'!$E$10+1,1))</f>
        <v>318.40875902853116</v>
      </c>
      <c r="AO113" s="59">
        <f t="shared" si="90"/>
        <v>234.87694492493506</v>
      </c>
      <c r="AP113" s="15">
        <f>IF(ISNA(VLOOKUP(A113,'Données projet'!$A$61:$I$81,3,0)),0,VLOOKUP(A113,'Données projet'!$A$61:$I$81,3,0))</f>
        <v>10</v>
      </c>
      <c r="AQ113" s="15">
        <f>IF(ISNA(VLOOKUP(A113,'Données projet'!$A$61:$I$81,4,0)),0,VLOOKUP(A113,'Données projet'!$A$61:$I$81,4,0))</f>
        <v>51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0.49395527011762835</v>
      </c>
      <c r="AV113" s="21">
        <f>EXP(-LN(2)/25)*AV112+(1-EXP(-LN(2)/25))/(LN(2)/25)*Calculateur!AQ113*Calculateur!AS113*VLOOKUP('Données projet'!$B$10,Paramètres!$A$1:$I$89,3,0)*0.475*44/12</f>
        <v>1.2277829892664556</v>
      </c>
      <c r="AW113" s="21">
        <f>EXP(-LN(2)/2)*AW112+(1-EXP(-LN(2)/2))/(LN(2)/2)*AQ113*AT113*VLOOKUP('Données projet'!$B$10,Paramètres!$A$1:$I$89,3,0)*0.475*44/12</f>
        <v>1.9602645601577644E-11</v>
      </c>
      <c r="AX113" s="21">
        <f t="shared" si="60"/>
        <v>1.7217382594036865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-1.2505552149377763E-12</v>
      </c>
      <c r="BE113" s="13">
        <f>BD113*VLOOKUP('Données projet'!$B$11,Paramètres!$A$1:$I$89,3,0)*VLOOKUP('Données projet'!$B$11,Paramètres!$A$1:$I$89,5,0)</f>
        <v>-6.9906036515021697E-13</v>
      </c>
      <c r="BF113" s="13" t="e">
        <f t="shared" si="91"/>
        <v>#NUM!</v>
      </c>
      <c r="BG113" s="20" t="e">
        <f t="shared" si="61"/>
        <v>#NUM!</v>
      </c>
      <c r="BH113" s="59" t="e">
        <f t="shared" si="62"/>
        <v>#NUM!</v>
      </c>
      <c r="BI113" s="59">
        <f ca="1">AVERAGE(OFFSET($BH$3,0,0,'Données projet'!$E$11+1,1))-AVERAGE(OFFSET($H$3,0,0,'Données projet'!$E$11+1,1))</f>
        <v>415.91544298418842</v>
      </c>
      <c r="BJ113" s="59">
        <f t="shared" si="92"/>
        <v>422.79312683312583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2.3420292979715183</v>
      </c>
      <c r="BQ113" s="21">
        <f>EXP(-LN(2)/25)*BQ112+(1-EXP(-LN(2)/25))/(LN(2)/25)*Calculateur!BL113*Calculateur!BN113*VLOOKUP('Données projet'!$B$11,Paramètres!$A$1:$I$89,3,0)*0.475*44/12</f>
        <v>4.2177532875005506</v>
      </c>
      <c r="BR113" s="21">
        <f>EXP(-LN(2)/2)*BR112+(1-EXP(-LN(2)/2))/(LN(2)/2)*BL113*BO113*VLOOKUP('Données projet'!$B$11,Paramètres!$A$1:$I$89,3,0)*0.475*44/12</f>
        <v>3.3170991951041374E-11</v>
      </c>
      <c r="BS113" s="22">
        <f t="shared" si="63"/>
        <v>6.5597825855052401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25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98.701200000000171</v>
      </c>
      <c r="D114" s="11">
        <f t="shared" si="86"/>
        <v>26.65234132809799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967.64137165549471</v>
      </c>
      <c r="H114" s="67">
        <f t="shared" si="56"/>
        <v>511.6574178131043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-2.2737367544323206E-13</v>
      </c>
      <c r="O114" s="13">
        <f>N114*VLOOKUP('Données projet'!$B$9,Paramètres!$A$1:$I$89,3,0)*VLOOKUP('Données projet'!$B$9,Paramètres!$A$1:$I$89,5,0)</f>
        <v>-1.6671037883497774E-13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284.62668108124626</v>
      </c>
      <c r="T114" s="59">
        <f t="shared" si="88"/>
        <v>333.70864452711021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0.58863745091427377</v>
      </c>
      <c r="AA114" s="21">
        <f>EXP(-LN(2)/25)*AA113+(1-EXP(-LN(2)/25))/(LN(2)/25)*Calculateur!V114*Calculateur!X114*VLOOKUP('Données projet'!$B$9,Paramètres!$A$1:$I$89,3,0)*0.475*44/12</f>
        <v>2.0106414822665721</v>
      </c>
      <c r="AB114" s="21">
        <f>EXP(-LN(2)/2)*AB113+(1-EXP(-LN(2)/2))/(LN(2)/2)*V114*Y114*VLOOKUP('Données projet'!$B$9,Paramètres!$A$1:$I$89,3,0)*0.475*44/12</f>
        <v>1.7109927014318622E-11</v>
      </c>
      <c r="AC114" s="22">
        <f t="shared" si="57"/>
        <v>2.5992789331979558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4.5</v>
      </c>
      <c r="AI114" s="13">
        <f>IF('Données projet'!$A$62&gt;35,AI113+AH114-AQ113,IF(A114&lt;'Données projet'!$A$62,$AF$205^A114,IF(A114='Données projet'!$A$62,'Données projet'!$B$62,AI113+AH114-AQ113)))</f>
        <v>311.49999999999966</v>
      </c>
      <c r="AJ114" s="13">
        <f>AI114*VLOOKUP('Données projet'!$B$10,Paramètres!$A$1:$I$89,3,0)*VLOOKUP('Données projet'!$B$10,Paramètres!$A$1:$I$89,5,0)</f>
        <v>281.84519999999969</v>
      </c>
      <c r="AK114" s="13">
        <f t="shared" si="89"/>
        <v>67.356803491560427</v>
      </c>
      <c r="AL114" s="20">
        <f t="shared" si="58"/>
        <v>608.19348941446708</v>
      </c>
      <c r="AM114" s="59">
        <f t="shared" si="59"/>
        <v>901.52682274780045</v>
      </c>
      <c r="AN114" s="59">
        <f ca="1">AVERAGE(OFFSET($AM$3,0,0,'Données projet'!$E$10+1,1))-AVERAGE(OFFSET($H$3,0,0,'Données projet'!$E$10+1,1))</f>
        <v>318.40875902853116</v>
      </c>
      <c r="AO114" s="59">
        <f t="shared" si="90"/>
        <v>234.87694492493506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0.48426910855358724</v>
      </c>
      <c r="AV114" s="21">
        <f>EXP(-LN(2)/25)*AV113+(1-EXP(-LN(2)/25))/(LN(2)/25)*Calculateur!AQ114*Calculateur!AS114*VLOOKUP('Données projet'!$B$10,Paramètres!$A$1:$I$89,3,0)*0.475*44/12</f>
        <v>1.1942091988586632</v>
      </c>
      <c r="AW114" s="21">
        <f>EXP(-LN(2)/2)*AW113+(1-EXP(-LN(2)/2))/(LN(2)/2)*AQ114*AT114*VLOOKUP('Données projet'!$B$10,Paramètres!$A$1:$I$89,3,0)*0.475*44/12</f>
        <v>1.3861163634072202E-11</v>
      </c>
      <c r="AX114" s="21">
        <f t="shared" si="60"/>
        <v>1.6784783074261116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-1.2505552149377763E-12</v>
      </c>
      <c r="BE114" s="13">
        <f>BD114*VLOOKUP('Données projet'!$B$11,Paramètres!$A$1:$I$89,3,0)*VLOOKUP('Données projet'!$B$11,Paramètres!$A$1:$I$89,5,0)</f>
        <v>-6.9906036515021697E-13</v>
      </c>
      <c r="BF114" s="13" t="e">
        <f t="shared" si="91"/>
        <v>#NUM!</v>
      </c>
      <c r="BG114" s="20" t="e">
        <f t="shared" si="61"/>
        <v>#NUM!</v>
      </c>
      <c r="BH114" s="59" t="e">
        <f t="shared" si="62"/>
        <v>#NUM!</v>
      </c>
      <c r="BI114" s="59">
        <f ca="1">AVERAGE(OFFSET($BH$3,0,0,'Données projet'!$E$11+1,1))-AVERAGE(OFFSET($H$3,0,0,'Données projet'!$E$11+1,1))</f>
        <v>415.91544298418842</v>
      </c>
      <c r="BJ114" s="59">
        <f t="shared" si="92"/>
        <v>422.79312683312583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2.2961035319351164</v>
      </c>
      <c r="BQ114" s="21">
        <f>EXP(-LN(2)/25)*BQ113+(1-EXP(-LN(2)/25))/(LN(2)/25)*Calculateur!BL114*Calculateur!BN114*VLOOKUP('Données projet'!$B$11,Paramètres!$A$1:$I$89,3,0)*0.475*44/12</f>
        <v>4.1024186020518423</v>
      </c>
      <c r="BR114" s="21">
        <f>EXP(-LN(2)/2)*BR113+(1-EXP(-LN(2)/2))/(LN(2)/2)*BL114*BO114*VLOOKUP('Données projet'!$B$11,Paramètres!$A$1:$I$89,3,0)*0.475*44/12</f>
        <v>2.3455433347265743E-11</v>
      </c>
      <c r="BS114" s="22">
        <f t="shared" si="63"/>
        <v>6.3985221340104133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25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99.590400000000173</v>
      </c>
      <c r="D115" s="11">
        <f t="shared" si="86"/>
        <v>26.864392698869374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976.14225942987014</v>
      </c>
      <c r="H115" s="67">
        <f t="shared" si="56"/>
        <v>513.57543061719775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-2.2737367544323206E-13</v>
      </c>
      <c r="O115" s="13">
        <f>N115*VLOOKUP('Données projet'!$B$9,Paramètres!$A$1:$I$89,3,0)*VLOOKUP('Données projet'!$B$9,Paramètres!$A$1:$I$89,5,0)</f>
        <v>-1.6671037883497774E-13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284.62668108124626</v>
      </c>
      <c r="T115" s="59">
        <f t="shared" si="88"/>
        <v>333.70864452711021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0.57709462953523827</v>
      </c>
      <c r="AA115" s="21">
        <f>EXP(-LN(2)/25)*AA114+(1-EXP(-LN(2)/25))/(LN(2)/25)*Calculateur!V115*Calculateur!X115*VLOOKUP('Données projet'!$B$9,Paramètres!$A$1:$I$89,3,0)*0.475*44/12</f>
        <v>1.9556603851989525</v>
      </c>
      <c r="AB115" s="21">
        <f>EXP(-LN(2)/2)*AB114+(1-EXP(-LN(2)/2))/(LN(2)/2)*V115*Y115*VLOOKUP('Données projet'!$B$9,Paramètres!$A$1:$I$89,3,0)*0.475*44/12</f>
        <v>1.2098545417431596E-11</v>
      </c>
      <c r="AC115" s="22">
        <f t="shared" si="57"/>
        <v>2.5327550147462894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4.5</v>
      </c>
      <c r="AI115" s="13">
        <f>IF('Données projet'!$A$62&gt;35,AI114+AH115-AQ114,IF(A115&lt;'Données projet'!$A$62,$AF$205^A115,IF(A115='Données projet'!$A$62,'Données projet'!$B$62,AI114+AH115-AQ114)))</f>
        <v>315.99999999999966</v>
      </c>
      <c r="AJ115" s="13">
        <f>AI115*VLOOKUP('Données projet'!$B$10,Paramètres!$A$1:$I$89,3,0)*VLOOKUP('Données projet'!$B$10,Paramètres!$A$1:$I$89,5,0)</f>
        <v>285.91679999999968</v>
      </c>
      <c r="AK115" s="13">
        <f t="shared" si="89"/>
        <v>68.215872977287475</v>
      </c>
      <c r="AL115" s="20">
        <f t="shared" si="58"/>
        <v>616.7810721021084</v>
      </c>
      <c r="AM115" s="59">
        <f t="shared" si="59"/>
        <v>910.11440543544177</v>
      </c>
      <c r="AN115" s="59">
        <f ca="1">AVERAGE(OFFSET($AM$3,0,0,'Données projet'!$E$10+1,1))-AVERAGE(OFFSET($H$3,0,0,'Données projet'!$E$10+1,1))</f>
        <v>318.40875902853116</v>
      </c>
      <c r="AO115" s="59">
        <f t="shared" si="90"/>
        <v>234.87694492493506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0.47477288670984175</v>
      </c>
      <c r="AV115" s="21">
        <f>EXP(-LN(2)/25)*AV114+(1-EXP(-LN(2)/25))/(LN(2)/25)*Calculateur!AQ115*Calculateur!AS115*VLOOKUP('Données projet'!$B$10,Paramètres!$A$1:$I$89,3,0)*0.475*44/12</f>
        <v>1.1615534855151406</v>
      </c>
      <c r="AW115" s="21">
        <f>EXP(-LN(2)/2)*AW114+(1-EXP(-LN(2)/2))/(LN(2)/2)*AQ115*AT115*VLOOKUP('Données projet'!$B$10,Paramètres!$A$1:$I$89,3,0)*0.475*44/12</f>
        <v>9.8013228007888222E-12</v>
      </c>
      <c r="AX115" s="21">
        <f t="shared" si="60"/>
        <v>1.6363263722347836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-1.2505552149377763E-12</v>
      </c>
      <c r="BE115" s="13">
        <f>BD115*VLOOKUP('Données projet'!$B$11,Paramètres!$A$1:$I$89,3,0)*VLOOKUP('Données projet'!$B$11,Paramètres!$A$1:$I$89,5,0)</f>
        <v>-6.9906036515021697E-13</v>
      </c>
      <c r="BF115" s="13" t="e">
        <f t="shared" si="91"/>
        <v>#NUM!</v>
      </c>
      <c r="BG115" s="20" t="e">
        <f t="shared" si="61"/>
        <v>#NUM!</v>
      </c>
      <c r="BH115" s="59" t="e">
        <f t="shared" si="62"/>
        <v>#NUM!</v>
      </c>
      <c r="BI115" s="59">
        <f ca="1">AVERAGE(OFFSET($BH$3,0,0,'Données projet'!$E$11+1,1))-AVERAGE(OFFSET($H$3,0,0,'Données projet'!$E$11+1,1))</f>
        <v>415.91544298418842</v>
      </c>
      <c r="BJ115" s="59">
        <f t="shared" si="92"/>
        <v>422.79312683312583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2.251078342158737</v>
      </c>
      <c r="BQ115" s="21">
        <f>EXP(-LN(2)/25)*BQ114+(1-EXP(-LN(2)/25))/(LN(2)/25)*Calculateur!BL115*Calculateur!BN115*VLOOKUP('Données projet'!$B$11,Paramètres!$A$1:$I$89,3,0)*0.475*44/12</f>
        <v>3.9902377496419166</v>
      </c>
      <c r="BR115" s="21">
        <f>EXP(-LN(2)/2)*BR114+(1-EXP(-LN(2)/2))/(LN(2)/2)*BL115*BO115*VLOOKUP('Données projet'!$B$11,Paramètres!$A$1:$I$89,3,0)*0.475*44/12</f>
        <v>1.6585495975520687E-11</v>
      </c>
      <c r="BS115" s="22">
        <f t="shared" si="63"/>
        <v>6.2413160918172395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25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100.47960000000018</v>
      </c>
      <c r="D116" s="11">
        <f t="shared" si="86"/>
        <v>27.076223799065254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984.64144686997872</v>
      </c>
      <c r="H116" s="67">
        <f t="shared" si="56"/>
        <v>515.49305978337225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-2.2737367544323206E-13</v>
      </c>
      <c r="O116" s="13">
        <f>N116*VLOOKUP('Données projet'!$B$9,Paramètres!$A$1:$I$89,3,0)*VLOOKUP('Données projet'!$B$9,Paramètres!$A$1:$I$89,5,0)</f>
        <v>-1.6671037883497774E-13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284.62668108124626</v>
      </c>
      <c r="T116" s="59">
        <f t="shared" si="88"/>
        <v>333.70864452711021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0.56577815584301983</v>
      </c>
      <c r="AA116" s="21">
        <f>EXP(-LN(2)/25)*AA115+(1-EXP(-LN(2)/25))/(LN(2)/25)*Calculateur!V116*Calculateur!X116*VLOOKUP('Données projet'!$B$9,Paramètres!$A$1:$I$89,3,0)*0.475*44/12</f>
        <v>1.9021827491219772</v>
      </c>
      <c r="AB116" s="21">
        <f>EXP(-LN(2)/2)*AB115+(1-EXP(-LN(2)/2))/(LN(2)/2)*V116*Y116*VLOOKUP('Données projet'!$B$9,Paramètres!$A$1:$I$89,3,0)*0.475*44/12</f>
        <v>8.5549635071593109E-12</v>
      </c>
      <c r="AC116" s="22">
        <f t="shared" si="57"/>
        <v>2.4679609049735518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4.5</v>
      </c>
      <c r="AI116" s="13">
        <f>IF('Données projet'!$A$62&gt;35,AI115+AH116-AQ115,IF(A116&lt;'Données projet'!$A$62,$AF$205^A116,IF(A116='Données projet'!$A$62,'Données projet'!$B$62,AI115+AH116-AQ115)))</f>
        <v>320.49999999999966</v>
      </c>
      <c r="AJ116" s="13">
        <f>AI116*VLOOKUP('Données projet'!$B$10,Paramètres!$A$1:$I$89,3,0)*VLOOKUP('Données projet'!$B$10,Paramètres!$A$1:$I$89,5,0)</f>
        <v>289.98839999999967</v>
      </c>
      <c r="AK116" s="13">
        <f t="shared" si="89"/>
        <v>69.073519602481454</v>
      </c>
      <c r="AL116" s="20">
        <f t="shared" si="58"/>
        <v>625.36617664098787</v>
      </c>
      <c r="AM116" s="59">
        <f t="shared" si="59"/>
        <v>918.69950997432124</v>
      </c>
      <c r="AN116" s="59">
        <f ca="1">AVERAGE(OFFSET($AM$3,0,0,'Données projet'!$E$10+1,1))-AVERAGE(OFFSET($H$3,0,0,'Données projet'!$E$10+1,1))</f>
        <v>318.40875902853116</v>
      </c>
      <c r="AO116" s="59">
        <f t="shared" si="90"/>
        <v>234.87694492493506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0.46546287998432873</v>
      </c>
      <c r="AV116" s="21">
        <f>EXP(-LN(2)/25)*AV115+(1-EXP(-LN(2)/25))/(LN(2)/25)*Calculateur!AQ116*Calculateur!AS116*VLOOKUP('Données projet'!$B$10,Paramètres!$A$1:$I$89,3,0)*0.475*44/12</f>
        <v>1.1297907443702859</v>
      </c>
      <c r="AW116" s="21">
        <f>EXP(-LN(2)/2)*AW115+(1-EXP(-LN(2)/2))/(LN(2)/2)*AQ116*AT116*VLOOKUP('Données projet'!$B$10,Paramètres!$A$1:$I$89,3,0)*0.475*44/12</f>
        <v>6.9305818170361009E-12</v>
      </c>
      <c r="AX116" s="21">
        <f t="shared" si="60"/>
        <v>1.5952536243615454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-1.2505552149377763E-12</v>
      </c>
      <c r="BE116" s="13">
        <f>BD116*VLOOKUP('Données projet'!$B$11,Paramètres!$A$1:$I$89,3,0)*VLOOKUP('Données projet'!$B$11,Paramètres!$A$1:$I$89,5,0)</f>
        <v>-6.9906036515021697E-13</v>
      </c>
      <c r="BF116" s="13" t="e">
        <f t="shared" si="91"/>
        <v>#NUM!</v>
      </c>
      <c r="BG116" s="20" t="e">
        <f t="shared" si="61"/>
        <v>#NUM!</v>
      </c>
      <c r="BH116" s="59" t="e">
        <f t="shared" si="62"/>
        <v>#NUM!</v>
      </c>
      <c r="BI116" s="59">
        <f ca="1">AVERAGE(OFFSET($BH$3,0,0,'Données projet'!$E$11+1,1))-AVERAGE(OFFSET($H$3,0,0,'Données projet'!$E$11+1,1))</f>
        <v>415.91544298418842</v>
      </c>
      <c r="BJ116" s="59">
        <f t="shared" si="92"/>
        <v>422.79312683312583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2.2069360688912183</v>
      </c>
      <c r="BQ116" s="21">
        <f>EXP(-LN(2)/25)*BQ115+(1-EXP(-LN(2)/25))/(LN(2)/25)*Calculateur!BL116*Calculateur!BN116*VLOOKUP('Données projet'!$B$11,Paramètres!$A$1:$I$89,3,0)*0.475*44/12</f>
        <v>3.881124488540475</v>
      </c>
      <c r="BR116" s="21">
        <f>EXP(-LN(2)/2)*BR115+(1-EXP(-LN(2)/2))/(LN(2)/2)*BL116*BO116*VLOOKUP('Données projet'!$B$11,Paramètres!$A$1:$I$89,3,0)*0.475*44/12</f>
        <v>1.1727716673632871E-11</v>
      </c>
      <c r="BS116" s="22">
        <f t="shared" si="63"/>
        <v>6.0880605574434208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25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101.36880000000018</v>
      </c>
      <c r="D117" s="11">
        <f t="shared" si="86"/>
        <v>27.287836803817498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993.13895076631172</v>
      </c>
      <c r="H117" s="67">
        <f t="shared" si="56"/>
        <v>517.41030909998244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-2.2737367544323206E-13</v>
      </c>
      <c r="O117" s="13">
        <f>N117*VLOOKUP('Données projet'!$B$9,Paramètres!$A$1:$I$89,3,0)*VLOOKUP('Données projet'!$B$9,Paramètres!$A$1:$I$89,5,0)</f>
        <v>-1.6671037883497774E-13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284.62668108124626</v>
      </c>
      <c r="T117" s="59">
        <f t="shared" si="88"/>
        <v>333.70864452711021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0.55468359129753841</v>
      </c>
      <c r="AA117" s="21">
        <f>EXP(-LN(2)/25)*AA116+(1-EXP(-LN(2)/25))/(LN(2)/25)*Calculateur!V117*Calculateur!X117*VLOOKUP('Données projet'!$B$9,Paramètres!$A$1:$I$89,3,0)*0.475*44/12</f>
        <v>1.8501674618157935</v>
      </c>
      <c r="AB117" s="21">
        <f>EXP(-LN(2)/2)*AB116+(1-EXP(-LN(2)/2))/(LN(2)/2)*V117*Y117*VLOOKUP('Données projet'!$B$9,Paramètres!$A$1:$I$89,3,0)*0.475*44/12</f>
        <v>6.0492727087157982E-12</v>
      </c>
      <c r="AC117" s="22">
        <f t="shared" si="57"/>
        <v>2.4048510531193812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4.5</v>
      </c>
      <c r="AI117" s="13">
        <f>IF('Données projet'!$A$62&gt;35,AI116+AH117-AQ116,IF(A117&lt;'Données projet'!$A$62,$AF$205^A117,IF(A117='Données projet'!$A$62,'Données projet'!$B$62,AI116+AH117-AQ116)))</f>
        <v>324.99999999999966</v>
      </c>
      <c r="AJ117" s="13">
        <f>AI117*VLOOKUP('Données projet'!$B$10,Paramètres!$A$1:$I$89,3,0)*VLOOKUP('Données projet'!$B$10,Paramètres!$A$1:$I$89,5,0)</f>
        <v>294.05999999999972</v>
      </c>
      <c r="AK117" s="13">
        <f t="shared" si="89"/>
        <v>69.929765653573313</v>
      </c>
      <c r="AL117" s="20">
        <f t="shared" si="58"/>
        <v>633.94884184663977</v>
      </c>
      <c r="AM117" s="59">
        <f t="shared" si="59"/>
        <v>927.28217517997314</v>
      </c>
      <c r="AN117" s="59">
        <f ca="1">AVERAGE(OFFSET($AM$3,0,0,'Données projet'!$E$10+1,1))-AVERAGE(OFFSET($H$3,0,0,'Données projet'!$E$10+1,1))</f>
        <v>318.40875902853116</v>
      </c>
      <c r="AO117" s="59">
        <f t="shared" si="90"/>
        <v>234.87694492493506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0.4563354368121596</v>
      </c>
      <c r="AV117" s="21">
        <f>EXP(-LN(2)/25)*AV116+(1-EXP(-LN(2)/25))/(LN(2)/25)*Calculateur!AQ117*Calculateur!AS117*VLOOKUP('Données projet'!$B$10,Paramètres!$A$1:$I$89,3,0)*0.475*44/12</f>
        <v>1.0988965570523674</v>
      </c>
      <c r="AW117" s="21">
        <f>EXP(-LN(2)/2)*AW116+(1-EXP(-LN(2)/2))/(LN(2)/2)*AQ117*AT117*VLOOKUP('Données projet'!$B$10,Paramètres!$A$1:$I$89,3,0)*0.475*44/12</f>
        <v>4.9006614003944111E-12</v>
      </c>
      <c r="AX117" s="21">
        <f t="shared" si="60"/>
        <v>1.5552319938694279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-1.2505552149377763E-12</v>
      </c>
      <c r="BE117" s="13">
        <f>BD117*VLOOKUP('Données projet'!$B$11,Paramètres!$A$1:$I$89,3,0)*VLOOKUP('Données projet'!$B$11,Paramètres!$A$1:$I$89,5,0)</f>
        <v>-6.9906036515021697E-13</v>
      </c>
      <c r="BF117" s="13" t="e">
        <f t="shared" si="91"/>
        <v>#NUM!</v>
      </c>
      <c r="BG117" s="20" t="e">
        <f t="shared" si="61"/>
        <v>#NUM!</v>
      </c>
      <c r="BH117" s="59" t="e">
        <f t="shared" si="62"/>
        <v>#NUM!</v>
      </c>
      <c r="BI117" s="59">
        <f ca="1">AVERAGE(OFFSET($BH$3,0,0,'Données projet'!$E$11+1,1))-AVERAGE(OFFSET($H$3,0,0,'Données projet'!$E$11+1,1))</f>
        <v>415.91544298418842</v>
      </c>
      <c r="BJ117" s="59">
        <f t="shared" si="92"/>
        <v>422.79312683312583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2.1636593986783472</v>
      </c>
      <c r="BQ117" s="21">
        <f>EXP(-LN(2)/25)*BQ116+(1-EXP(-LN(2)/25))/(LN(2)/25)*Calculateur!BL117*Calculateur!BN117*VLOOKUP('Données projet'!$B$11,Paramètres!$A$1:$I$89,3,0)*0.475*44/12</f>
        <v>3.7749949353018692</v>
      </c>
      <c r="BR117" s="21">
        <f>EXP(-LN(2)/2)*BR116+(1-EXP(-LN(2)/2))/(LN(2)/2)*BL117*BO117*VLOOKUP('Données projet'!$B$11,Paramètres!$A$1:$I$89,3,0)*0.475*44/12</f>
        <v>8.2927479877603436E-12</v>
      </c>
      <c r="BS117" s="22">
        <f t="shared" si="63"/>
        <v>5.9386543339885094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25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102.25800000000018</v>
      </c>
      <c r="D118" s="11">
        <f t="shared" si="86"/>
        <v>27.499233847895908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1001.6347875977945</v>
      </c>
      <c r="H118" s="67">
        <f t="shared" si="56"/>
        <v>519.32718228508566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-2.2737367544323206E-13</v>
      </c>
      <c r="O118" s="13">
        <f>N118*VLOOKUP('Données projet'!$B$9,Paramètres!$A$1:$I$89,3,0)*VLOOKUP('Données projet'!$B$9,Paramètres!$A$1:$I$89,5,0)</f>
        <v>-1.6671037883497774E-13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284.62668108124626</v>
      </c>
      <c r="T118" s="59">
        <f t="shared" si="88"/>
        <v>333.70864452711021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0.54380658439577767</v>
      </c>
      <c r="AA118" s="21">
        <f>EXP(-LN(2)/25)*AA117+(1-EXP(-LN(2)/25))/(LN(2)/25)*Calculateur!V118*Calculateur!X118*VLOOKUP('Données projet'!$B$9,Paramètres!$A$1:$I$89,3,0)*0.475*44/12</f>
        <v>1.7995745352763624</v>
      </c>
      <c r="AB118" s="21">
        <f>EXP(-LN(2)/2)*AB117+(1-EXP(-LN(2)/2))/(LN(2)/2)*V118*Y118*VLOOKUP('Données projet'!$B$9,Paramètres!$A$1:$I$89,3,0)*0.475*44/12</f>
        <v>4.2774817535796555E-12</v>
      </c>
      <c r="AC118" s="22">
        <f t="shared" si="57"/>
        <v>2.3433811196764176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4.5</v>
      </c>
      <c r="AI118" s="13">
        <f>IF('Données projet'!$A$62&gt;35,AI117+AH118-AQ117,IF(A118&lt;'Données projet'!$A$62,$AF$205^A118,IF(A118='Données projet'!$A$62,'Données projet'!$B$62,AI117+AH118-AQ117)))</f>
        <v>329.49999999999966</v>
      </c>
      <c r="AJ118" s="13">
        <f>AI118*VLOOKUP('Données projet'!$B$10,Paramètres!$A$1:$I$89,3,0)*VLOOKUP('Données projet'!$B$10,Paramètres!$A$1:$I$89,5,0)</f>
        <v>298.13159999999965</v>
      </c>
      <c r="AK118" s="13">
        <f t="shared" si="89"/>
        <v>70.784632764375971</v>
      </c>
      <c r="AL118" s="20">
        <f t="shared" si="58"/>
        <v>642.52910539795425</v>
      </c>
      <c r="AM118" s="59">
        <f t="shared" si="59"/>
        <v>935.86243873128751</v>
      </c>
      <c r="AN118" s="59">
        <f ca="1">AVERAGE(OFFSET($AM$3,0,0,'Données projet'!$E$10+1,1))-AVERAGE(OFFSET($H$3,0,0,'Données projet'!$E$10+1,1))</f>
        <v>318.40875902853116</v>
      </c>
      <c r="AO118" s="59">
        <f t="shared" si="90"/>
        <v>234.87694492493506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0.44738697723340609</v>
      </c>
      <c r="AV118" s="21">
        <f>EXP(-LN(2)/25)*AV117+(1-EXP(-LN(2)/25))/(LN(2)/25)*Calculateur!AQ118*Calculateur!AS118*VLOOKUP('Données projet'!$B$10,Paramètres!$A$1:$I$89,3,0)*0.475*44/12</f>
        <v>1.068847172911312</v>
      </c>
      <c r="AW118" s="21">
        <f>EXP(-LN(2)/2)*AW117+(1-EXP(-LN(2)/2))/(LN(2)/2)*AQ118*AT118*VLOOKUP('Données projet'!$B$10,Paramètres!$A$1:$I$89,3,0)*0.475*44/12</f>
        <v>3.4652909085180505E-12</v>
      </c>
      <c r="AX118" s="21">
        <f t="shared" si="60"/>
        <v>1.5162341501481833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-1.2505552149377763E-12</v>
      </c>
      <c r="BE118" s="13">
        <f>BD118*VLOOKUP('Données projet'!$B$11,Paramètres!$A$1:$I$89,3,0)*VLOOKUP('Données projet'!$B$11,Paramètres!$A$1:$I$89,5,0)</f>
        <v>-6.9906036515021697E-13</v>
      </c>
      <c r="BF118" s="13" t="e">
        <f t="shared" si="91"/>
        <v>#NUM!</v>
      </c>
      <c r="BG118" s="20" t="e">
        <f t="shared" si="61"/>
        <v>#NUM!</v>
      </c>
      <c r="BH118" s="59" t="e">
        <f t="shared" si="62"/>
        <v>#NUM!</v>
      </c>
      <c r="BI118" s="59">
        <f ca="1">AVERAGE(OFFSET($BH$3,0,0,'Données projet'!$E$11+1,1))-AVERAGE(OFFSET($H$3,0,0,'Données projet'!$E$11+1,1))</f>
        <v>415.91544298418842</v>
      </c>
      <c r="BJ118" s="59">
        <f t="shared" si="92"/>
        <v>422.79312683312583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2.1212313575721882</v>
      </c>
      <c r="BQ118" s="21">
        <f>EXP(-LN(2)/25)*BQ117+(1-EXP(-LN(2)/25))/(LN(2)/25)*Calculateur!BL118*Calculateur!BN118*VLOOKUP('Données projet'!$B$11,Paramètres!$A$1:$I$89,3,0)*0.475*44/12</f>
        <v>3.6717675002776837</v>
      </c>
      <c r="BR118" s="21">
        <f>EXP(-LN(2)/2)*BR117+(1-EXP(-LN(2)/2))/(LN(2)/2)*BL118*BO118*VLOOKUP('Données projet'!$B$11,Paramètres!$A$1:$I$89,3,0)*0.475*44/12</f>
        <v>5.8638583368164357E-12</v>
      </c>
      <c r="BS118" s="22">
        <f t="shared" si="63"/>
        <v>5.7929988578557357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25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103.14720000000018</v>
      </c>
      <c r="D119" s="11">
        <f t="shared" si="86"/>
        <v>27.710417026801501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1010.1289735402235</v>
      </c>
      <c r="H119" s="67">
        <f t="shared" si="56"/>
        <v>521.24368298834622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-2.2737367544323206E-13</v>
      </c>
      <c r="O119" s="13">
        <f>N119*VLOOKUP('Données projet'!$B$9,Paramètres!$A$1:$I$89,3,0)*VLOOKUP('Données projet'!$B$9,Paramètres!$A$1:$I$89,5,0)</f>
        <v>-1.6671037883497774E-13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284.62668108124626</v>
      </c>
      <c r="T119" s="59">
        <f t="shared" si="88"/>
        <v>333.70864452711021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0.53314286896504137</v>
      </c>
      <c r="AA119" s="21">
        <f>EXP(-LN(2)/25)*AA118+(1-EXP(-LN(2)/25))/(LN(2)/25)*Calculateur!V119*Calculateur!X119*VLOOKUP('Données projet'!$B$9,Paramètres!$A$1:$I$89,3,0)*0.475*44/12</f>
        <v>1.7503650749737183</v>
      </c>
      <c r="AB119" s="21">
        <f>EXP(-LN(2)/2)*AB118+(1-EXP(-LN(2)/2))/(LN(2)/2)*V119*Y119*VLOOKUP('Données projet'!$B$9,Paramètres!$A$1:$I$89,3,0)*0.475*44/12</f>
        <v>3.0246363543578991E-12</v>
      </c>
      <c r="AC119" s="22">
        <f t="shared" si="57"/>
        <v>2.2835079439417845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4.5</v>
      </c>
      <c r="AI119" s="13">
        <f>IF('Données projet'!$A$62&gt;35,AI118+AH119-AQ118,IF(A119&lt;'Données projet'!$A$62,$AF$205^A119,IF(A119='Données projet'!$A$62,'Données projet'!$B$62,AI118+AH119-AQ118)))</f>
        <v>333.99999999999966</v>
      </c>
      <c r="AJ119" s="13">
        <f>AI119*VLOOKUP('Données projet'!$B$10,Paramètres!$A$1:$I$89,3,0)*VLOOKUP('Données projet'!$B$10,Paramètres!$A$1:$I$89,5,0)</f>
        <v>302.2031999999997</v>
      </c>
      <c r="AK119" s="13">
        <f t="shared" si="89"/>
        <v>71.638141943842228</v>
      </c>
      <c r="AL119" s="20">
        <f t="shared" si="58"/>
        <v>651.1070038855247</v>
      </c>
      <c r="AM119" s="59">
        <f t="shared" si="59"/>
        <v>944.44033721885808</v>
      </c>
      <c r="AN119" s="59">
        <f ca="1">AVERAGE(OFFSET($AM$3,0,0,'Données projet'!$E$10+1,1))-AVERAGE(OFFSET($H$3,0,0,'Données projet'!$E$10+1,1))</f>
        <v>318.40875902853116</v>
      </c>
      <c r="AO119" s="59">
        <f t="shared" si="90"/>
        <v>234.87694492493506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0.43861399148897051</v>
      </c>
      <c r="AV119" s="21">
        <f>EXP(-LN(2)/25)*AV118+(1-EXP(-LN(2)/25))/(LN(2)/25)*Calculateur!AQ119*Calculateur!AS119*VLOOKUP('Données projet'!$B$10,Paramètres!$A$1:$I$89,3,0)*0.475*44/12</f>
        <v>1.0396194907598222</v>
      </c>
      <c r="AW119" s="21">
        <f>EXP(-LN(2)/2)*AW118+(1-EXP(-LN(2)/2))/(LN(2)/2)*AQ119*AT119*VLOOKUP('Données projet'!$B$10,Paramètres!$A$1:$I$89,3,0)*0.475*44/12</f>
        <v>2.4503307001972056E-12</v>
      </c>
      <c r="AX119" s="21">
        <f t="shared" si="60"/>
        <v>1.4782334822512431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-1.2505552149377763E-12</v>
      </c>
      <c r="BE119" s="13">
        <f>BD119*VLOOKUP('Données projet'!$B$11,Paramètres!$A$1:$I$89,3,0)*VLOOKUP('Données projet'!$B$11,Paramètres!$A$1:$I$89,5,0)</f>
        <v>-6.9906036515021697E-13</v>
      </c>
      <c r="BF119" s="13" t="e">
        <f t="shared" si="91"/>
        <v>#NUM!</v>
      </c>
      <c r="BG119" s="20" t="e">
        <f t="shared" si="61"/>
        <v>#NUM!</v>
      </c>
      <c r="BH119" s="59" t="e">
        <f t="shared" si="62"/>
        <v>#NUM!</v>
      </c>
      <c r="BI119" s="59">
        <f ca="1">AVERAGE(OFFSET($BH$3,0,0,'Données projet'!$E$11+1,1))-AVERAGE(OFFSET($H$3,0,0,'Données projet'!$E$11+1,1))</f>
        <v>415.91544298418842</v>
      </c>
      <c r="BJ119" s="59">
        <f t="shared" si="92"/>
        <v>422.79312683312583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2.0796353044735714</v>
      </c>
      <c r="BQ119" s="21">
        <f>EXP(-LN(2)/25)*BQ118+(1-EXP(-LN(2)/25))/(LN(2)/25)*Calculateur!BL119*Calculateur!BN119*VLOOKUP('Données projet'!$B$11,Paramètres!$A$1:$I$89,3,0)*0.475*44/12</f>
        <v>3.5713628248927294</v>
      </c>
      <c r="BR119" s="21">
        <f>EXP(-LN(2)/2)*BR118+(1-EXP(-LN(2)/2))/(LN(2)/2)*BL119*BO119*VLOOKUP('Données projet'!$B$11,Paramètres!$A$1:$I$89,3,0)*0.475*44/12</f>
        <v>4.1463739938801718E-12</v>
      </c>
      <c r="BS119" s="22">
        <f t="shared" si="63"/>
        <v>5.6509981293704463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25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104.03640000000019</v>
      </c>
      <c r="D120" s="11">
        <f t="shared" si="86"/>
        <v>27.921388397821048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1018.6215244744094</v>
      </c>
      <c r="H120" s="67">
        <f t="shared" si="56"/>
        <v>523.15981479287188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-2.2737367544323206E-13</v>
      </c>
      <c r="O120" s="13">
        <f>N120*VLOOKUP('Données projet'!$B$9,Paramètres!$A$1:$I$89,3,0)*VLOOKUP('Données projet'!$B$9,Paramètres!$A$1:$I$89,5,0)</f>
        <v>-1.6671037883497774E-13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284.62668108124626</v>
      </c>
      <c r="T120" s="59">
        <f t="shared" si="88"/>
        <v>333.70864452711021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0.52268826248967759</v>
      </c>
      <c r="AA120" s="21">
        <f>EXP(-LN(2)/25)*AA119+(1-EXP(-LN(2)/25))/(LN(2)/25)*Calculateur!V120*Calculateur!X120*VLOOKUP('Données projet'!$B$9,Paramètres!$A$1:$I$89,3,0)*0.475*44/12</f>
        <v>1.7025012499508632</v>
      </c>
      <c r="AB120" s="21">
        <f>EXP(-LN(2)/2)*AB119+(1-EXP(-LN(2)/2))/(LN(2)/2)*V120*Y120*VLOOKUP('Données projet'!$B$9,Paramètres!$A$1:$I$89,3,0)*0.475*44/12</f>
        <v>2.1387408767898277E-12</v>
      </c>
      <c r="AC120" s="22">
        <f t="shared" si="57"/>
        <v>2.2251895124426797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4.5</v>
      </c>
      <c r="AI120" s="13">
        <f>IF('Données projet'!$A$62&gt;35,AI119+AH120-AQ119,IF(A120&lt;'Données projet'!$A$62,$AF$205^A120,IF(A120='Données projet'!$A$62,'Données projet'!$B$62,AI119+AH120-AQ119)))</f>
        <v>338.49999999999966</v>
      </c>
      <c r="AJ120" s="13">
        <f>AI120*VLOOKUP('Données projet'!$B$10,Paramètres!$A$1:$I$89,3,0)*VLOOKUP('Données projet'!$B$10,Paramètres!$A$1:$I$89,5,0)</f>
        <v>306.27479999999969</v>
      </c>
      <c r="AK120" s="13">
        <f t="shared" si="89"/>
        <v>72.490313602282981</v>
      </c>
      <c r="AL120" s="20">
        <f t="shared" si="58"/>
        <v>659.68257285730897</v>
      </c>
      <c r="AM120" s="59">
        <f t="shared" si="59"/>
        <v>953.01590619064223</v>
      </c>
      <c r="AN120" s="59">
        <f ca="1">AVERAGE(OFFSET($AM$3,0,0,'Données projet'!$E$10+1,1))-AVERAGE(OFFSET($H$3,0,0,'Données projet'!$E$10+1,1))</f>
        <v>318.40875902853116</v>
      </c>
      <c r="AO120" s="59">
        <f t="shared" si="90"/>
        <v>234.87694492493506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0.43001303864399038</v>
      </c>
      <c r="AV120" s="21">
        <f>EXP(-LN(2)/25)*AV119+(1-EXP(-LN(2)/25))/(LN(2)/25)*Calculateur!AQ120*Calculateur!AS120*VLOOKUP('Données projet'!$B$10,Paramètres!$A$1:$I$89,3,0)*0.475*44/12</f>
        <v>1.0111910411137819</v>
      </c>
      <c r="AW120" s="21">
        <f>EXP(-LN(2)/2)*AW119+(1-EXP(-LN(2)/2))/(LN(2)/2)*AQ120*AT120*VLOOKUP('Données projet'!$B$10,Paramètres!$A$1:$I$89,3,0)*0.475*44/12</f>
        <v>1.7326454542590252E-12</v>
      </c>
      <c r="AX120" s="21">
        <f t="shared" si="60"/>
        <v>1.4412040797595049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-1.2505552149377763E-12</v>
      </c>
      <c r="BE120" s="13">
        <f>BD120*VLOOKUP('Données projet'!$B$11,Paramètres!$A$1:$I$89,3,0)*VLOOKUP('Données projet'!$B$11,Paramètres!$A$1:$I$89,5,0)</f>
        <v>-6.9906036515021697E-13</v>
      </c>
      <c r="BF120" s="13" t="e">
        <f t="shared" si="91"/>
        <v>#NUM!</v>
      </c>
      <c r="BG120" s="20" t="e">
        <f t="shared" si="61"/>
        <v>#NUM!</v>
      </c>
      <c r="BH120" s="59" t="e">
        <f t="shared" si="62"/>
        <v>#NUM!</v>
      </c>
      <c r="BI120" s="59">
        <f ca="1">AVERAGE(OFFSET($BH$3,0,0,'Données projet'!$E$11+1,1))-AVERAGE(OFFSET($H$3,0,0,'Données projet'!$E$11+1,1))</f>
        <v>415.91544298418842</v>
      </c>
      <c r="BJ120" s="59">
        <f t="shared" si="92"/>
        <v>422.79312683312583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2.0388549246051313</v>
      </c>
      <c r="BQ120" s="21">
        <f>EXP(-LN(2)/25)*BQ119+(1-EXP(-LN(2)/25))/(LN(2)/25)*Calculateur!BL120*Calculateur!BN120*VLOOKUP('Données projet'!$B$11,Paramètres!$A$1:$I$89,3,0)*0.475*44/12</f>
        <v>3.4737037206362293</v>
      </c>
      <c r="BR120" s="21">
        <f>EXP(-LN(2)/2)*BR119+(1-EXP(-LN(2)/2))/(LN(2)/2)*BL120*BO120*VLOOKUP('Données projet'!$B$11,Paramètres!$A$1:$I$89,3,0)*0.475*44/12</f>
        <v>2.9319291684082178E-12</v>
      </c>
      <c r="BS120" s="22">
        <f t="shared" si="63"/>
        <v>5.512558645244293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25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104.92560000000019</v>
      </c>
      <c r="D121" s="11">
        <f t="shared" si="86"/>
        <v>28.132149981044396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1027.1124559940286</v>
      </c>
      <c r="H121" s="67">
        <f t="shared" si="56"/>
        <v>525.07558121698594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-2.2737367544323206E-13</v>
      </c>
      <c r="O121" s="13">
        <f>N121*VLOOKUP('Données projet'!$B$9,Paramètres!$A$1:$I$89,3,0)*VLOOKUP('Données projet'!$B$9,Paramètres!$A$1:$I$89,5,0)</f>
        <v>-1.6671037883497774E-13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284.62668108124626</v>
      </c>
      <c r="T121" s="59">
        <f t="shared" si="88"/>
        <v>333.70864452711021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0.51243866447061537</v>
      </c>
      <c r="AA121" s="21">
        <f>EXP(-LN(2)/25)*AA120+(1-EXP(-LN(2)/25))/(LN(2)/25)*Calculateur!V121*Calculateur!X121*VLOOKUP('Données projet'!$B$9,Paramètres!$A$1:$I$89,3,0)*0.475*44/12</f>
        <v>1.6559462637403073</v>
      </c>
      <c r="AB121" s="21">
        <f>EXP(-LN(2)/2)*AB120+(1-EXP(-LN(2)/2))/(LN(2)/2)*V121*Y121*VLOOKUP('Données projet'!$B$9,Paramètres!$A$1:$I$89,3,0)*0.475*44/12</f>
        <v>1.5123181771789496E-12</v>
      </c>
      <c r="AC121" s="22">
        <f t="shared" si="57"/>
        <v>2.168384928212435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4.5</v>
      </c>
      <c r="AI121" s="13">
        <f>IF('Données projet'!$A$62&gt;35,AI120+AH121-AQ120,IF(A121&lt;'Données projet'!$A$62,$AF$205^A121,IF(A121='Données projet'!$A$62,'Données projet'!$B$62,AI120+AH121-AQ120)))</f>
        <v>342.99999999999966</v>
      </c>
      <c r="AJ121" s="13">
        <f>AI121*VLOOKUP('Données projet'!$B$10,Paramètres!$A$1:$I$89,3,0)*VLOOKUP('Données projet'!$B$10,Paramètres!$A$1:$I$89,5,0)</f>
        <v>310.34639999999968</v>
      </c>
      <c r="AK121" s="13">
        <f t="shared" si="89"/>
        <v>73.341167576152998</v>
      </c>
      <c r="AL121" s="20">
        <f t="shared" si="58"/>
        <v>668.25584686179923</v>
      </c>
      <c r="AM121" s="59">
        <f t="shared" si="59"/>
        <v>961.58918019513249</v>
      </c>
      <c r="AN121" s="59">
        <f ca="1">AVERAGE(OFFSET($AM$3,0,0,'Données projet'!$E$10+1,1))-AVERAGE(OFFSET($H$3,0,0,'Données projet'!$E$10+1,1))</f>
        <v>318.40875902853116</v>
      </c>
      <c r="AO121" s="59">
        <f t="shared" si="90"/>
        <v>234.87694492493506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0.42158074523823708</v>
      </c>
      <c r="AV121" s="21">
        <f>EXP(-LN(2)/25)*AV120+(1-EXP(-LN(2)/25))/(LN(2)/25)*Calculateur!AQ121*Calculateur!AS121*VLOOKUP('Données projet'!$B$10,Paramètres!$A$1:$I$89,3,0)*0.475*44/12</f>
        <v>0.98353996891829976</v>
      </c>
      <c r="AW121" s="21">
        <f>EXP(-LN(2)/2)*AW120+(1-EXP(-LN(2)/2))/(LN(2)/2)*AQ121*AT121*VLOOKUP('Données projet'!$B$10,Paramètres!$A$1:$I$89,3,0)*0.475*44/12</f>
        <v>1.2251653500986028E-12</v>
      </c>
      <c r="AX121" s="21">
        <f t="shared" si="60"/>
        <v>1.405120714157762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-1.2505552149377763E-12</v>
      </c>
      <c r="BE121" s="13">
        <f>BD121*VLOOKUP('Données projet'!$B$11,Paramètres!$A$1:$I$89,3,0)*VLOOKUP('Données projet'!$B$11,Paramètres!$A$1:$I$89,5,0)</f>
        <v>-6.9906036515021697E-13</v>
      </c>
      <c r="BF121" s="13" t="e">
        <f t="shared" si="91"/>
        <v>#NUM!</v>
      </c>
      <c r="BG121" s="20" t="e">
        <f t="shared" si="61"/>
        <v>#NUM!</v>
      </c>
      <c r="BH121" s="59" t="e">
        <f t="shared" si="62"/>
        <v>#NUM!</v>
      </c>
      <c r="BI121" s="59">
        <f ca="1">AVERAGE(OFFSET($BH$3,0,0,'Données projet'!$E$11+1,1))-AVERAGE(OFFSET($H$3,0,0,'Données projet'!$E$11+1,1))</f>
        <v>415.91544298418842</v>
      </c>
      <c r="BJ121" s="59">
        <f t="shared" si="92"/>
        <v>422.79312683312583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1.9988742231123355</v>
      </c>
      <c r="BQ121" s="21">
        <f>EXP(-LN(2)/25)*BQ120+(1-EXP(-LN(2)/25))/(LN(2)/25)*Calculateur!BL121*Calculateur!BN121*VLOOKUP('Données projet'!$B$11,Paramètres!$A$1:$I$89,3,0)*0.475*44/12</f>
        <v>3.3787151097212922</v>
      </c>
      <c r="BR121" s="21">
        <f>EXP(-LN(2)/2)*BR120+(1-EXP(-LN(2)/2))/(LN(2)/2)*BL121*BO121*VLOOKUP('Données projet'!$B$11,Paramètres!$A$1:$I$89,3,0)*0.475*44/12</f>
        <v>2.0731869969400859E-12</v>
      </c>
      <c r="BS121" s="22">
        <f t="shared" si="63"/>
        <v>5.3775893328357007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25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105.81480000000019</v>
      </c>
      <c r="D122" s="11">
        <f t="shared" si="86"/>
        <v>28.342703760346538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1035.6017834132028</v>
      </c>
      <c r="H122" s="67">
        <f t="shared" si="56"/>
        <v>526.9909857159372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-2.2737367544323206E-13</v>
      </c>
      <c r="O122" s="13">
        <f>N122*VLOOKUP('Données projet'!$B$9,Paramètres!$A$1:$I$89,3,0)*VLOOKUP('Données projet'!$B$9,Paramètres!$A$1:$I$89,5,0)</f>
        <v>-1.6671037883497774E-13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284.62668108124626</v>
      </c>
      <c r="T122" s="59">
        <f t="shared" si="88"/>
        <v>333.70864452711021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0.50239005481706955</v>
      </c>
      <c r="AA122" s="21">
        <f>EXP(-LN(2)/25)*AA121+(1-EXP(-LN(2)/25))/(LN(2)/25)*Calculateur!V122*Calculateur!X122*VLOOKUP('Données projet'!$B$9,Paramètres!$A$1:$I$89,3,0)*0.475*44/12</f>
        <v>1.6106643260758993</v>
      </c>
      <c r="AB122" s="21">
        <f>EXP(-LN(2)/2)*AB121+(1-EXP(-LN(2)/2))/(LN(2)/2)*V122*Y122*VLOOKUP('Données projet'!$B$9,Paramètres!$A$1:$I$89,3,0)*0.475*44/12</f>
        <v>1.0693704383949139E-12</v>
      </c>
      <c r="AC122" s="22">
        <f t="shared" si="57"/>
        <v>2.1130543808940381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4.5</v>
      </c>
      <c r="AI122" s="13">
        <f>IF('Données projet'!$A$62&gt;35,AI121+AH122-AQ121,IF(A122&lt;'Données projet'!$A$62,$AF$205^A122,IF(A122='Données projet'!$A$62,'Données projet'!$B$62,AI121+AH122-AQ121)))</f>
        <v>347.49999999999966</v>
      </c>
      <c r="AJ122" s="13">
        <f>AI122*VLOOKUP('Données projet'!$B$10,Paramètres!$A$1:$I$89,3,0)*VLOOKUP('Données projet'!$B$10,Paramètres!$A$1:$I$89,5,0)</f>
        <v>314.41799999999967</v>
      </c>
      <c r="AK122" s="13">
        <f t="shared" si="89"/>
        <v>74.190723151497266</v>
      </c>
      <c r="AL122" s="20">
        <f t="shared" si="58"/>
        <v>676.82685948885705</v>
      </c>
      <c r="AM122" s="59">
        <f t="shared" si="59"/>
        <v>970.16019282219031</v>
      </c>
      <c r="AN122" s="59">
        <f ca="1">AVERAGE(OFFSET($AM$3,0,0,'Données projet'!$E$10+1,1))-AVERAGE(OFFSET($H$3,0,0,'Données projet'!$E$10+1,1))</f>
        <v>318.40875902853116</v>
      </c>
      <c r="AO122" s="59">
        <f t="shared" si="90"/>
        <v>234.87694492493506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0.41331380396297951</v>
      </c>
      <c r="AV122" s="21">
        <f>EXP(-LN(2)/25)*AV121+(1-EXP(-LN(2)/25))/(LN(2)/25)*Calculateur!AQ122*Calculateur!AS122*VLOOKUP('Données projet'!$B$10,Paramètres!$A$1:$I$89,3,0)*0.475*44/12</f>
        <v>0.9566450167461098</v>
      </c>
      <c r="AW122" s="21">
        <f>EXP(-LN(2)/2)*AW121+(1-EXP(-LN(2)/2))/(LN(2)/2)*AQ122*AT122*VLOOKUP('Données projet'!$B$10,Paramètres!$A$1:$I$89,3,0)*0.475*44/12</f>
        <v>8.6632272712951262E-13</v>
      </c>
      <c r="AX122" s="21">
        <f t="shared" si="60"/>
        <v>1.3699588207099558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-1.2505552149377763E-12</v>
      </c>
      <c r="BE122" s="13">
        <f>BD122*VLOOKUP('Données projet'!$B$11,Paramètres!$A$1:$I$89,3,0)*VLOOKUP('Données projet'!$B$11,Paramètres!$A$1:$I$89,5,0)</f>
        <v>-6.9906036515021697E-13</v>
      </c>
      <c r="BF122" s="13" t="e">
        <f t="shared" si="91"/>
        <v>#NUM!</v>
      </c>
      <c r="BG122" s="20" t="e">
        <f t="shared" si="61"/>
        <v>#NUM!</v>
      </c>
      <c r="BH122" s="59" t="e">
        <f t="shared" si="62"/>
        <v>#NUM!</v>
      </c>
      <c r="BI122" s="59">
        <f ca="1">AVERAGE(OFFSET($BH$3,0,0,'Données projet'!$E$11+1,1))-AVERAGE(OFFSET($H$3,0,0,'Données projet'!$E$11+1,1))</f>
        <v>415.91544298418842</v>
      </c>
      <c r="BJ122" s="59">
        <f t="shared" si="92"/>
        <v>422.79312683312583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1.9596775187899935</v>
      </c>
      <c r="BQ122" s="21">
        <f>EXP(-LN(2)/25)*BQ121+(1-EXP(-LN(2)/25))/(LN(2)/25)*Calculateur!BL122*Calculateur!BN122*VLOOKUP('Données projet'!$B$11,Paramètres!$A$1:$I$89,3,0)*0.475*44/12</f>
        <v>3.2863239673670579</v>
      </c>
      <c r="BR122" s="21">
        <f>EXP(-LN(2)/2)*BR121+(1-EXP(-LN(2)/2))/(LN(2)/2)*BL122*BO122*VLOOKUP('Données projet'!$B$11,Paramètres!$A$1:$I$89,3,0)*0.475*44/12</f>
        <v>1.4659645842041089E-12</v>
      </c>
      <c r="BS122" s="22">
        <f t="shared" si="63"/>
        <v>5.2460014861585176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25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106.70400000000019</v>
      </c>
      <c r="D123" s="11">
        <f t="shared" si="86"/>
        <v>28.553051684335379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1044.0895217738187</v>
      </c>
      <c r="H123" s="67">
        <f t="shared" si="56"/>
        <v>528.90603168355119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-2.2737367544323206E-13</v>
      </c>
      <c r="O123" s="13">
        <f>N123*VLOOKUP('Données projet'!$B$9,Paramètres!$A$1:$I$89,3,0)*VLOOKUP('Données projet'!$B$9,Paramètres!$A$1:$I$89,5,0)</f>
        <v>-1.6671037883497774E-13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284.62668108124626</v>
      </c>
      <c r="T123" s="59">
        <f t="shared" si="88"/>
        <v>333.70864452711021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0.49253849226978302</v>
      </c>
      <c r="AA123" s="21">
        <f>EXP(-LN(2)/25)*AA122+(1-EXP(-LN(2)/25))/(LN(2)/25)*Calculateur!V123*Calculateur!X123*VLOOKUP('Données projet'!$B$9,Paramètres!$A$1:$I$89,3,0)*0.475*44/12</f>
        <v>1.566620625378198</v>
      </c>
      <c r="AB123" s="21">
        <f>EXP(-LN(2)/2)*AB122+(1-EXP(-LN(2)/2))/(LN(2)/2)*V123*Y123*VLOOKUP('Données projet'!$B$9,Paramètres!$A$1:$I$89,3,0)*0.475*44/12</f>
        <v>7.5615908858947478E-13</v>
      </c>
      <c r="AC123" s="22">
        <f t="shared" si="57"/>
        <v>2.0591591176487372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>
        <f>VLOOKUP(A123,'Données projet'!$A$61:$I$81,2,0)</f>
        <v>352</v>
      </c>
      <c r="AG123" s="12">
        <f>VLOOKUP(A123,'Données projet'!$A$61:$I$81,9,0)</f>
        <v>4.5</v>
      </c>
      <c r="AH123" s="12">
        <f t="array" ref="AH123">INDEX(AG:AG,MIN(IF(ISNUMBER(AG123:AG319),ROW(AG123:AG319),"")))</f>
        <v>4.5</v>
      </c>
      <c r="AI123" s="13">
        <f>IF('Données projet'!$A$62&gt;35,AI122+AH123-AQ122,IF(A123&lt;'Données projet'!$A$62,$AF$205^A123,IF(A123='Données projet'!$A$62,'Données projet'!$B$62,AI122+AH123-AQ122)))</f>
        <v>351.99999999999966</v>
      </c>
      <c r="AJ123" s="13">
        <f>AI123*VLOOKUP('Données projet'!$B$10,Paramètres!$A$1:$I$89,3,0)*VLOOKUP('Données projet'!$B$10,Paramètres!$A$1:$I$89,5,0)</f>
        <v>318.48959999999971</v>
      </c>
      <c r="AK123" s="13">
        <f t="shared" si="89"/>
        <v>75.038999086150227</v>
      </c>
      <c r="AL123" s="20">
        <f t="shared" si="58"/>
        <v>685.39564340837785</v>
      </c>
      <c r="AM123" s="59">
        <f t="shared" si="59"/>
        <v>978.72897674171122</v>
      </c>
      <c r="AN123" s="59">
        <f ca="1">AVERAGE(OFFSET($AM$3,0,0,'Données projet'!$E$10+1,1))-AVERAGE(OFFSET($H$3,0,0,'Données projet'!$E$10+1,1))</f>
        <v>318.40875902853116</v>
      </c>
      <c r="AO123" s="59">
        <f t="shared" si="90"/>
        <v>234.87694492493506</v>
      </c>
      <c r="AP123" s="15">
        <f>IF(ISNA(VLOOKUP(A123,'Données projet'!$A$61:$I$81,3,0)),0,VLOOKUP(A123,'Données projet'!$A$61:$I$81,3,0))</f>
        <v>11</v>
      </c>
      <c r="AQ123" s="15">
        <f>IF(ISNA(VLOOKUP(A123,'Données projet'!$A$61:$I$81,4,0)),0,VLOOKUP(A123,'Données projet'!$A$61:$I$81,4,0))</f>
        <v>352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0.40520897236379344</v>
      </c>
      <c r="AV123" s="21">
        <f>EXP(-LN(2)/25)*AV122+(1-EXP(-LN(2)/25))/(LN(2)/25)*Calculateur!AQ123*Calculateur!AS123*VLOOKUP('Données projet'!$B$10,Paramètres!$A$1:$I$89,3,0)*0.475*44/12</f>
        <v>0.93048550845541245</v>
      </c>
      <c r="AW123" s="21">
        <f>EXP(-LN(2)/2)*AW122+(1-EXP(-LN(2)/2))/(LN(2)/2)*AQ123*AT123*VLOOKUP('Données projet'!$B$10,Paramètres!$A$1:$I$89,3,0)*0.475*44/12</f>
        <v>6.1258267504930139E-13</v>
      </c>
      <c r="AX123" s="21">
        <f t="shared" si="60"/>
        <v>1.3356944808198186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-1.2505552149377763E-12</v>
      </c>
      <c r="BE123" s="13">
        <f>BD123*VLOOKUP('Données projet'!$B$11,Paramètres!$A$1:$I$89,3,0)*VLOOKUP('Données projet'!$B$11,Paramètres!$A$1:$I$89,5,0)</f>
        <v>-6.9906036515021697E-13</v>
      </c>
      <c r="BF123" s="13" t="e">
        <f t="shared" si="91"/>
        <v>#NUM!</v>
      </c>
      <c r="BG123" s="20" t="e">
        <f t="shared" si="61"/>
        <v>#NUM!</v>
      </c>
      <c r="BH123" s="59" t="e">
        <f t="shared" si="62"/>
        <v>#NUM!</v>
      </c>
      <c r="BI123" s="59">
        <f ca="1">AVERAGE(OFFSET($BH$3,0,0,'Données projet'!$E$11+1,1))-AVERAGE(OFFSET($H$3,0,0,'Données projet'!$E$11+1,1))</f>
        <v>415.91544298418842</v>
      </c>
      <c r="BJ123" s="59">
        <f t="shared" si="92"/>
        <v>422.79312683312583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1.9212494379317835</v>
      </c>
      <c r="BQ123" s="21">
        <f>EXP(-LN(2)/25)*BQ122+(1-EXP(-LN(2)/25))/(LN(2)/25)*Calculateur!BL123*Calculateur!BN123*VLOOKUP('Données projet'!$B$11,Paramètres!$A$1:$I$89,3,0)*0.475*44/12</f>
        <v>3.1964592656591391</v>
      </c>
      <c r="BR123" s="21">
        <f>EXP(-LN(2)/2)*BR122+(1-EXP(-LN(2)/2))/(LN(2)/2)*BL123*BO123*VLOOKUP('Données projet'!$B$11,Paramètres!$A$1:$I$89,3,0)*0.475*44/12</f>
        <v>1.036593498470043E-12</v>
      </c>
      <c r="BS123" s="22">
        <f t="shared" si="63"/>
        <v>5.1177087035919593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25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107.59320000000019</v>
      </c>
      <c r="D124" s="11">
        <f t="shared" si="86"/>
        <v>28.763195667267546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1052.5756858525931</v>
      </c>
      <c r="H124" s="67">
        <f t="shared" si="56"/>
        <v>530.8207224538246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-2.2737367544323206E-13</v>
      </c>
      <c r="O124" s="13">
        <f>N124*VLOOKUP('Données projet'!$B$9,Paramètres!$A$1:$I$89,3,0)*VLOOKUP('Données projet'!$B$9,Paramètres!$A$1:$I$89,5,0)</f>
        <v>-1.6671037883497774E-13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284.62668108124626</v>
      </c>
      <c r="T124" s="59">
        <f t="shared" si="88"/>
        <v>333.70864452711021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0.48288011285518895</v>
      </c>
      <c r="AA124" s="21">
        <f>EXP(-LN(2)/25)*AA123+(1-EXP(-LN(2)/25))/(LN(2)/25)*Calculateur!V124*Calculateur!X124*VLOOKUP('Données projet'!$B$9,Paramètres!$A$1:$I$89,3,0)*0.475*44/12</f>
        <v>1.5237813019922331</v>
      </c>
      <c r="AB124" s="21">
        <f>EXP(-LN(2)/2)*AB123+(1-EXP(-LN(2)/2))/(LN(2)/2)*V124*Y124*VLOOKUP('Données projet'!$B$9,Paramètres!$A$1:$I$89,3,0)*0.475*44/12</f>
        <v>5.3468521919745693E-13</v>
      </c>
      <c r="AC124" s="22">
        <f t="shared" si="57"/>
        <v>2.0066614148479567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-3.4106051316484809E-13</v>
      </c>
      <c r="AJ124" s="13">
        <f>AI124*VLOOKUP('Données projet'!$B$10,Paramètres!$A$1:$I$89,3,0)*VLOOKUP('Données projet'!$B$10,Paramètres!$A$1:$I$89,5,0)</f>
        <v>-3.0859155231155454E-13</v>
      </c>
      <c r="AK124" s="13" t="e">
        <f t="shared" si="89"/>
        <v>#NUM!</v>
      </c>
      <c r="AL124" s="20" t="e">
        <f t="shared" si="58"/>
        <v>#NUM!</v>
      </c>
      <c r="AM124" s="59" t="e">
        <f t="shared" si="59"/>
        <v>#NUM!</v>
      </c>
      <c r="AN124" s="59">
        <f ca="1">AVERAGE(OFFSET($AM$3,0,0,'Données projet'!$E$10+1,1))-AVERAGE(OFFSET($H$3,0,0,'Données projet'!$E$10+1,1))</f>
        <v>318.40875902853116</v>
      </c>
      <c r="AO124" s="59">
        <f t="shared" si="90"/>
        <v>234.87694492493506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0.39726307156880825</v>
      </c>
      <c r="AV124" s="21">
        <f>EXP(-LN(2)/25)*AV123+(1-EXP(-LN(2)/25))/(LN(2)/25)*Calculateur!AQ124*Calculateur!AS124*VLOOKUP('Données projet'!$B$10,Paramètres!$A$1:$I$89,3,0)*0.475*44/12</f>
        <v>0.90504133329459291</v>
      </c>
      <c r="AW124" s="21">
        <f>EXP(-LN(2)/2)*AW123+(1-EXP(-LN(2)/2))/(LN(2)/2)*AQ124*AT124*VLOOKUP('Données projet'!$B$10,Paramètres!$A$1:$I$89,3,0)*0.475*44/12</f>
        <v>4.3316136356475631E-13</v>
      </c>
      <c r="AX124" s="21">
        <f t="shared" si="60"/>
        <v>1.3023044048638344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-1.2505552149377763E-12</v>
      </c>
      <c r="BE124" s="13">
        <f>BD124*VLOOKUP('Données projet'!$B$11,Paramètres!$A$1:$I$89,3,0)*VLOOKUP('Données projet'!$B$11,Paramètres!$A$1:$I$89,5,0)</f>
        <v>-6.9906036515021697E-13</v>
      </c>
      <c r="BF124" s="13" t="e">
        <f t="shared" si="91"/>
        <v>#NUM!</v>
      </c>
      <c r="BG124" s="20" t="e">
        <f t="shared" si="61"/>
        <v>#NUM!</v>
      </c>
      <c r="BH124" s="59" t="e">
        <f t="shared" si="62"/>
        <v>#NUM!</v>
      </c>
      <c r="BI124" s="59">
        <f ca="1">AVERAGE(OFFSET($BH$3,0,0,'Données projet'!$E$11+1,1))-AVERAGE(OFFSET($H$3,0,0,'Données projet'!$E$11+1,1))</f>
        <v>415.91544298418842</v>
      </c>
      <c r="BJ124" s="59">
        <f t="shared" si="92"/>
        <v>422.79312683312583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1.8835749083003881</v>
      </c>
      <c r="BQ124" s="21">
        <f>EXP(-LN(2)/25)*BQ123+(1-EXP(-LN(2)/25))/(LN(2)/25)*Calculateur!BL124*Calculateur!BN124*VLOOKUP('Données projet'!$B$11,Paramètres!$A$1:$I$89,3,0)*0.475*44/12</f>
        <v>3.1090519189452026</v>
      </c>
      <c r="BR124" s="21">
        <f>EXP(-LN(2)/2)*BR123+(1-EXP(-LN(2)/2))/(LN(2)/2)*BL124*BO124*VLOOKUP('Données projet'!$B$11,Paramètres!$A$1:$I$89,3,0)*0.475*44/12</f>
        <v>7.3298229210205446E-13</v>
      </c>
      <c r="BS124" s="22">
        <f t="shared" si="63"/>
        <v>4.9926268272463235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25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108.4824000000002</v>
      </c>
      <c r="D125" s="11">
        <f t="shared" si="86"/>
        <v>28.973137589932421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1061.060290167901</v>
      </c>
      <c r="H125" s="67">
        <f t="shared" si="56"/>
        <v>532.73506130246597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-2.2737367544323206E-13</v>
      </c>
      <c r="O125" s="13">
        <f>N125*VLOOKUP('Données projet'!$B$9,Paramètres!$A$1:$I$89,3,0)*VLOOKUP('Données projet'!$B$9,Paramètres!$A$1:$I$89,5,0)</f>
        <v>-1.6671037883497774E-13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284.62668108124626</v>
      </c>
      <c r="T125" s="59">
        <f t="shared" si="88"/>
        <v>333.70864452711021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0.4734111283698853</v>
      </c>
      <c r="AA125" s="21">
        <f>EXP(-LN(2)/25)*AA124+(1-EXP(-LN(2)/25))/(LN(2)/25)*Calculateur!V125*Calculateur!X125*VLOOKUP('Données projet'!$B$9,Paramètres!$A$1:$I$89,3,0)*0.475*44/12</f>
        <v>1.4821134221570793</v>
      </c>
      <c r="AB125" s="21">
        <f>EXP(-LN(2)/2)*AB124+(1-EXP(-LN(2)/2))/(LN(2)/2)*V125*Y125*VLOOKUP('Données projet'!$B$9,Paramètres!$A$1:$I$89,3,0)*0.475*44/12</f>
        <v>3.7807954429473739E-13</v>
      </c>
      <c r="AC125" s="22">
        <f t="shared" si="57"/>
        <v>1.9555245505273426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-3.4106051316484809E-13</v>
      </c>
      <c r="AJ125" s="13">
        <f>AI125*VLOOKUP('Données projet'!$B$10,Paramètres!$A$1:$I$89,3,0)*VLOOKUP('Données projet'!$B$10,Paramètres!$A$1:$I$89,5,0)</f>
        <v>-3.0859155231155454E-13</v>
      </c>
      <c r="AK125" s="13" t="e">
        <f t="shared" si="89"/>
        <v>#NUM!</v>
      </c>
      <c r="AL125" s="20" t="e">
        <f t="shared" si="58"/>
        <v>#NUM!</v>
      </c>
      <c r="AM125" s="59" t="e">
        <f t="shared" si="59"/>
        <v>#NUM!</v>
      </c>
      <c r="AN125" s="59">
        <f ca="1">AVERAGE(OFFSET($AM$3,0,0,'Données projet'!$E$10+1,1))-AVERAGE(OFFSET($H$3,0,0,'Données projet'!$E$10+1,1))</f>
        <v>318.40875902853116</v>
      </c>
      <c r="AO125" s="59">
        <f t="shared" si="90"/>
        <v>234.87694492493506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0.38947298504189176</v>
      </c>
      <c r="AV125" s="21">
        <f>EXP(-LN(2)/25)*AV124+(1-EXP(-LN(2)/25))/(LN(2)/25)*Calculateur!AQ125*Calculateur!AS125*VLOOKUP('Données projet'!$B$10,Paramètres!$A$1:$I$89,3,0)*0.475*44/12</f>
        <v>0.88029293044159707</v>
      </c>
      <c r="AW125" s="21">
        <f>EXP(-LN(2)/2)*AW124+(1-EXP(-LN(2)/2))/(LN(2)/2)*AQ125*AT125*VLOOKUP('Données projet'!$B$10,Paramètres!$A$1:$I$89,3,0)*0.475*44/12</f>
        <v>3.0629133752465069E-13</v>
      </c>
      <c r="AX125" s="21">
        <f t="shared" si="60"/>
        <v>1.269765915483795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-1.2505552149377763E-12</v>
      </c>
      <c r="BE125" s="13">
        <f>BD125*VLOOKUP('Données projet'!$B$11,Paramètres!$A$1:$I$89,3,0)*VLOOKUP('Données projet'!$B$11,Paramètres!$A$1:$I$89,5,0)</f>
        <v>-6.9906036515021697E-13</v>
      </c>
      <c r="BF125" s="13" t="e">
        <f t="shared" si="91"/>
        <v>#NUM!</v>
      </c>
      <c r="BG125" s="20" t="e">
        <f t="shared" si="61"/>
        <v>#NUM!</v>
      </c>
      <c r="BH125" s="59" t="e">
        <f t="shared" si="62"/>
        <v>#NUM!</v>
      </c>
      <c r="BI125" s="59">
        <f ca="1">AVERAGE(OFFSET($BH$3,0,0,'Données projet'!$E$11+1,1))-AVERAGE(OFFSET($H$3,0,0,'Données projet'!$E$11+1,1))</f>
        <v>415.91544298418842</v>
      </c>
      <c r="BJ125" s="59">
        <f t="shared" si="92"/>
        <v>422.79312683312583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1.8466391532158704</v>
      </c>
      <c r="BQ125" s="21">
        <f>EXP(-LN(2)/25)*BQ124+(1-EXP(-LN(2)/25))/(LN(2)/25)*Calculateur!BL125*Calculateur!BN125*VLOOKUP('Données projet'!$B$11,Paramètres!$A$1:$I$89,3,0)*0.475*44/12</f>
        <v>3.0240347307237117</v>
      </c>
      <c r="BR125" s="21">
        <f>EXP(-LN(2)/2)*BR124+(1-EXP(-LN(2)/2))/(LN(2)/2)*BL125*BO125*VLOOKUP('Données projet'!$B$11,Paramètres!$A$1:$I$89,3,0)*0.475*44/12</f>
        <v>5.1829674923502148E-13</v>
      </c>
      <c r="BS125" s="22">
        <f t="shared" si="63"/>
        <v>4.8706738839401007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25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109.3716000000002</v>
      </c>
      <c r="D126" s="11">
        <f t="shared" si="86"/>
        <v>29.182879300506769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1069.5433489863697</v>
      </c>
      <c r="H126" s="67">
        <f t="shared" si="56"/>
        <v>534.64905144838292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-2.2737367544323206E-13</v>
      </c>
      <c r="O126" s="13">
        <f>N126*VLOOKUP('Données projet'!$B$9,Paramètres!$A$1:$I$89,3,0)*VLOOKUP('Données projet'!$B$9,Paramètres!$A$1:$I$89,5,0)</f>
        <v>-1.6671037883497774E-13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284.62668108124626</v>
      </c>
      <c r="T126" s="59">
        <f t="shared" si="88"/>
        <v>333.70864452711021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0.46412782489482823</v>
      </c>
      <c r="AA126" s="21">
        <f>EXP(-LN(2)/25)*AA125+(1-EXP(-LN(2)/25))/(LN(2)/25)*Calculateur!V126*Calculateur!X126*VLOOKUP('Données projet'!$B$9,Paramètres!$A$1:$I$89,3,0)*0.475*44/12</f>
        <v>1.4415849526872364</v>
      </c>
      <c r="AB126" s="21">
        <f>EXP(-LN(2)/2)*AB125+(1-EXP(-LN(2)/2))/(LN(2)/2)*V126*Y126*VLOOKUP('Données projet'!$B$9,Paramètres!$A$1:$I$89,3,0)*0.475*44/12</f>
        <v>2.6734260959872847E-13</v>
      </c>
      <c r="AC126" s="22">
        <f t="shared" si="57"/>
        <v>1.9057127775823319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-3.4106051316484809E-13</v>
      </c>
      <c r="AJ126" s="13">
        <f>AI126*VLOOKUP('Données projet'!$B$10,Paramètres!$A$1:$I$89,3,0)*VLOOKUP('Données projet'!$B$10,Paramètres!$A$1:$I$89,5,0)</f>
        <v>-3.0859155231155454E-13</v>
      </c>
      <c r="AK126" s="13" t="e">
        <f t="shared" si="89"/>
        <v>#NUM!</v>
      </c>
      <c r="AL126" s="20" t="e">
        <f t="shared" si="58"/>
        <v>#NUM!</v>
      </c>
      <c r="AM126" s="59" t="e">
        <f t="shared" si="59"/>
        <v>#NUM!</v>
      </c>
      <c r="AN126" s="59">
        <f ca="1">AVERAGE(OFFSET($AM$3,0,0,'Données projet'!$E$10+1,1))-AVERAGE(OFFSET($H$3,0,0,'Données projet'!$E$10+1,1))</f>
        <v>318.40875902853116</v>
      </c>
      <c r="AO126" s="59">
        <f t="shared" si="90"/>
        <v>234.87694492493506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0.38183565736028452</v>
      </c>
      <c r="AV126" s="21">
        <f>EXP(-LN(2)/25)*AV125+(1-EXP(-LN(2)/25))/(LN(2)/25)*Calculateur!AQ126*Calculateur!AS126*VLOOKUP('Données projet'!$B$10,Paramètres!$A$1:$I$89,3,0)*0.475*44/12</f>
        <v>0.85622127396607828</v>
      </c>
      <c r="AW126" s="21">
        <f>EXP(-LN(2)/2)*AW125+(1-EXP(-LN(2)/2))/(LN(2)/2)*AQ126*AT126*VLOOKUP('Données projet'!$B$10,Paramètres!$A$1:$I$89,3,0)*0.475*44/12</f>
        <v>2.1658068178237815E-13</v>
      </c>
      <c r="AX126" s="21">
        <f t="shared" si="60"/>
        <v>1.2380569313265792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-1.2505552149377763E-12</v>
      </c>
      <c r="BE126" s="13">
        <f>BD126*VLOOKUP('Données projet'!$B$11,Paramètres!$A$1:$I$89,3,0)*VLOOKUP('Données projet'!$B$11,Paramètres!$A$1:$I$89,5,0)</f>
        <v>-6.9906036515021697E-13</v>
      </c>
      <c r="BF126" s="13" t="e">
        <f t="shared" si="91"/>
        <v>#NUM!</v>
      </c>
      <c r="BG126" s="20" t="e">
        <f t="shared" si="61"/>
        <v>#NUM!</v>
      </c>
      <c r="BH126" s="59" t="e">
        <f t="shared" si="62"/>
        <v>#NUM!</v>
      </c>
      <c r="BI126" s="59">
        <f ca="1">AVERAGE(OFFSET($BH$3,0,0,'Données projet'!$E$11+1,1))-AVERAGE(OFFSET($H$3,0,0,'Données projet'!$E$11+1,1))</f>
        <v>415.91544298418842</v>
      </c>
      <c r="BJ126" s="59">
        <f t="shared" si="92"/>
        <v>422.79312683312583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1.8104276857599739</v>
      </c>
      <c r="BQ126" s="21">
        <f>EXP(-LN(2)/25)*BQ125+(1-EXP(-LN(2)/25))/(LN(2)/25)*Calculateur!BL126*Calculateur!BN126*VLOOKUP('Données projet'!$B$11,Paramètres!$A$1:$I$89,3,0)*0.475*44/12</f>
        <v>2.9413423419849969</v>
      </c>
      <c r="BR126" s="21">
        <f>EXP(-LN(2)/2)*BR125+(1-EXP(-LN(2)/2))/(LN(2)/2)*BL126*BO126*VLOOKUP('Données projet'!$B$11,Paramètres!$A$1:$I$89,3,0)*0.475*44/12</f>
        <v>3.6649114605102723E-13</v>
      </c>
      <c r="BS126" s="22">
        <f t="shared" si="63"/>
        <v>4.7517700277453381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25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110.2608000000002</v>
      </c>
      <c r="D127" s="11">
        <f t="shared" si="86"/>
        <v>29.392422615380852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1078.0248763292573</v>
      </c>
      <c r="H127" s="67">
        <f t="shared" si="56"/>
        <v>536.56269605512193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-2.2737367544323206E-13</v>
      </c>
      <c r="O127" s="13">
        <f>N127*VLOOKUP('Données projet'!$B$9,Paramètres!$A$1:$I$89,3,0)*VLOOKUP('Données projet'!$B$9,Paramètres!$A$1:$I$89,5,0)</f>
        <v>-1.6671037883497774E-13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284.62668108124626</v>
      </c>
      <c r="T127" s="59">
        <f t="shared" si="88"/>
        <v>333.70864452711021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0.45502656133866104</v>
      </c>
      <c r="AA127" s="21">
        <f>EXP(-LN(2)/25)*AA126+(1-EXP(-LN(2)/25))/(LN(2)/25)*Calculateur!V127*Calculateur!X127*VLOOKUP('Données projet'!$B$9,Paramètres!$A$1:$I$89,3,0)*0.475*44/12</f>
        <v>1.4021647363463461</v>
      </c>
      <c r="AB127" s="21">
        <f>EXP(-LN(2)/2)*AB126+(1-EXP(-LN(2)/2))/(LN(2)/2)*V127*Y127*VLOOKUP('Données projet'!$B$9,Paramètres!$A$1:$I$89,3,0)*0.475*44/12</f>
        <v>1.8903977214736869E-13</v>
      </c>
      <c r="AC127" s="22">
        <f t="shared" si="57"/>
        <v>1.8571912976851961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-3.4106051316484809E-13</v>
      </c>
      <c r="AJ127" s="13">
        <f>AI127*VLOOKUP('Données projet'!$B$10,Paramètres!$A$1:$I$89,3,0)*VLOOKUP('Données projet'!$B$10,Paramètres!$A$1:$I$89,5,0)</f>
        <v>-3.0859155231155454E-13</v>
      </c>
      <c r="AK127" s="13" t="e">
        <f t="shared" si="89"/>
        <v>#NUM!</v>
      </c>
      <c r="AL127" s="20" t="e">
        <f t="shared" si="58"/>
        <v>#NUM!</v>
      </c>
      <c r="AM127" s="59" t="e">
        <f t="shared" si="59"/>
        <v>#NUM!</v>
      </c>
      <c r="AN127" s="59">
        <f ca="1">AVERAGE(OFFSET($AM$3,0,0,'Données projet'!$E$10+1,1))-AVERAGE(OFFSET($H$3,0,0,'Données projet'!$E$10+1,1))</f>
        <v>318.40875902853116</v>
      </c>
      <c r="AO127" s="59">
        <f t="shared" si="90"/>
        <v>234.87694492493506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0.3743480930162037</v>
      </c>
      <c r="AV127" s="21">
        <f>EXP(-LN(2)/25)*AV126+(1-EXP(-LN(2)/25))/(LN(2)/25)*Calculateur!AQ127*Calculateur!AS127*VLOOKUP('Données projet'!$B$10,Paramètres!$A$1:$I$89,3,0)*0.475*44/12</f>
        <v>0.83280785820275594</v>
      </c>
      <c r="AW127" s="21">
        <f>EXP(-LN(2)/2)*AW126+(1-EXP(-LN(2)/2))/(LN(2)/2)*AQ127*AT127*VLOOKUP('Données projet'!$B$10,Paramètres!$A$1:$I$89,3,0)*0.475*44/12</f>
        <v>1.5314566876232535E-13</v>
      </c>
      <c r="AX127" s="21">
        <f t="shared" si="60"/>
        <v>1.2071559512191128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-1.2505552149377763E-12</v>
      </c>
      <c r="BE127" s="13">
        <f>BD127*VLOOKUP('Données projet'!$B$11,Paramètres!$A$1:$I$89,3,0)*VLOOKUP('Données projet'!$B$11,Paramètres!$A$1:$I$89,5,0)</f>
        <v>-6.9906036515021697E-13</v>
      </c>
      <c r="BF127" s="13" t="e">
        <f t="shared" si="91"/>
        <v>#NUM!</v>
      </c>
      <c r="BG127" s="20" t="e">
        <f t="shared" si="61"/>
        <v>#NUM!</v>
      </c>
      <c r="BH127" s="59" t="e">
        <f t="shared" si="62"/>
        <v>#NUM!</v>
      </c>
      <c r="BI127" s="59">
        <f ca="1">AVERAGE(OFFSET($BH$3,0,0,'Données projet'!$E$11+1,1))-AVERAGE(OFFSET($H$3,0,0,'Données projet'!$E$11+1,1))</f>
        <v>415.91544298418842</v>
      </c>
      <c r="BJ127" s="59">
        <f t="shared" si="92"/>
        <v>422.79312683312583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1.7749263030940734</v>
      </c>
      <c r="BQ127" s="21">
        <f>EXP(-LN(2)/25)*BQ126+(1-EXP(-LN(2)/25))/(LN(2)/25)*Calculateur!BL127*Calculateur!BN127*VLOOKUP('Données projet'!$B$11,Paramètres!$A$1:$I$89,3,0)*0.475*44/12</f>
        <v>2.8609111809649459</v>
      </c>
      <c r="BR127" s="21">
        <f>EXP(-LN(2)/2)*BR126+(1-EXP(-LN(2)/2))/(LN(2)/2)*BL127*BO127*VLOOKUP('Données projet'!$B$11,Paramètres!$A$1:$I$89,3,0)*0.475*44/12</f>
        <v>2.5914837461751074E-13</v>
      </c>
      <c r="BS127" s="22">
        <f t="shared" si="63"/>
        <v>4.6358374840592784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25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111.1500000000002</v>
      </c>
      <c r="D128" s="11">
        <f t="shared" si="86"/>
        <v>29.601769319956595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1086.5048859786139</v>
      </c>
      <c r="H128" s="67">
        <f t="shared" si="56"/>
        <v>538.47599823225801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-2.2737367544323206E-13</v>
      </c>
      <c r="O128" s="13">
        <f>N128*VLOOKUP('Données projet'!$B$9,Paramètres!$A$1:$I$89,3,0)*VLOOKUP('Données projet'!$B$9,Paramètres!$A$1:$I$89,5,0)</f>
        <v>-1.6671037883497774E-13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284.62668108124626</v>
      </c>
      <c r="T128" s="59">
        <f t="shared" si="88"/>
        <v>333.70864452711021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0.44610376800960766</v>
      </c>
      <c r="AA128" s="21">
        <f>EXP(-LN(2)/25)*AA127+(1-EXP(-LN(2)/25))/(LN(2)/25)*Calculateur!V128*Calculateur!X128*VLOOKUP('Données projet'!$B$9,Paramètres!$A$1:$I$89,3,0)*0.475*44/12</f>
        <v>1.3638224678943165</v>
      </c>
      <c r="AB128" s="21">
        <f>EXP(-LN(2)/2)*AB127+(1-EXP(-LN(2)/2))/(LN(2)/2)*V128*Y128*VLOOKUP('Données projet'!$B$9,Paramètres!$A$1:$I$89,3,0)*0.475*44/12</f>
        <v>1.3367130479936423E-13</v>
      </c>
      <c r="AC128" s="22">
        <f t="shared" si="57"/>
        <v>1.8099262359040578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-3.4106051316484809E-13</v>
      </c>
      <c r="AJ128" s="13">
        <f>AI128*VLOOKUP('Données projet'!$B$10,Paramètres!$A$1:$I$89,3,0)*VLOOKUP('Données projet'!$B$10,Paramètres!$A$1:$I$89,5,0)</f>
        <v>-3.0859155231155454E-13</v>
      </c>
      <c r="AK128" s="13" t="e">
        <f t="shared" si="89"/>
        <v>#NUM!</v>
      </c>
      <c r="AL128" s="20" t="e">
        <f t="shared" si="58"/>
        <v>#NUM!</v>
      </c>
      <c r="AM128" s="59" t="e">
        <f t="shared" si="59"/>
        <v>#NUM!</v>
      </c>
      <c r="AN128" s="59">
        <f ca="1">AVERAGE(OFFSET($AM$3,0,0,'Données projet'!$E$10+1,1))-AVERAGE(OFFSET($H$3,0,0,'Données projet'!$E$10+1,1))</f>
        <v>318.40875902853116</v>
      </c>
      <c r="AO128" s="59">
        <f t="shared" si="90"/>
        <v>234.87694492493506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0.367007355241947</v>
      </c>
      <c r="AV128" s="21">
        <f>EXP(-LN(2)/25)*AV127+(1-EXP(-LN(2)/25))/(LN(2)/25)*Calculateur!AQ128*Calculateur!AS128*VLOOKUP('Données projet'!$B$10,Paramètres!$A$1:$I$89,3,0)*0.475*44/12</f>
        <v>0.81003468352473973</v>
      </c>
      <c r="AW128" s="21">
        <f>EXP(-LN(2)/2)*AW127+(1-EXP(-LN(2)/2))/(LN(2)/2)*AQ128*AT128*VLOOKUP('Données projet'!$B$10,Paramètres!$A$1:$I$89,3,0)*0.475*44/12</f>
        <v>1.0829034089118908E-13</v>
      </c>
      <c r="AX128" s="21">
        <f t="shared" si="60"/>
        <v>1.177042038766795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-1.2505552149377763E-12</v>
      </c>
      <c r="BE128" s="13">
        <f>BD128*VLOOKUP('Données projet'!$B$11,Paramètres!$A$1:$I$89,3,0)*VLOOKUP('Données projet'!$B$11,Paramètres!$A$1:$I$89,5,0)</f>
        <v>-6.9906036515021697E-13</v>
      </c>
      <c r="BF128" s="13" t="e">
        <f t="shared" si="91"/>
        <v>#NUM!</v>
      </c>
      <c r="BG128" s="20" t="e">
        <f t="shared" si="61"/>
        <v>#NUM!</v>
      </c>
      <c r="BH128" s="59" t="e">
        <f t="shared" si="62"/>
        <v>#NUM!</v>
      </c>
      <c r="BI128" s="59">
        <f ca="1">AVERAGE(OFFSET($BH$3,0,0,'Données projet'!$E$11+1,1))-AVERAGE(OFFSET($H$3,0,0,'Données projet'!$E$11+1,1))</f>
        <v>415.91544298418842</v>
      </c>
      <c r="BJ128" s="59">
        <f t="shared" si="92"/>
        <v>422.79312683312583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1.7401210808885459</v>
      </c>
      <c r="BQ128" s="21">
        <f>EXP(-LN(2)/25)*BQ127+(1-EXP(-LN(2)/25))/(LN(2)/25)*Calculateur!BL128*Calculateur!BN128*VLOOKUP('Données projet'!$B$11,Paramètres!$A$1:$I$89,3,0)*0.475*44/12</f>
        <v>2.7826794142726792</v>
      </c>
      <c r="BR128" s="21">
        <f>EXP(-LN(2)/2)*BR127+(1-EXP(-LN(2)/2))/(LN(2)/2)*BL128*BO128*VLOOKUP('Données projet'!$B$11,Paramètres!$A$1:$I$89,3,0)*0.475*44/12</f>
        <v>1.8324557302551361E-13</v>
      </c>
      <c r="BS128" s="22">
        <f t="shared" si="63"/>
        <v>4.522800495161408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25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112.03920000000021</v>
      </c>
      <c r="D129" s="11">
        <f t="shared" si="86"/>
        <v>29.810921169420254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1094.9833914832457</v>
      </c>
      <c r="H129" s="67">
        <f t="shared" si="56"/>
        <v>540.38896103674051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-2.2737367544323206E-13</v>
      </c>
      <c r="O129" s="13">
        <f>N129*VLOOKUP('Données projet'!$B$9,Paramètres!$A$1:$I$89,3,0)*VLOOKUP('Données projet'!$B$9,Paramètres!$A$1:$I$89,5,0)</f>
        <v>-1.6671037883497774E-13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284.62668108124626</v>
      </c>
      <c r="T129" s="59">
        <f t="shared" si="88"/>
        <v>333.70864452711021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0.43735594521537047</v>
      </c>
      <c r="AA129" s="21">
        <f>EXP(-LN(2)/25)*AA128+(1-EXP(-LN(2)/25))/(LN(2)/25)*Calculateur!V129*Calculateur!X129*VLOOKUP('Données projet'!$B$9,Paramètres!$A$1:$I$89,3,0)*0.475*44/12</f>
        <v>1.3265286707894399</v>
      </c>
      <c r="AB129" s="21">
        <f>EXP(-LN(2)/2)*AB128+(1-EXP(-LN(2)/2))/(LN(2)/2)*V129*Y129*VLOOKUP('Données projet'!$B$9,Paramètres!$A$1:$I$89,3,0)*0.475*44/12</f>
        <v>9.4519886073684347E-14</v>
      </c>
      <c r="AC129" s="22">
        <f t="shared" si="57"/>
        <v>1.7638846160049049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-3.4106051316484809E-13</v>
      </c>
      <c r="AJ129" s="13">
        <f>AI129*VLOOKUP('Données projet'!$B$10,Paramètres!$A$1:$I$89,3,0)*VLOOKUP('Données projet'!$B$10,Paramètres!$A$1:$I$89,5,0)</f>
        <v>-3.0859155231155454E-13</v>
      </c>
      <c r="AK129" s="13" t="e">
        <f t="shared" si="89"/>
        <v>#NUM!</v>
      </c>
      <c r="AL129" s="20" t="e">
        <f t="shared" si="58"/>
        <v>#NUM!</v>
      </c>
      <c r="AM129" s="59" t="e">
        <f t="shared" si="59"/>
        <v>#NUM!</v>
      </c>
      <c r="AN129" s="59">
        <f ca="1">AVERAGE(OFFSET($AM$3,0,0,'Données projet'!$E$10+1,1))-AVERAGE(OFFSET($H$3,0,0,'Données projet'!$E$10+1,1))</f>
        <v>318.40875902853116</v>
      </c>
      <c r="AO129" s="59">
        <f t="shared" si="90"/>
        <v>234.87694492493506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0.35981056485803553</v>
      </c>
      <c r="AV129" s="21">
        <f>EXP(-LN(2)/25)*AV128+(1-EXP(-LN(2)/25))/(LN(2)/25)*Calculateur!AQ129*Calculateur!AS129*VLOOKUP('Données projet'!$B$10,Paramètres!$A$1:$I$89,3,0)*0.475*44/12</f>
        <v>0.78788424250588307</v>
      </c>
      <c r="AW129" s="21">
        <f>EXP(-LN(2)/2)*AW128+(1-EXP(-LN(2)/2))/(LN(2)/2)*AQ129*AT129*VLOOKUP('Données projet'!$B$10,Paramètres!$A$1:$I$89,3,0)*0.475*44/12</f>
        <v>7.6572834381162674E-14</v>
      </c>
      <c r="AX129" s="21">
        <f t="shared" si="60"/>
        <v>1.1476948073639952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-1.2505552149377763E-12</v>
      </c>
      <c r="BE129" s="13">
        <f>BD129*VLOOKUP('Données projet'!$B$11,Paramètres!$A$1:$I$89,3,0)*VLOOKUP('Données projet'!$B$11,Paramètres!$A$1:$I$89,5,0)</f>
        <v>-6.9906036515021697E-13</v>
      </c>
      <c r="BF129" s="13" t="e">
        <f t="shared" si="91"/>
        <v>#NUM!</v>
      </c>
      <c r="BG129" s="20" t="e">
        <f t="shared" si="61"/>
        <v>#NUM!</v>
      </c>
      <c r="BH129" s="59" t="e">
        <f t="shared" si="62"/>
        <v>#NUM!</v>
      </c>
      <c r="BI129" s="59">
        <f ca="1">AVERAGE(OFFSET($BH$3,0,0,'Données projet'!$E$11+1,1))-AVERAGE(OFFSET($H$3,0,0,'Données projet'!$E$11+1,1))</f>
        <v>415.91544298418842</v>
      </c>
      <c r="BJ129" s="59">
        <f t="shared" si="92"/>
        <v>422.79312683312583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1.7059983678613793</v>
      </c>
      <c r="BQ129" s="21">
        <f>EXP(-LN(2)/25)*BQ128+(1-EXP(-LN(2)/25))/(LN(2)/25)*Calculateur!BL129*Calculateur!BN129*VLOOKUP('Données projet'!$B$11,Paramètres!$A$1:$I$89,3,0)*0.475*44/12</f>
        <v>2.7065868993546425</v>
      </c>
      <c r="BR129" s="21">
        <f>EXP(-LN(2)/2)*BR128+(1-EXP(-LN(2)/2))/(LN(2)/2)*BL129*BO129*VLOOKUP('Données projet'!$B$11,Paramètres!$A$1:$I$89,3,0)*0.475*44/12</f>
        <v>1.2957418730875537E-13</v>
      </c>
      <c r="BS129" s="22">
        <f t="shared" si="63"/>
        <v>4.4125852672161514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25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112.92840000000021</v>
      </c>
      <c r="D130" s="11">
        <f t="shared" si="86"/>
        <v>30.019879889489037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1103.4604061644784</v>
      </c>
      <c r="H130" s="67">
        <f t="shared" si="56"/>
        <v>542.30158747419375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-2.2737367544323206E-13</v>
      </c>
      <c r="O130" s="13">
        <f>N130*VLOOKUP('Données projet'!$B$9,Paramètres!$A$1:$I$89,3,0)*VLOOKUP('Données projet'!$B$9,Paramètres!$A$1:$I$89,5,0)</f>
        <v>-1.6671037883497774E-13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284.62668108124626</v>
      </c>
      <c r="T130" s="59">
        <f t="shared" si="88"/>
        <v>333.70864452711021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0.42877966189048322</v>
      </c>
      <c r="AA130" s="21">
        <f>EXP(-LN(2)/25)*AA129+(1-EXP(-LN(2)/25))/(LN(2)/25)*Calculateur!V130*Calculateur!X130*VLOOKUP('Données projet'!$B$9,Paramètres!$A$1:$I$89,3,0)*0.475*44/12</f>
        <v>1.2902546745275918</v>
      </c>
      <c r="AB130" s="21">
        <f>EXP(-LN(2)/2)*AB129+(1-EXP(-LN(2)/2))/(LN(2)/2)*V130*Y130*VLOOKUP('Données projet'!$B$9,Paramètres!$A$1:$I$89,3,0)*0.475*44/12</f>
        <v>6.6835652399682117E-14</v>
      </c>
      <c r="AC130" s="22">
        <f t="shared" si="57"/>
        <v>1.7190343364181417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-3.4106051316484809E-13</v>
      </c>
      <c r="AJ130" s="13">
        <f>AI130*VLOOKUP('Données projet'!$B$10,Paramètres!$A$1:$I$89,3,0)*VLOOKUP('Données projet'!$B$10,Paramètres!$A$1:$I$89,5,0)</f>
        <v>-3.0859155231155454E-13</v>
      </c>
      <c r="AK130" s="13" t="e">
        <f t="shared" si="89"/>
        <v>#NUM!</v>
      </c>
      <c r="AL130" s="20" t="e">
        <f t="shared" si="58"/>
        <v>#NUM!</v>
      </c>
      <c r="AM130" s="59" t="e">
        <f t="shared" si="59"/>
        <v>#NUM!</v>
      </c>
      <c r="AN130" s="59">
        <f ca="1">AVERAGE(OFFSET($AM$3,0,0,'Données projet'!$E$10+1,1))-AVERAGE(OFFSET($H$3,0,0,'Données projet'!$E$10+1,1))</f>
        <v>318.40875902853116</v>
      </c>
      <c r="AO130" s="59">
        <f t="shared" si="90"/>
        <v>234.87694492493506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0.35275489914394387</v>
      </c>
      <c r="AV130" s="21">
        <f>EXP(-LN(2)/25)*AV129+(1-EXP(-LN(2)/25))/(LN(2)/25)*Calculateur!AQ130*Calculateur!AS130*VLOOKUP('Données projet'!$B$10,Paramètres!$A$1:$I$89,3,0)*0.475*44/12</f>
        <v>0.76633950646152815</v>
      </c>
      <c r="AW130" s="21">
        <f>EXP(-LN(2)/2)*AW129+(1-EXP(-LN(2)/2))/(LN(2)/2)*AQ130*AT130*VLOOKUP('Données projet'!$B$10,Paramètres!$A$1:$I$89,3,0)*0.475*44/12</f>
        <v>5.4145170445594539E-14</v>
      </c>
      <c r="AX130" s="21">
        <f t="shared" si="60"/>
        <v>1.1190944056055261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-1.2505552149377763E-12</v>
      </c>
      <c r="BE130" s="13">
        <f>BD130*VLOOKUP('Données projet'!$B$11,Paramètres!$A$1:$I$89,3,0)*VLOOKUP('Données projet'!$B$11,Paramètres!$A$1:$I$89,5,0)</f>
        <v>-6.9906036515021697E-13</v>
      </c>
      <c r="BF130" s="13" t="e">
        <f t="shared" si="91"/>
        <v>#NUM!</v>
      </c>
      <c r="BG130" s="20" t="e">
        <f t="shared" si="61"/>
        <v>#NUM!</v>
      </c>
      <c r="BH130" s="59" t="e">
        <f t="shared" si="62"/>
        <v>#NUM!</v>
      </c>
      <c r="BI130" s="59">
        <f ca="1">AVERAGE(OFFSET($BH$3,0,0,'Données projet'!$E$11+1,1))-AVERAGE(OFFSET($H$3,0,0,'Données projet'!$E$11+1,1))</f>
        <v>415.91544298418842</v>
      </c>
      <c r="BJ130" s="59">
        <f t="shared" si="92"/>
        <v>422.79312683312583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1.6725447804238756</v>
      </c>
      <c r="BQ130" s="21">
        <f>EXP(-LN(2)/25)*BQ129+(1-EXP(-LN(2)/25))/(LN(2)/25)*Calculateur!BL130*Calculateur!BN130*VLOOKUP('Données projet'!$B$11,Paramètres!$A$1:$I$89,3,0)*0.475*44/12</f>
        <v>2.6325751382585709</v>
      </c>
      <c r="BR130" s="21">
        <f>EXP(-LN(2)/2)*BR129+(1-EXP(-LN(2)/2))/(LN(2)/2)*BL130*BO130*VLOOKUP('Données projet'!$B$11,Paramètres!$A$1:$I$89,3,0)*0.475*44/12</f>
        <v>9.1622786512756807E-14</v>
      </c>
      <c r="BS130" s="22">
        <f t="shared" si="63"/>
        <v>4.3051199186825384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25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113.81760000000021</v>
      </c>
      <c r="D131" s="11">
        <f t="shared" si="86"/>
        <v>30.228647177134249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1111.9359431217397</v>
      </c>
      <c r="H131" s="67">
        <f t="shared" si="56"/>
        <v>544.21388050017583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-2.2737367544323206E-13</v>
      </c>
      <c r="O131" s="13">
        <f>N131*VLOOKUP('Données projet'!$B$9,Paramètres!$A$1:$I$89,3,0)*VLOOKUP('Données projet'!$B$9,Paramètres!$A$1:$I$89,5,0)</f>
        <v>-1.6671037883497774E-13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284.62668108124626</v>
      </c>
      <c r="T131" s="59">
        <f t="shared" si="88"/>
        <v>333.70864452711021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0.4203715542505807</v>
      </c>
      <c r="AA131" s="21">
        <f>EXP(-LN(2)/25)*AA130+(1-EXP(-LN(2)/25))/(LN(2)/25)*Calculateur!V131*Calculateur!X131*VLOOKUP('Données projet'!$B$9,Paramètres!$A$1:$I$89,3,0)*0.475*44/12</f>
        <v>1.2549725926010904</v>
      </c>
      <c r="AB131" s="21">
        <f>EXP(-LN(2)/2)*AB130+(1-EXP(-LN(2)/2))/(LN(2)/2)*V131*Y131*VLOOKUP('Données projet'!$B$9,Paramètres!$A$1:$I$89,3,0)*0.475*44/12</f>
        <v>4.7259943036842174E-14</v>
      </c>
      <c r="AC131" s="22">
        <f t="shared" si="57"/>
        <v>1.6753441468517185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-3.4106051316484809E-13</v>
      </c>
      <c r="AJ131" s="13">
        <f>AI131*VLOOKUP('Données projet'!$B$10,Paramètres!$A$1:$I$89,3,0)*VLOOKUP('Données projet'!$B$10,Paramètres!$A$1:$I$89,5,0)</f>
        <v>-3.0859155231155454E-13</v>
      </c>
      <c r="AK131" s="13" t="e">
        <f t="shared" si="89"/>
        <v>#NUM!</v>
      </c>
      <c r="AL131" s="20" t="e">
        <f t="shared" si="58"/>
        <v>#NUM!</v>
      </c>
      <c r="AM131" s="59" t="e">
        <f t="shared" si="59"/>
        <v>#NUM!</v>
      </c>
      <c r="AN131" s="59">
        <f ca="1">AVERAGE(OFFSET($AM$3,0,0,'Données projet'!$E$10+1,1))-AVERAGE(OFFSET($H$3,0,0,'Données projet'!$E$10+1,1))</f>
        <v>318.40875902853116</v>
      </c>
      <c r="AO131" s="59">
        <f t="shared" si="90"/>
        <v>234.87694492493506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0.34583759073097442</v>
      </c>
      <c r="AV131" s="21">
        <f>EXP(-LN(2)/25)*AV130+(1-EXP(-LN(2)/25))/(LN(2)/25)*Calculateur!AQ131*Calculateur!AS131*VLOOKUP('Données projet'!$B$10,Paramètres!$A$1:$I$89,3,0)*0.475*44/12</f>
        <v>0.74538391235729451</v>
      </c>
      <c r="AW131" s="21">
        <f>EXP(-LN(2)/2)*AW130+(1-EXP(-LN(2)/2))/(LN(2)/2)*AQ131*AT131*VLOOKUP('Données projet'!$B$10,Paramètres!$A$1:$I$89,3,0)*0.475*44/12</f>
        <v>3.8286417190581337E-14</v>
      </c>
      <c r="AX131" s="21">
        <f t="shared" si="60"/>
        <v>1.091221503088307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-1.2505552149377763E-12</v>
      </c>
      <c r="BE131" s="13">
        <f>BD131*VLOOKUP('Données projet'!$B$11,Paramètres!$A$1:$I$89,3,0)*VLOOKUP('Données projet'!$B$11,Paramètres!$A$1:$I$89,5,0)</f>
        <v>-6.9906036515021697E-13</v>
      </c>
      <c r="BF131" s="13" t="e">
        <f t="shared" si="91"/>
        <v>#NUM!</v>
      </c>
      <c r="BG131" s="20" t="e">
        <f t="shared" si="61"/>
        <v>#NUM!</v>
      </c>
      <c r="BH131" s="59" t="e">
        <f t="shared" si="62"/>
        <v>#NUM!</v>
      </c>
      <c r="BI131" s="59">
        <f ca="1">AVERAGE(OFFSET($BH$3,0,0,'Données projet'!$E$11+1,1))-AVERAGE(OFFSET($H$3,0,0,'Données projet'!$E$11+1,1))</f>
        <v>415.91544298418842</v>
      </c>
      <c r="BJ131" s="59">
        <f t="shared" si="92"/>
        <v>422.79312683312583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1.6397471974313478</v>
      </c>
      <c r="BQ131" s="21">
        <f>EXP(-LN(2)/25)*BQ130+(1-EXP(-LN(2)/25))/(LN(2)/25)*Calculateur!BL131*Calculateur!BN131*VLOOKUP('Données projet'!$B$11,Paramètres!$A$1:$I$89,3,0)*0.475*44/12</f>
        <v>2.5605872326617805</v>
      </c>
      <c r="BR131" s="21">
        <f>EXP(-LN(2)/2)*BR130+(1-EXP(-LN(2)/2))/(LN(2)/2)*BL131*BO131*VLOOKUP('Données projet'!$B$11,Paramètres!$A$1:$I$89,3,0)*0.475*44/12</f>
        <v>6.4787093654377685E-14</v>
      </c>
      <c r="BS131" s="22">
        <f t="shared" si="63"/>
        <v>4.2003344300931929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25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114.70680000000021</v>
      </c>
      <c r="D132" s="11">
        <f t="shared" si="86"/>
        <v>30.437224701280673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1120.4100152379581</v>
      </c>
      <c r="H132" s="67">
        <f t="shared" ref="H132:H195" si="110">(B132+E132+F132)*44/12+(C132+D132)*0.475*44/12</f>
        <v>546.12584302139749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-2.2737367544323206E-13</v>
      </c>
      <c r="O132" s="13">
        <f>N132*VLOOKUP('Données projet'!$B$9,Paramètres!$A$1:$I$89,3,0)*VLOOKUP('Données projet'!$B$9,Paramètres!$A$1:$I$89,5,0)</f>
        <v>-1.6671037883497774E-13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284.62668108124626</v>
      </c>
      <c r="T132" s="59">
        <f t="shared" si="88"/>
        <v>333.70864452711021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0.41212832447305736</v>
      </c>
      <c r="AA132" s="21">
        <f>EXP(-LN(2)/25)*AA131+(1-EXP(-LN(2)/25))/(LN(2)/25)*Calculateur!V132*Calculateur!X132*VLOOKUP('Données projet'!$B$9,Paramètres!$A$1:$I$89,3,0)*0.475*44/12</f>
        <v>1.2206553010602732</v>
      </c>
      <c r="AB132" s="21">
        <f>EXP(-LN(2)/2)*AB131+(1-EXP(-LN(2)/2))/(LN(2)/2)*V132*Y132*VLOOKUP('Données projet'!$B$9,Paramètres!$A$1:$I$89,3,0)*0.475*44/12</f>
        <v>3.3417826199841058E-14</v>
      </c>
      <c r="AC132" s="22">
        <f t="shared" ref="AC132:AC153" si="111">SUM(Z132:AB132)</f>
        <v>1.6327836255333641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-3.4106051316484809E-13</v>
      </c>
      <c r="AJ132" s="13">
        <f>AI132*VLOOKUP('Données projet'!$B$10,Paramètres!$A$1:$I$89,3,0)*VLOOKUP('Données projet'!$B$10,Paramètres!$A$1:$I$89,5,0)</f>
        <v>-3.0859155231155454E-13</v>
      </c>
      <c r="AK132" s="13" t="e">
        <f t="shared" si="89"/>
        <v>#NUM!</v>
      </c>
      <c r="AL132" s="20" t="e">
        <f t="shared" ref="AL132:AL153" si="112">(AJ132+AK132)*0.475*44/12</f>
        <v>#NUM!</v>
      </c>
      <c r="AM132" s="59" t="e">
        <f t="shared" ref="AM132:AM195" si="113">AL132+(AD132+AE132)*44/12</f>
        <v>#NUM!</v>
      </c>
      <c r="AN132" s="59">
        <f ca="1">AVERAGE(OFFSET($AM$3,0,0,'Données projet'!$E$10+1,1))-AVERAGE(OFFSET($H$3,0,0,'Données projet'!$E$10+1,1))</f>
        <v>318.40875902853116</v>
      </c>
      <c r="AO132" s="59">
        <f t="shared" si="90"/>
        <v>234.87694492493506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0.33905592651684174</v>
      </c>
      <c r="AV132" s="21">
        <f>EXP(-LN(2)/25)*AV131+(1-EXP(-LN(2)/25))/(LN(2)/25)*Calculateur!AQ132*Calculateur!AS132*VLOOKUP('Données projet'!$B$10,Paramètres!$A$1:$I$89,3,0)*0.475*44/12</f>
        <v>0.72500135007584798</v>
      </c>
      <c r="AW132" s="21">
        <f>EXP(-LN(2)/2)*AW131+(1-EXP(-LN(2)/2))/(LN(2)/2)*AQ132*AT132*VLOOKUP('Données projet'!$B$10,Paramètres!$A$1:$I$89,3,0)*0.475*44/12</f>
        <v>2.7072585222797269E-14</v>
      </c>
      <c r="AX132" s="21">
        <f t="shared" ref="AX132:AX153" si="114">SUM(AU132:AW132)</f>
        <v>1.0640572765927168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-1.2505552149377763E-12</v>
      </c>
      <c r="BE132" s="13">
        <f>BD132*VLOOKUP('Données projet'!$B$11,Paramètres!$A$1:$I$89,3,0)*VLOOKUP('Données projet'!$B$11,Paramètres!$A$1:$I$89,5,0)</f>
        <v>-6.9906036515021697E-13</v>
      </c>
      <c r="BF132" s="13" t="e">
        <f t="shared" si="91"/>
        <v>#NUM!</v>
      </c>
      <c r="BG132" s="20" t="e">
        <f t="shared" ref="BG132:BG153" si="115">(BE132+BF132)*0.475*44/12</f>
        <v>#NUM!</v>
      </c>
      <c r="BH132" s="59" t="e">
        <f t="shared" ref="BH132:BH195" si="116">BG132+(AY132+AZ132)*44/12</f>
        <v>#NUM!</v>
      </c>
      <c r="BI132" s="59">
        <f ca="1">AVERAGE(OFFSET($BH$3,0,0,'Données projet'!$E$11+1,1))-AVERAGE(OFFSET($H$3,0,0,'Données projet'!$E$11+1,1))</f>
        <v>415.91544298418842</v>
      </c>
      <c r="BJ132" s="59">
        <f t="shared" si="92"/>
        <v>422.79312683312583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1.6075927550367533</v>
      </c>
      <c r="BQ132" s="21">
        <f>EXP(-LN(2)/25)*BQ131+(1-EXP(-LN(2)/25))/(LN(2)/25)*Calculateur!BL132*Calculateur!BN132*VLOOKUP('Données projet'!$B$11,Paramètres!$A$1:$I$89,3,0)*0.475*44/12</f>
        <v>2.4905678401292137</v>
      </c>
      <c r="BR132" s="21">
        <f>EXP(-LN(2)/2)*BR131+(1-EXP(-LN(2)/2))/(LN(2)/2)*BL132*BO132*VLOOKUP('Données projet'!$B$11,Paramètres!$A$1:$I$89,3,0)*0.475*44/12</f>
        <v>4.5811393256378404E-14</v>
      </c>
      <c r="BS132" s="22">
        <f t="shared" ref="BS132:BS153" si="117">SUM(BP132:BR132)</f>
        <v>4.0981605951660134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25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115.59600000000022</v>
      </c>
      <c r="D133" s="11">
        <f t="shared" ref="D133:D196" si="140">IFERROR(EXP(-1.0587+0.8836*LN(C133)+0.284),0)</f>
        <v>30.645614103483904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1128.8826351847899</v>
      </c>
      <c r="H133" s="67">
        <f t="shared" si="110"/>
        <v>548.03747789690146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-2.2737367544323206E-13</v>
      </c>
      <c r="O133" s="13">
        <f>N133*VLOOKUP('Données projet'!$B$9,Paramètres!$A$1:$I$89,3,0)*VLOOKUP('Données projet'!$B$9,Paramètres!$A$1:$I$89,5,0)</f>
        <v>-1.6671037883497774E-13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284.62668108124626</v>
      </c>
      <c r="T133" s="59">
        <f t="shared" ref="T133:T196" si="142">$T$3</f>
        <v>333.70864452711021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0.40404673940359759</v>
      </c>
      <c r="AA133" s="21">
        <f>EXP(-LN(2)/25)*AA132+(1-EXP(-LN(2)/25))/(LN(2)/25)*Calculateur!V133*Calculateur!X133*VLOOKUP('Données projet'!$B$9,Paramètres!$A$1:$I$89,3,0)*0.475*44/12</f>
        <v>1.1872764176613075</v>
      </c>
      <c r="AB133" s="21">
        <f>EXP(-LN(2)/2)*AB132+(1-EXP(-LN(2)/2))/(LN(2)/2)*V133*Y133*VLOOKUP('Données projet'!$B$9,Paramètres!$A$1:$I$89,3,0)*0.475*44/12</f>
        <v>2.3629971518421087E-14</v>
      </c>
      <c r="AC133" s="22">
        <f t="shared" si="111"/>
        <v>1.5913231570649287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-3.4106051316484809E-13</v>
      </c>
      <c r="AJ133" s="13">
        <f>AI133*VLOOKUP('Données projet'!$B$10,Paramètres!$A$1:$I$89,3,0)*VLOOKUP('Données projet'!$B$10,Paramètres!$A$1:$I$89,5,0)</f>
        <v>-3.0859155231155454E-13</v>
      </c>
      <c r="AK133" s="13" t="e">
        <f t="shared" ref="AK133:AK153" si="143">EXP(-1.0587+0.8836*LN(AJ133)+0.284)</f>
        <v>#NUM!</v>
      </c>
      <c r="AL133" s="20" t="e">
        <f t="shared" si="112"/>
        <v>#NUM!</v>
      </c>
      <c r="AM133" s="59" t="e">
        <f t="shared" si="113"/>
        <v>#NUM!</v>
      </c>
      <c r="AN133" s="59">
        <f ca="1">AVERAGE(OFFSET($AM$3,0,0,'Données projet'!$E$10+1,1))-AVERAGE(OFFSET($H$3,0,0,'Données projet'!$E$10+1,1))</f>
        <v>318.40875902853116</v>
      </c>
      <c r="AO133" s="59">
        <f t="shared" ref="AO133:AO196" si="144">$AO$3</f>
        <v>234.87694492493506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0.33240724660154147</v>
      </c>
      <c r="AV133" s="21">
        <f>EXP(-LN(2)/25)*AV132+(1-EXP(-LN(2)/25))/(LN(2)/25)*Calculateur!AQ133*Calculateur!AS133*VLOOKUP('Données projet'!$B$10,Paramètres!$A$1:$I$89,3,0)*0.475*44/12</f>
        <v>0.70517615003185996</v>
      </c>
      <c r="AW133" s="21">
        <f>EXP(-LN(2)/2)*AW132+(1-EXP(-LN(2)/2))/(LN(2)/2)*AQ133*AT133*VLOOKUP('Données projet'!$B$10,Paramètres!$A$1:$I$89,3,0)*0.475*44/12</f>
        <v>1.9143208595290668E-14</v>
      </c>
      <c r="AX133" s="21">
        <f t="shared" si="114"/>
        <v>1.0375833966334205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-1.2505552149377763E-12</v>
      </c>
      <c r="BE133" s="13">
        <f>BD133*VLOOKUP('Données projet'!$B$11,Paramètres!$A$1:$I$89,3,0)*VLOOKUP('Données projet'!$B$11,Paramètres!$A$1:$I$89,5,0)</f>
        <v>-6.9906036515021697E-13</v>
      </c>
      <c r="BF133" s="13" t="e">
        <f t="shared" ref="BF133:BF153" si="145">EXP(-1.0587+0.8836*LN(BE133)+0.284)</f>
        <v>#NUM!</v>
      </c>
      <c r="BG133" s="20" t="e">
        <f t="shared" si="115"/>
        <v>#NUM!</v>
      </c>
      <c r="BH133" s="59" t="e">
        <f t="shared" si="116"/>
        <v>#NUM!</v>
      </c>
      <c r="BI133" s="59">
        <f ca="1">AVERAGE(OFFSET($BH$3,0,0,'Données projet'!$E$11+1,1))-AVERAGE(OFFSET($H$3,0,0,'Données projet'!$E$11+1,1))</f>
        <v>415.91544298418842</v>
      </c>
      <c r="BJ133" s="59">
        <f t="shared" ref="BJ133:BJ196" si="146">$BJ$3</f>
        <v>422.79312683312583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1.5760688416452433</v>
      </c>
      <c r="BQ133" s="21">
        <f>EXP(-LN(2)/25)*BQ132+(1-EXP(-LN(2)/25))/(LN(2)/25)*Calculateur!BL133*Calculateur!BN133*VLOOKUP('Données projet'!$B$11,Paramètres!$A$1:$I$89,3,0)*0.475*44/12</f>
        <v>2.4224631315676097</v>
      </c>
      <c r="BR133" s="21">
        <f>EXP(-LN(2)/2)*BR132+(1-EXP(-LN(2)/2))/(LN(2)/2)*BL133*BO133*VLOOKUP('Données projet'!$B$11,Paramètres!$A$1:$I$89,3,0)*0.475*44/12</f>
        <v>3.2393546827188842E-14</v>
      </c>
      <c r="BS133" s="22">
        <f t="shared" si="117"/>
        <v>3.9985319732128857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25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116.48520000000022</v>
      </c>
      <c r="D134" s="11">
        <f t="shared" si="140"/>
        <v>30.853816998586289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1137.3538154276855</v>
      </c>
      <c r="H134" s="67">
        <f t="shared" si="110"/>
        <v>549.94878793920475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-2.2737367544323206E-13</v>
      </c>
      <c r="O134" s="13">
        <f>N134*VLOOKUP('Données projet'!$B$9,Paramètres!$A$1:$I$89,3,0)*VLOOKUP('Données projet'!$B$9,Paramètres!$A$1:$I$89,5,0)</f>
        <v>-1.6671037883497774E-13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284.62668108124626</v>
      </c>
      <c r="T134" s="59">
        <f t="shared" si="142"/>
        <v>333.70864452711021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0.39612362928806971</v>
      </c>
      <c r="AA134" s="21">
        <f>EXP(-LN(2)/25)*AA133+(1-EXP(-LN(2)/25))/(LN(2)/25)*Calculateur!V134*Calculateur!X134*VLOOKUP('Données projet'!$B$9,Paramètres!$A$1:$I$89,3,0)*0.475*44/12</f>
        <v>1.1548102815842058</v>
      </c>
      <c r="AB134" s="21">
        <f>EXP(-LN(2)/2)*AB133+(1-EXP(-LN(2)/2))/(LN(2)/2)*V134*Y134*VLOOKUP('Données projet'!$B$9,Paramètres!$A$1:$I$89,3,0)*0.475*44/12</f>
        <v>1.6708913099920529E-14</v>
      </c>
      <c r="AC134" s="22">
        <f t="shared" si="111"/>
        <v>1.5509339108722922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-3.4106051316484809E-13</v>
      </c>
      <c r="AJ134" s="13">
        <f>AI134*VLOOKUP('Données projet'!$B$10,Paramètres!$A$1:$I$89,3,0)*VLOOKUP('Données projet'!$B$10,Paramètres!$A$1:$I$89,5,0)</f>
        <v>-3.0859155231155454E-13</v>
      </c>
      <c r="AK134" s="13" t="e">
        <f t="shared" si="143"/>
        <v>#NUM!</v>
      </c>
      <c r="AL134" s="20" t="e">
        <f t="shared" si="112"/>
        <v>#NUM!</v>
      </c>
      <c r="AM134" s="59" t="e">
        <f t="shared" si="113"/>
        <v>#NUM!</v>
      </c>
      <c r="AN134" s="59">
        <f ca="1">AVERAGE(OFFSET($AM$3,0,0,'Données projet'!$E$10+1,1))-AVERAGE(OFFSET($H$3,0,0,'Données projet'!$E$10+1,1))</f>
        <v>318.40875902853116</v>
      </c>
      <c r="AO134" s="59">
        <f t="shared" si="144"/>
        <v>234.87694492493506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0.3258889432440859</v>
      </c>
      <c r="AV134" s="21">
        <f>EXP(-LN(2)/25)*AV133+(1-EXP(-LN(2)/25))/(LN(2)/25)*Calculateur!AQ134*Calculateur!AS134*VLOOKUP('Données projet'!$B$10,Paramètres!$A$1:$I$89,3,0)*0.475*44/12</f>
        <v>0.68589307112563669</v>
      </c>
      <c r="AW134" s="21">
        <f>EXP(-LN(2)/2)*AW133+(1-EXP(-LN(2)/2))/(LN(2)/2)*AQ134*AT134*VLOOKUP('Données projet'!$B$10,Paramètres!$A$1:$I$89,3,0)*0.475*44/12</f>
        <v>1.3536292611398635E-14</v>
      </c>
      <c r="AX134" s="21">
        <f t="shared" si="114"/>
        <v>1.011782014369736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-1.2505552149377763E-12</v>
      </c>
      <c r="BE134" s="13">
        <f>BD134*VLOOKUP('Données projet'!$B$11,Paramètres!$A$1:$I$89,3,0)*VLOOKUP('Données projet'!$B$11,Paramètres!$A$1:$I$89,5,0)</f>
        <v>-6.9906036515021697E-13</v>
      </c>
      <c r="BF134" s="13" t="e">
        <f t="shared" si="145"/>
        <v>#NUM!</v>
      </c>
      <c r="BG134" s="20" t="e">
        <f t="shared" si="115"/>
        <v>#NUM!</v>
      </c>
      <c r="BH134" s="59" t="e">
        <f t="shared" si="116"/>
        <v>#NUM!</v>
      </c>
      <c r="BI134" s="59">
        <f ca="1">AVERAGE(OFFSET($BH$3,0,0,'Données projet'!$E$11+1,1))-AVERAGE(OFFSET($H$3,0,0,'Données projet'!$E$11+1,1))</f>
        <v>415.91544298418842</v>
      </c>
      <c r="BJ134" s="59">
        <f t="shared" si="146"/>
        <v>422.79312683312583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1.5451630929676523</v>
      </c>
      <c r="BQ134" s="21">
        <f>EXP(-LN(2)/25)*BQ133+(1-EXP(-LN(2)/25))/(LN(2)/25)*Calculateur!BL134*Calculateur!BN134*VLOOKUP('Données projet'!$B$11,Paramètres!$A$1:$I$89,3,0)*0.475*44/12</f>
        <v>2.3562207498430938</v>
      </c>
      <c r="BR134" s="21">
        <f>EXP(-LN(2)/2)*BR133+(1-EXP(-LN(2)/2))/(LN(2)/2)*BL134*BO134*VLOOKUP('Données projet'!$B$11,Paramètres!$A$1:$I$89,3,0)*0.475*44/12</f>
        <v>2.2905696628189202E-14</v>
      </c>
      <c r="BS134" s="22">
        <f t="shared" si="117"/>
        <v>3.9013838428107692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25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117.37440000000022</v>
      </c>
      <c r="D135" s="11">
        <f t="shared" si="140"/>
        <v>31.061834975351932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1145.8235682307889</v>
      </c>
      <c r="H135" s="67">
        <f t="shared" si="110"/>
        <v>551.85977591540495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-2.2737367544323206E-13</v>
      </c>
      <c r="O135" s="13">
        <f>N135*VLOOKUP('Données projet'!$B$9,Paramètres!$A$1:$I$89,3,0)*VLOOKUP('Données projet'!$B$9,Paramètres!$A$1:$I$89,5,0)</f>
        <v>-1.6671037883497774E-13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284.62668108124626</v>
      </c>
      <c r="T135" s="59">
        <f t="shared" si="142"/>
        <v>333.70864452711021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0.38835588652928738</v>
      </c>
      <c r="AA135" s="21">
        <f>EXP(-LN(2)/25)*AA134+(1-EXP(-LN(2)/25))/(LN(2)/25)*Calculateur!V135*Calculateur!X135*VLOOKUP('Données projet'!$B$9,Paramètres!$A$1:$I$89,3,0)*0.475*44/12</f>
        <v>1.1232319337054524</v>
      </c>
      <c r="AB135" s="21">
        <f>EXP(-LN(2)/2)*AB134+(1-EXP(-LN(2)/2))/(LN(2)/2)*V135*Y135*VLOOKUP('Données projet'!$B$9,Paramètres!$A$1:$I$89,3,0)*0.475*44/12</f>
        <v>1.1814985759210543E-14</v>
      </c>
      <c r="AC135" s="22">
        <f t="shared" si="111"/>
        <v>1.5115878202347515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-3.4106051316484809E-13</v>
      </c>
      <c r="AJ135" s="13">
        <f>AI135*VLOOKUP('Données projet'!$B$10,Paramètres!$A$1:$I$89,3,0)*VLOOKUP('Données projet'!$B$10,Paramètres!$A$1:$I$89,5,0)</f>
        <v>-3.0859155231155454E-13</v>
      </c>
      <c r="AK135" s="13" t="e">
        <f t="shared" si="143"/>
        <v>#NUM!</v>
      </c>
      <c r="AL135" s="20" t="e">
        <f t="shared" si="112"/>
        <v>#NUM!</v>
      </c>
      <c r="AM135" s="59" t="e">
        <f t="shared" si="113"/>
        <v>#NUM!</v>
      </c>
      <c r="AN135" s="59">
        <f ca="1">AVERAGE(OFFSET($AM$3,0,0,'Données projet'!$E$10+1,1))-AVERAGE(OFFSET($H$3,0,0,'Données projet'!$E$10+1,1))</f>
        <v>318.40875902853116</v>
      </c>
      <c r="AO135" s="59">
        <f t="shared" si="144"/>
        <v>234.87694492493506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0.3194984598396976</v>
      </c>
      <c r="AV135" s="21">
        <f>EXP(-LN(2)/25)*AV134+(1-EXP(-LN(2)/25))/(LN(2)/25)*Calculateur!AQ135*Calculateur!AS135*VLOOKUP('Données projet'!$B$10,Paramètres!$A$1:$I$89,3,0)*0.475*44/12</f>
        <v>0.66713728902615721</v>
      </c>
      <c r="AW135" s="21">
        <f>EXP(-LN(2)/2)*AW134+(1-EXP(-LN(2)/2))/(LN(2)/2)*AQ135*AT135*VLOOKUP('Données projet'!$B$10,Paramètres!$A$1:$I$89,3,0)*0.475*44/12</f>
        <v>9.5716042976453342E-15</v>
      </c>
      <c r="AX135" s="21">
        <f t="shared" si="114"/>
        <v>0.98663574886586436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-1.2505552149377763E-12</v>
      </c>
      <c r="BE135" s="13">
        <f>BD135*VLOOKUP('Données projet'!$B$11,Paramètres!$A$1:$I$89,3,0)*VLOOKUP('Données projet'!$B$11,Paramètres!$A$1:$I$89,5,0)</f>
        <v>-6.9906036515021697E-13</v>
      </c>
      <c r="BF135" s="13" t="e">
        <f t="shared" si="145"/>
        <v>#NUM!</v>
      </c>
      <c r="BG135" s="20" t="e">
        <f t="shared" si="115"/>
        <v>#NUM!</v>
      </c>
      <c r="BH135" s="59" t="e">
        <f t="shared" si="116"/>
        <v>#NUM!</v>
      </c>
      <c r="BI135" s="59">
        <f ca="1">AVERAGE(OFFSET($BH$3,0,0,'Données projet'!$E$11+1,1))-AVERAGE(OFFSET($H$3,0,0,'Données projet'!$E$11+1,1))</f>
        <v>415.91544298418842</v>
      </c>
      <c r="BJ135" s="59">
        <f t="shared" si="146"/>
        <v>422.79312683312583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1.5148633871709836</v>
      </c>
      <c r="BQ135" s="21">
        <f>EXP(-LN(2)/25)*BQ134+(1-EXP(-LN(2)/25))/(LN(2)/25)*Calculateur!BL135*Calculateur!BN135*VLOOKUP('Données projet'!$B$11,Paramètres!$A$1:$I$89,3,0)*0.475*44/12</f>
        <v>2.2917897695303706</v>
      </c>
      <c r="BR135" s="21">
        <f>EXP(-LN(2)/2)*BR134+(1-EXP(-LN(2)/2))/(LN(2)/2)*BL135*BO135*VLOOKUP('Données projet'!$B$11,Paramètres!$A$1:$I$89,3,0)*0.475*44/12</f>
        <v>1.6196773413594421E-14</v>
      </c>
      <c r="BS135" s="22">
        <f t="shared" si="117"/>
        <v>3.8066531567013699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25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118.26360000000022</v>
      </c>
      <c r="D136" s="11">
        <f t="shared" si="140"/>
        <v>31.26966959708238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1154.2919056616904</v>
      </c>
      <c r="H136" s="67">
        <f t="shared" si="110"/>
        <v>553.77044454825227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-2.2737367544323206E-13</v>
      </c>
      <c r="O136" s="13">
        <f>N136*VLOOKUP('Données projet'!$B$9,Paramètres!$A$1:$I$89,3,0)*VLOOKUP('Données projet'!$B$9,Paramètres!$A$1:$I$89,5,0)</f>
        <v>-1.6671037883497774E-13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284.62668108124626</v>
      </c>
      <c r="T136" s="59">
        <f t="shared" si="142"/>
        <v>333.70864452711021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0.38074046446814952</v>
      </c>
      <c r="AA136" s="21">
        <f>EXP(-LN(2)/25)*AA135+(1-EXP(-LN(2)/25))/(LN(2)/25)*Calculateur!V136*Calculateur!X136*VLOOKUP('Données projet'!$B$9,Paramètres!$A$1:$I$89,3,0)*0.475*44/12</f>
        <v>1.0925170974100766</v>
      </c>
      <c r="AB136" s="21">
        <f>EXP(-LN(2)/2)*AB135+(1-EXP(-LN(2)/2))/(LN(2)/2)*V136*Y136*VLOOKUP('Données projet'!$B$9,Paramètres!$A$1:$I$89,3,0)*0.475*44/12</f>
        <v>8.3544565499602646E-15</v>
      </c>
      <c r="AC136" s="22">
        <f t="shared" si="111"/>
        <v>1.4732575618782346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-3.4106051316484809E-13</v>
      </c>
      <c r="AJ136" s="13">
        <f>AI136*VLOOKUP('Données projet'!$B$10,Paramètres!$A$1:$I$89,3,0)*VLOOKUP('Données projet'!$B$10,Paramètres!$A$1:$I$89,5,0)</f>
        <v>-3.0859155231155454E-13</v>
      </c>
      <c r="AK136" s="13" t="e">
        <f t="shared" si="143"/>
        <v>#NUM!</v>
      </c>
      <c r="AL136" s="20" t="e">
        <f t="shared" si="112"/>
        <v>#NUM!</v>
      </c>
      <c r="AM136" s="59" t="e">
        <f t="shared" si="113"/>
        <v>#NUM!</v>
      </c>
      <c r="AN136" s="59">
        <f ca="1">AVERAGE(OFFSET($AM$3,0,0,'Données projet'!$E$10+1,1))-AVERAGE(OFFSET($H$3,0,0,'Données projet'!$E$10+1,1))</f>
        <v>318.40875902853116</v>
      </c>
      <c r="AO136" s="59">
        <f t="shared" si="144"/>
        <v>234.87694492493506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0.31323328991705934</v>
      </c>
      <c r="AV136" s="21">
        <f>EXP(-LN(2)/25)*AV135+(1-EXP(-LN(2)/25))/(LN(2)/25)*Calculateur!AQ136*Calculateur!AS136*VLOOKUP('Données projet'!$B$10,Paramètres!$A$1:$I$89,3,0)*0.475*44/12</f>
        <v>0.64889438477451167</v>
      </c>
      <c r="AW136" s="21">
        <f>EXP(-LN(2)/2)*AW135+(1-EXP(-LN(2)/2))/(LN(2)/2)*AQ136*AT136*VLOOKUP('Données projet'!$B$10,Paramètres!$A$1:$I$89,3,0)*0.475*44/12</f>
        <v>6.7681463056993173E-15</v>
      </c>
      <c r="AX136" s="21">
        <f t="shared" si="114"/>
        <v>0.96212767469157778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-1.2505552149377763E-12</v>
      </c>
      <c r="BE136" s="13">
        <f>BD136*VLOOKUP('Données projet'!$B$11,Paramètres!$A$1:$I$89,3,0)*VLOOKUP('Données projet'!$B$11,Paramètres!$A$1:$I$89,5,0)</f>
        <v>-6.9906036515021697E-13</v>
      </c>
      <c r="BF136" s="13" t="e">
        <f t="shared" si="145"/>
        <v>#NUM!</v>
      </c>
      <c r="BG136" s="20" t="e">
        <f t="shared" si="115"/>
        <v>#NUM!</v>
      </c>
      <c r="BH136" s="59" t="e">
        <f t="shared" si="116"/>
        <v>#NUM!</v>
      </c>
      <c r="BI136" s="59">
        <f ca="1">AVERAGE(OFFSET($BH$3,0,0,'Données projet'!$E$11+1,1))-AVERAGE(OFFSET($H$3,0,0,'Données projet'!$E$11+1,1))</f>
        <v>415.91544298418842</v>
      </c>
      <c r="BJ136" s="59">
        <f t="shared" si="146"/>
        <v>422.79312683312583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1.4851578401239918</v>
      </c>
      <c r="BQ136" s="21">
        <f>EXP(-LN(2)/25)*BQ135+(1-EXP(-LN(2)/25))/(LN(2)/25)*Calculateur!BL136*Calculateur!BN136*VLOOKUP('Données projet'!$B$11,Paramètres!$A$1:$I$89,3,0)*0.475*44/12</f>
        <v>2.2291206577625764</v>
      </c>
      <c r="BR136" s="21">
        <f>EXP(-LN(2)/2)*BR135+(1-EXP(-LN(2)/2))/(LN(2)/2)*BL136*BO136*VLOOKUP('Données projet'!$B$11,Paramètres!$A$1:$I$89,3,0)*0.475*44/12</f>
        <v>1.1452848314094601E-14</v>
      </c>
      <c r="BS136" s="22">
        <f t="shared" si="117"/>
        <v>3.7142784978865797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25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119.15280000000023</v>
      </c>
      <c r="D137" s="11">
        <f t="shared" si="140"/>
        <v>31.477322402212781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1162.7588395960302</v>
      </c>
      <c r="H137" s="67">
        <f t="shared" si="110"/>
        <v>555.68079651718767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-2.2737367544323206E-13</v>
      </c>
      <c r="O137" s="13">
        <f>N137*VLOOKUP('Données projet'!$B$9,Paramètres!$A$1:$I$89,3,0)*VLOOKUP('Données projet'!$B$9,Paramètres!$A$1:$I$89,5,0)</f>
        <v>-1.6671037883497774E-13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284.62668108124626</v>
      </c>
      <c r="T137" s="59">
        <f t="shared" si="142"/>
        <v>333.70864452711021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0.37327437618868176</v>
      </c>
      <c r="AA137" s="21">
        <f>EXP(-LN(2)/25)*AA136+(1-EXP(-LN(2)/25))/(LN(2)/25)*Calculateur!V137*Calculateur!X137*VLOOKUP('Données projet'!$B$9,Paramètres!$A$1:$I$89,3,0)*0.475*44/12</f>
        <v>1.0626421599284208</v>
      </c>
      <c r="AB137" s="21">
        <f>EXP(-LN(2)/2)*AB136+(1-EXP(-LN(2)/2))/(LN(2)/2)*V137*Y137*VLOOKUP('Données projet'!$B$9,Paramètres!$A$1:$I$89,3,0)*0.475*44/12</f>
        <v>5.9074928796052717E-15</v>
      </c>
      <c r="AC137" s="22">
        <f t="shared" si="111"/>
        <v>1.4359165361171085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-3.4106051316484809E-13</v>
      </c>
      <c r="AJ137" s="13">
        <f>AI137*VLOOKUP('Données projet'!$B$10,Paramètres!$A$1:$I$89,3,0)*VLOOKUP('Données projet'!$B$10,Paramètres!$A$1:$I$89,5,0)</f>
        <v>-3.0859155231155454E-13</v>
      </c>
      <c r="AK137" s="13" t="e">
        <f t="shared" si="143"/>
        <v>#NUM!</v>
      </c>
      <c r="AL137" s="20" t="e">
        <f t="shared" si="112"/>
        <v>#NUM!</v>
      </c>
      <c r="AM137" s="59" t="e">
        <f t="shared" si="113"/>
        <v>#NUM!</v>
      </c>
      <c r="AN137" s="59">
        <f ca="1">AVERAGE(OFFSET($AM$3,0,0,'Données projet'!$E$10+1,1))-AVERAGE(OFFSET($H$3,0,0,'Données projet'!$E$10+1,1))</f>
        <v>318.40875902853116</v>
      </c>
      <c r="AO137" s="59">
        <f t="shared" si="144"/>
        <v>234.87694492493506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0.30709097615522768</v>
      </c>
      <c r="AV137" s="21">
        <f>EXP(-LN(2)/25)*AV136+(1-EXP(-LN(2)/25))/(LN(2)/25)*Calculateur!AQ137*Calculateur!AS137*VLOOKUP('Données projet'!$B$10,Paramètres!$A$1:$I$89,3,0)*0.475*44/12</f>
        <v>0.63115033369897999</v>
      </c>
      <c r="AW137" s="21">
        <f>EXP(-LN(2)/2)*AW136+(1-EXP(-LN(2)/2))/(LN(2)/2)*AQ137*AT137*VLOOKUP('Données projet'!$B$10,Paramètres!$A$1:$I$89,3,0)*0.475*44/12</f>
        <v>4.7858021488226671E-15</v>
      </c>
      <c r="AX137" s="21">
        <f t="shared" si="114"/>
        <v>0.9382413098542125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-1.2505552149377763E-12</v>
      </c>
      <c r="BE137" s="13">
        <f>BD137*VLOOKUP('Données projet'!$B$11,Paramètres!$A$1:$I$89,3,0)*VLOOKUP('Données projet'!$B$11,Paramètres!$A$1:$I$89,5,0)</f>
        <v>-6.9906036515021697E-13</v>
      </c>
      <c r="BF137" s="13" t="e">
        <f t="shared" si="145"/>
        <v>#NUM!</v>
      </c>
      <c r="BG137" s="20" t="e">
        <f t="shared" si="115"/>
        <v>#NUM!</v>
      </c>
      <c r="BH137" s="59" t="e">
        <f t="shared" si="116"/>
        <v>#NUM!</v>
      </c>
      <c r="BI137" s="59">
        <f ca="1">AVERAGE(OFFSET($BH$3,0,0,'Données projet'!$E$11+1,1))-AVERAGE(OFFSET($H$3,0,0,'Données projet'!$E$11+1,1))</f>
        <v>415.91544298418842</v>
      </c>
      <c r="BJ137" s="59">
        <f t="shared" si="146"/>
        <v>422.79312683312583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1.4560348007359969</v>
      </c>
      <c r="BQ137" s="21">
        <f>EXP(-LN(2)/25)*BQ136+(1-EXP(-LN(2)/25))/(LN(2)/25)*Calculateur!BL137*Calculateur!BN137*VLOOKUP('Données projet'!$B$11,Paramètres!$A$1:$I$89,3,0)*0.475*44/12</f>
        <v>2.1681652361516979</v>
      </c>
      <c r="BR137" s="21">
        <f>EXP(-LN(2)/2)*BR136+(1-EXP(-LN(2)/2))/(LN(2)/2)*BL137*BO137*VLOOKUP('Données projet'!$B$11,Paramètres!$A$1:$I$89,3,0)*0.475*44/12</f>
        <v>8.0983867067972106E-15</v>
      </c>
      <c r="BS137" s="22">
        <f t="shared" si="117"/>
        <v>3.6242000368877028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25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120.04200000000023</v>
      </c>
      <c r="D138" s="11">
        <f t="shared" si="140"/>
        <v>31.68479490489014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1171.2243817219608</v>
      </c>
      <c r="H138" s="67">
        <f t="shared" si="110"/>
        <v>557.59083445935073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-2.2737367544323206E-13</v>
      </c>
      <c r="O138" s="13">
        <f>N138*VLOOKUP('Données projet'!$B$9,Paramètres!$A$1:$I$89,3,0)*VLOOKUP('Données projet'!$B$9,Paramètres!$A$1:$I$89,5,0)</f>
        <v>-1.6671037883497774E-13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284.62668108124626</v>
      </c>
      <c r="T138" s="59">
        <f t="shared" si="142"/>
        <v>333.70864452711021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0.36595469334651015</v>
      </c>
      <c r="AA138" s="21">
        <f>EXP(-LN(2)/25)*AA137+(1-EXP(-LN(2)/25))/(LN(2)/25)*Calculateur!V138*Calculateur!X138*VLOOKUP('Données projet'!$B$9,Paramètres!$A$1:$I$89,3,0)*0.475*44/12</f>
        <v>1.0335841541832556</v>
      </c>
      <c r="AB138" s="21">
        <f>EXP(-LN(2)/2)*AB137+(1-EXP(-LN(2)/2))/(LN(2)/2)*V138*Y138*VLOOKUP('Données projet'!$B$9,Paramètres!$A$1:$I$89,3,0)*0.475*44/12</f>
        <v>4.1772282749801323E-15</v>
      </c>
      <c r="AC138" s="22">
        <f t="shared" si="111"/>
        <v>1.3995388475297699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-3.4106051316484809E-13</v>
      </c>
      <c r="AJ138" s="13">
        <f>AI138*VLOOKUP('Données projet'!$B$10,Paramètres!$A$1:$I$89,3,0)*VLOOKUP('Données projet'!$B$10,Paramètres!$A$1:$I$89,5,0)</f>
        <v>-3.0859155231155454E-13</v>
      </c>
      <c r="AK138" s="13" t="e">
        <f t="shared" si="143"/>
        <v>#NUM!</v>
      </c>
      <c r="AL138" s="20" t="e">
        <f t="shared" si="112"/>
        <v>#NUM!</v>
      </c>
      <c r="AM138" s="59" t="e">
        <f t="shared" si="113"/>
        <v>#NUM!</v>
      </c>
      <c r="AN138" s="59">
        <f ca="1">AVERAGE(OFFSET($AM$3,0,0,'Données projet'!$E$10+1,1))-AVERAGE(OFFSET($H$3,0,0,'Données projet'!$E$10+1,1))</f>
        <v>318.40875902853116</v>
      </c>
      <c r="AO138" s="59">
        <f t="shared" si="144"/>
        <v>234.87694492493506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0.30106910941982407</v>
      </c>
      <c r="AV138" s="21">
        <f>EXP(-LN(2)/25)*AV137+(1-EXP(-LN(2)/25))/(LN(2)/25)*Calculateur!AQ138*Calculateur!AS138*VLOOKUP('Données projet'!$B$10,Paramètres!$A$1:$I$89,3,0)*0.475*44/12</f>
        <v>0.6138914946332279</v>
      </c>
      <c r="AW138" s="21">
        <f>EXP(-LN(2)/2)*AW137+(1-EXP(-LN(2)/2))/(LN(2)/2)*AQ138*AT138*VLOOKUP('Données projet'!$B$10,Paramètres!$A$1:$I$89,3,0)*0.475*44/12</f>
        <v>3.3840731528496587E-15</v>
      </c>
      <c r="AX138" s="21">
        <f t="shared" si="114"/>
        <v>0.91496060405305535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-1.2505552149377763E-12</v>
      </c>
      <c r="BE138" s="13">
        <f>BD138*VLOOKUP('Données projet'!$B$11,Paramètres!$A$1:$I$89,3,0)*VLOOKUP('Données projet'!$B$11,Paramètres!$A$1:$I$89,5,0)</f>
        <v>-6.9906036515021697E-13</v>
      </c>
      <c r="BF138" s="13" t="e">
        <f t="shared" si="145"/>
        <v>#NUM!</v>
      </c>
      <c r="BG138" s="20" t="e">
        <f t="shared" si="115"/>
        <v>#NUM!</v>
      </c>
      <c r="BH138" s="59" t="e">
        <f t="shared" si="116"/>
        <v>#NUM!</v>
      </c>
      <c r="BI138" s="59">
        <f ca="1">AVERAGE(OFFSET($BH$3,0,0,'Données projet'!$E$11+1,1))-AVERAGE(OFFSET($H$3,0,0,'Données projet'!$E$11+1,1))</f>
        <v>415.91544298418842</v>
      </c>
      <c r="BJ138" s="59">
        <f t="shared" si="146"/>
        <v>422.79312683312583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1.4274828463871005</v>
      </c>
      <c r="BQ138" s="21">
        <f>EXP(-LN(2)/25)*BQ137+(1-EXP(-LN(2)/25))/(LN(2)/25)*Calculateur!BL138*Calculateur!BN138*VLOOKUP('Données projet'!$B$11,Paramètres!$A$1:$I$89,3,0)*0.475*44/12</f>
        <v>2.1088766437502753</v>
      </c>
      <c r="BR138" s="21">
        <f>EXP(-LN(2)/2)*BR137+(1-EXP(-LN(2)/2))/(LN(2)/2)*BL138*BO138*VLOOKUP('Données projet'!$B$11,Paramètres!$A$1:$I$89,3,0)*0.475*44/12</f>
        <v>5.7264241570473004E-15</v>
      </c>
      <c r="BS138" s="22">
        <f t="shared" si="117"/>
        <v>3.5363594901373818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25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120.93120000000023</v>
      </c>
      <c r="D139" s="11">
        <f t="shared" si="140"/>
        <v>31.892088595533707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1179.6885435444726</v>
      </c>
      <c r="H139" s="67">
        <f t="shared" si="110"/>
        <v>559.50056097055494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-2.2737367544323206E-13</v>
      </c>
      <c r="O139" s="13">
        <f>N139*VLOOKUP('Données projet'!$B$9,Paramètres!$A$1:$I$89,3,0)*VLOOKUP('Données projet'!$B$9,Paramètres!$A$1:$I$89,5,0)</f>
        <v>-1.6671037883497774E-13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284.62668108124626</v>
      </c>
      <c r="T139" s="59">
        <f t="shared" si="142"/>
        <v>333.70864452711021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0.35877854502030782</v>
      </c>
      <c r="AA139" s="21">
        <f>EXP(-LN(2)/25)*AA138+(1-EXP(-LN(2)/25))/(LN(2)/25)*Calculateur!V139*Calculateur!X139*VLOOKUP('Données projet'!$B$9,Paramètres!$A$1:$I$89,3,0)*0.475*44/12</f>
        <v>1.0053207411332861</v>
      </c>
      <c r="AB139" s="21">
        <f>EXP(-LN(2)/2)*AB138+(1-EXP(-LN(2)/2))/(LN(2)/2)*V139*Y139*VLOOKUP('Données projet'!$B$9,Paramètres!$A$1:$I$89,3,0)*0.475*44/12</f>
        <v>2.9537464398026359E-15</v>
      </c>
      <c r="AC139" s="22">
        <f t="shared" si="111"/>
        <v>1.3640992861535968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-3.4106051316484809E-13</v>
      </c>
      <c r="AJ139" s="13">
        <f>AI139*VLOOKUP('Données projet'!$B$10,Paramètres!$A$1:$I$89,3,0)*VLOOKUP('Données projet'!$B$10,Paramètres!$A$1:$I$89,5,0)</f>
        <v>-3.0859155231155454E-13</v>
      </c>
      <c r="AK139" s="13" t="e">
        <f t="shared" si="143"/>
        <v>#NUM!</v>
      </c>
      <c r="AL139" s="20" t="e">
        <f t="shared" si="112"/>
        <v>#NUM!</v>
      </c>
      <c r="AM139" s="59" t="e">
        <f t="shared" si="113"/>
        <v>#NUM!</v>
      </c>
      <c r="AN139" s="59">
        <f ca="1">AVERAGE(OFFSET($AM$3,0,0,'Données projet'!$E$10+1,1))-AVERAGE(OFFSET($H$3,0,0,'Données projet'!$E$10+1,1))</f>
        <v>318.40875902853116</v>
      </c>
      <c r="AO139" s="59">
        <f t="shared" si="144"/>
        <v>234.87694492493506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0.29516532781812571</v>
      </c>
      <c r="AV139" s="21">
        <f>EXP(-LN(2)/25)*AV138+(1-EXP(-LN(2)/25))/(LN(2)/25)*Calculateur!AQ139*Calculateur!AS139*VLOOKUP('Données projet'!$B$10,Paramètres!$A$1:$I$89,3,0)*0.475*44/12</f>
        <v>0.59710459942933169</v>
      </c>
      <c r="AW139" s="21">
        <f>EXP(-LN(2)/2)*AW138+(1-EXP(-LN(2)/2))/(LN(2)/2)*AQ139*AT139*VLOOKUP('Données projet'!$B$10,Paramètres!$A$1:$I$89,3,0)*0.475*44/12</f>
        <v>2.3929010744113335E-15</v>
      </c>
      <c r="AX139" s="21">
        <f t="shared" si="114"/>
        <v>0.8922699272474599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-1.2505552149377763E-12</v>
      </c>
      <c r="BE139" s="13">
        <f>BD139*VLOOKUP('Données projet'!$B$11,Paramètres!$A$1:$I$89,3,0)*VLOOKUP('Données projet'!$B$11,Paramètres!$A$1:$I$89,5,0)</f>
        <v>-6.9906036515021697E-13</v>
      </c>
      <c r="BF139" s="13" t="e">
        <f t="shared" si="145"/>
        <v>#NUM!</v>
      </c>
      <c r="BG139" s="20" t="e">
        <f t="shared" si="115"/>
        <v>#NUM!</v>
      </c>
      <c r="BH139" s="59" t="e">
        <f t="shared" si="116"/>
        <v>#NUM!</v>
      </c>
      <c r="BI139" s="59">
        <f ca="1">AVERAGE(OFFSET($BH$3,0,0,'Données projet'!$E$11+1,1))-AVERAGE(OFFSET($H$3,0,0,'Données projet'!$E$11+1,1))</f>
        <v>415.91544298418842</v>
      </c>
      <c r="BJ139" s="59">
        <f t="shared" si="146"/>
        <v>422.79312683312583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1.3994907784480135</v>
      </c>
      <c r="BQ139" s="21">
        <f>EXP(-LN(2)/25)*BQ138+(1-EXP(-LN(2)/25))/(LN(2)/25)*Calculateur!BL139*Calculateur!BN139*VLOOKUP('Données projet'!$B$11,Paramètres!$A$1:$I$89,3,0)*0.475*44/12</f>
        <v>2.0512093010259211</v>
      </c>
      <c r="BR139" s="21">
        <f>EXP(-LN(2)/2)*BR138+(1-EXP(-LN(2)/2))/(LN(2)/2)*BL139*BO139*VLOOKUP('Données projet'!$B$11,Paramètres!$A$1:$I$89,3,0)*0.475*44/12</f>
        <v>4.0491933533986053E-15</v>
      </c>
      <c r="BS139" s="22">
        <f t="shared" si="117"/>
        <v>3.4507000794739384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25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121.82040000000023</v>
      </c>
      <c r="D140" s="11">
        <f t="shared" si="140"/>
        <v>32.09920494137846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1188.1513363895899</v>
      </c>
      <c r="H140" s="67">
        <f t="shared" si="110"/>
        <v>561.40997860623452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-2.2737367544323206E-13</v>
      </c>
      <c r="O140" s="13">
        <f>N140*VLOOKUP('Données projet'!$B$9,Paramètres!$A$1:$I$89,3,0)*VLOOKUP('Données projet'!$B$9,Paramètres!$A$1:$I$89,5,0)</f>
        <v>-1.6671037883497774E-13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284.62668108124626</v>
      </c>
      <c r="T140" s="59">
        <f t="shared" si="142"/>
        <v>333.70864452711021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0.35174311658576407</v>
      </c>
      <c r="AA140" s="21">
        <f>EXP(-LN(2)/25)*AA139+(1-EXP(-LN(2)/25))/(LN(2)/25)*Calculateur!V140*Calculateur!X140*VLOOKUP('Données projet'!$B$9,Paramètres!$A$1:$I$89,3,0)*0.475*44/12</f>
        <v>0.97783019259947623</v>
      </c>
      <c r="AB140" s="21">
        <f>EXP(-LN(2)/2)*AB139+(1-EXP(-LN(2)/2))/(LN(2)/2)*V140*Y140*VLOOKUP('Données projet'!$B$9,Paramètres!$A$1:$I$89,3,0)*0.475*44/12</f>
        <v>2.0886141374900661E-15</v>
      </c>
      <c r="AC140" s="22">
        <f t="shared" si="111"/>
        <v>1.3295733091852424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-3.4106051316484809E-13</v>
      </c>
      <c r="AJ140" s="13">
        <f>AI140*VLOOKUP('Données projet'!$B$10,Paramètres!$A$1:$I$89,3,0)*VLOOKUP('Données projet'!$B$10,Paramètres!$A$1:$I$89,5,0)</f>
        <v>-3.0859155231155454E-13</v>
      </c>
      <c r="AK140" s="13" t="e">
        <f t="shared" si="143"/>
        <v>#NUM!</v>
      </c>
      <c r="AL140" s="20" t="e">
        <f t="shared" si="112"/>
        <v>#NUM!</v>
      </c>
      <c r="AM140" s="59" t="e">
        <f t="shared" si="113"/>
        <v>#NUM!</v>
      </c>
      <c r="AN140" s="59">
        <f ca="1">AVERAGE(OFFSET($AM$3,0,0,'Données projet'!$E$10+1,1))-AVERAGE(OFFSET($H$3,0,0,'Données projet'!$E$10+1,1))</f>
        <v>318.40875902853116</v>
      </c>
      <c r="AO140" s="59">
        <f t="shared" si="144"/>
        <v>234.87694492493506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0.28937731577268544</v>
      </c>
      <c r="AV140" s="21">
        <f>EXP(-LN(2)/25)*AV139+(1-EXP(-LN(2)/25))/(LN(2)/25)*Calculateur!AQ140*Calculateur!AS140*VLOOKUP('Données projet'!$B$10,Paramètres!$A$1:$I$89,3,0)*0.475*44/12</f>
        <v>0.58077674275757041</v>
      </c>
      <c r="AW140" s="21">
        <f>EXP(-LN(2)/2)*AW139+(1-EXP(-LN(2)/2))/(LN(2)/2)*AQ140*AT140*VLOOKUP('Données projet'!$B$10,Paramètres!$A$1:$I$89,3,0)*0.475*44/12</f>
        <v>1.6920365764248293E-15</v>
      </c>
      <c r="AX140" s="21">
        <f t="shared" si="114"/>
        <v>0.87015405853025751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-1.2505552149377763E-12</v>
      </c>
      <c r="BE140" s="13">
        <f>BD140*VLOOKUP('Données projet'!$B$11,Paramètres!$A$1:$I$89,3,0)*VLOOKUP('Données projet'!$B$11,Paramètres!$A$1:$I$89,5,0)</f>
        <v>-6.9906036515021697E-13</v>
      </c>
      <c r="BF140" s="13" t="e">
        <f t="shared" si="145"/>
        <v>#NUM!</v>
      </c>
      <c r="BG140" s="20" t="e">
        <f t="shared" si="115"/>
        <v>#NUM!</v>
      </c>
      <c r="BH140" s="59" t="e">
        <f t="shared" si="116"/>
        <v>#NUM!</v>
      </c>
      <c r="BI140" s="59">
        <f ca="1">AVERAGE(OFFSET($BH$3,0,0,'Données projet'!$E$11+1,1))-AVERAGE(OFFSET($H$3,0,0,'Données projet'!$E$11+1,1))</f>
        <v>415.91544298418842</v>
      </c>
      <c r="BJ140" s="59">
        <f t="shared" si="146"/>
        <v>422.79312683312583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1.3720476178877363</v>
      </c>
      <c r="BQ140" s="21">
        <f>EXP(-LN(2)/25)*BQ139+(1-EXP(-LN(2)/25))/(LN(2)/25)*Calculateur!BL140*Calculateur!BN140*VLOOKUP('Données projet'!$B$11,Paramètres!$A$1:$I$89,3,0)*0.475*44/12</f>
        <v>1.9951188748209583</v>
      </c>
      <c r="BR140" s="21">
        <f>EXP(-LN(2)/2)*BR139+(1-EXP(-LN(2)/2))/(LN(2)/2)*BL140*BO140*VLOOKUP('Données projet'!$B$11,Paramètres!$A$1:$I$89,3,0)*0.475*44/12</f>
        <v>2.8632120785236502E-15</v>
      </c>
      <c r="BS140" s="22">
        <f t="shared" si="117"/>
        <v>3.3671664927086971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25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122.70960000000024</v>
      </c>
      <c r="D141" s="11">
        <f t="shared" si="140"/>
        <v>32.306145387002346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1196.6127714084412</v>
      </c>
      <c r="H141" s="67">
        <f t="shared" si="110"/>
        <v>563.31908988236285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-2.2737367544323206E-13</v>
      </c>
      <c r="O141" s="13">
        <f>N141*VLOOKUP('Données projet'!$B$9,Paramètres!$A$1:$I$89,3,0)*VLOOKUP('Données projet'!$B$9,Paramètres!$A$1:$I$89,5,0)</f>
        <v>-1.6671037883497774E-13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284.62668108124626</v>
      </c>
      <c r="T141" s="59">
        <f t="shared" si="142"/>
        <v>333.70864452711021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0.34484564861163408</v>
      </c>
      <c r="AA141" s="21">
        <f>EXP(-LN(2)/25)*AA140+(1-EXP(-LN(2)/25))/(LN(2)/25)*Calculateur!V141*Calculateur!X141*VLOOKUP('Données projet'!$B$9,Paramètres!$A$1:$I$89,3,0)*0.475*44/12</f>
        <v>0.95109137456098858</v>
      </c>
      <c r="AB141" s="21">
        <f>EXP(-LN(2)/2)*AB140+(1-EXP(-LN(2)/2))/(LN(2)/2)*V141*Y141*VLOOKUP('Données projet'!$B$9,Paramètres!$A$1:$I$89,3,0)*0.475*44/12</f>
        <v>1.4768732199013179E-15</v>
      </c>
      <c r="AC141" s="22">
        <f t="shared" si="111"/>
        <v>1.2959370231726242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-3.4106051316484809E-13</v>
      </c>
      <c r="AJ141" s="13">
        <f>AI141*VLOOKUP('Données projet'!$B$10,Paramètres!$A$1:$I$89,3,0)*VLOOKUP('Données projet'!$B$10,Paramètres!$A$1:$I$89,5,0)</f>
        <v>-3.0859155231155454E-13</v>
      </c>
      <c r="AK141" s="13" t="e">
        <f t="shared" si="143"/>
        <v>#NUM!</v>
      </c>
      <c r="AL141" s="20" t="e">
        <f t="shared" si="112"/>
        <v>#NUM!</v>
      </c>
      <c r="AM141" s="59" t="e">
        <f t="shared" si="113"/>
        <v>#NUM!</v>
      </c>
      <c r="AN141" s="59">
        <f ca="1">AVERAGE(OFFSET($AM$3,0,0,'Données projet'!$E$10+1,1))-AVERAGE(OFFSET($H$3,0,0,'Données projet'!$E$10+1,1))</f>
        <v>318.40875902853116</v>
      </c>
      <c r="AO141" s="59">
        <f t="shared" si="144"/>
        <v>234.87694492493506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0.28370280311311752</v>
      </c>
      <c r="AV141" s="21">
        <f>EXP(-LN(2)/25)*AV140+(1-EXP(-LN(2)/25))/(LN(2)/25)*Calculateur!AQ141*Calculateur!AS141*VLOOKUP('Données projet'!$B$10,Paramètres!$A$1:$I$89,3,0)*0.475*44/12</f>
        <v>0.56489537218514307</v>
      </c>
      <c r="AW141" s="21">
        <f>EXP(-LN(2)/2)*AW140+(1-EXP(-LN(2)/2))/(LN(2)/2)*AQ141*AT141*VLOOKUP('Données projet'!$B$10,Paramètres!$A$1:$I$89,3,0)*0.475*44/12</f>
        <v>1.1964505372056668E-15</v>
      </c>
      <c r="AX141" s="21">
        <f t="shared" si="114"/>
        <v>0.84859817529826176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-1.2505552149377763E-12</v>
      </c>
      <c r="BE141" s="13">
        <f>BD141*VLOOKUP('Données projet'!$B$11,Paramètres!$A$1:$I$89,3,0)*VLOOKUP('Données projet'!$B$11,Paramètres!$A$1:$I$89,5,0)</f>
        <v>-6.9906036515021697E-13</v>
      </c>
      <c r="BF141" s="13" t="e">
        <f t="shared" si="145"/>
        <v>#NUM!</v>
      </c>
      <c r="BG141" s="20" t="e">
        <f t="shared" si="115"/>
        <v>#NUM!</v>
      </c>
      <c r="BH141" s="59" t="e">
        <f t="shared" si="116"/>
        <v>#NUM!</v>
      </c>
      <c r="BI141" s="59">
        <f ca="1">AVERAGE(OFFSET($BH$3,0,0,'Données projet'!$E$11+1,1))-AVERAGE(OFFSET($H$3,0,0,'Données projet'!$E$11+1,1))</f>
        <v>415.91544298418842</v>
      </c>
      <c r="BJ141" s="59">
        <f t="shared" si="146"/>
        <v>422.79312683312583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1.345142600967371</v>
      </c>
      <c r="BQ141" s="21">
        <f>EXP(-LN(2)/25)*BQ140+(1-EXP(-LN(2)/25))/(LN(2)/25)*Calculateur!BL141*Calculateur!BN141*VLOOKUP('Données projet'!$B$11,Paramètres!$A$1:$I$89,3,0)*0.475*44/12</f>
        <v>1.9405622442702375</v>
      </c>
      <c r="BR141" s="21">
        <f>EXP(-LN(2)/2)*BR140+(1-EXP(-LN(2)/2))/(LN(2)/2)*BL141*BO141*VLOOKUP('Données projet'!$B$11,Paramètres!$A$1:$I$89,3,0)*0.475*44/12</f>
        <v>2.0245966766993026E-15</v>
      </c>
      <c r="BS141" s="22">
        <f t="shared" si="117"/>
        <v>3.285704845237611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25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123.59880000000024</v>
      </c>
      <c r="D142" s="11">
        <f t="shared" si="140"/>
        <v>32.512911354837613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1205.0728595812045</v>
      </c>
      <c r="H142" s="67">
        <f t="shared" si="110"/>
        <v>565.22789727634256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-2.2737367544323206E-13</v>
      </c>
      <c r="O142" s="13">
        <f>N142*VLOOKUP('Données projet'!$B$9,Paramètres!$A$1:$I$89,3,0)*VLOOKUP('Données projet'!$B$9,Paramètres!$A$1:$I$89,5,0)</f>
        <v>-1.6671037883497774E-13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284.62668108124626</v>
      </c>
      <c r="T142" s="59">
        <f t="shared" si="142"/>
        <v>333.70864452711021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0.33808343577743671</v>
      </c>
      <c r="AA142" s="21">
        <f>EXP(-LN(2)/25)*AA141+(1-EXP(-LN(2)/25))/(LN(2)/25)*Calculateur!V142*Calculateur!X142*VLOOKUP('Données projet'!$B$9,Paramètres!$A$1:$I$89,3,0)*0.475*44/12</f>
        <v>0.92508373090789675</v>
      </c>
      <c r="AB142" s="21">
        <f>EXP(-LN(2)/2)*AB141+(1-EXP(-LN(2)/2))/(LN(2)/2)*V142*Y142*VLOOKUP('Données projet'!$B$9,Paramètres!$A$1:$I$89,3,0)*0.475*44/12</f>
        <v>1.0443070687450331E-15</v>
      </c>
      <c r="AC142" s="22">
        <f t="shared" si="111"/>
        <v>1.2631671666853346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-3.4106051316484809E-13</v>
      </c>
      <c r="AJ142" s="13">
        <f>AI142*VLOOKUP('Données projet'!$B$10,Paramètres!$A$1:$I$89,3,0)*VLOOKUP('Données projet'!$B$10,Paramètres!$A$1:$I$89,5,0)</f>
        <v>-3.0859155231155454E-13</v>
      </c>
      <c r="AK142" s="13" t="e">
        <f t="shared" si="143"/>
        <v>#NUM!</v>
      </c>
      <c r="AL142" s="20" t="e">
        <f t="shared" si="112"/>
        <v>#NUM!</v>
      </c>
      <c r="AM142" s="59" t="e">
        <f t="shared" si="113"/>
        <v>#NUM!</v>
      </c>
      <c r="AN142" s="59">
        <f ca="1">AVERAGE(OFFSET($AM$3,0,0,'Données projet'!$E$10+1,1))-AVERAGE(OFFSET($H$3,0,0,'Données projet'!$E$10+1,1))</f>
        <v>318.40875902853116</v>
      </c>
      <c r="AO142" s="59">
        <f t="shared" si="144"/>
        <v>234.87694492493506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0.27813956418569274</v>
      </c>
      <c r="AV142" s="21">
        <f>EXP(-LN(2)/25)*AV141+(1-EXP(-LN(2)/25))/(LN(2)/25)*Calculateur!AQ142*Calculateur!AS142*VLOOKUP('Données projet'!$B$10,Paramètres!$A$1:$I$89,3,0)*0.475*44/12</f>
        <v>0.54944827852618383</v>
      </c>
      <c r="AW142" s="21">
        <f>EXP(-LN(2)/2)*AW141+(1-EXP(-LN(2)/2))/(LN(2)/2)*AQ142*AT142*VLOOKUP('Données projet'!$B$10,Paramètres!$A$1:$I$89,3,0)*0.475*44/12</f>
        <v>8.4601828821241466E-16</v>
      </c>
      <c r="AX142" s="21">
        <f t="shared" si="114"/>
        <v>0.82758784271187746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-1.2505552149377763E-12</v>
      </c>
      <c r="BE142" s="13">
        <f>BD142*VLOOKUP('Données projet'!$B$11,Paramètres!$A$1:$I$89,3,0)*VLOOKUP('Données projet'!$B$11,Paramètres!$A$1:$I$89,5,0)</f>
        <v>-6.9906036515021697E-13</v>
      </c>
      <c r="BF142" s="13" t="e">
        <f t="shared" si="145"/>
        <v>#NUM!</v>
      </c>
      <c r="BG142" s="20" t="e">
        <f t="shared" si="115"/>
        <v>#NUM!</v>
      </c>
      <c r="BH142" s="59" t="e">
        <f t="shared" si="116"/>
        <v>#NUM!</v>
      </c>
      <c r="BI142" s="59">
        <f ca="1">AVERAGE(OFFSET($BH$3,0,0,'Données projet'!$E$11+1,1))-AVERAGE(OFFSET($H$3,0,0,'Données projet'!$E$11+1,1))</f>
        <v>415.91544298418842</v>
      </c>
      <c r="BJ142" s="59">
        <f t="shared" si="146"/>
        <v>422.79312683312583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1.3187651750183742</v>
      </c>
      <c r="BQ142" s="21">
        <f>EXP(-LN(2)/25)*BQ141+(1-EXP(-LN(2)/25))/(LN(2)/25)*Calculateur!BL142*Calculateur!BN142*VLOOKUP('Données projet'!$B$11,Paramètres!$A$1:$I$89,3,0)*0.475*44/12</f>
        <v>1.8874974676509346</v>
      </c>
      <c r="BR142" s="21">
        <f>EXP(-LN(2)/2)*BR141+(1-EXP(-LN(2)/2))/(LN(2)/2)*BL142*BO142*VLOOKUP('Données projet'!$B$11,Paramètres!$A$1:$I$89,3,0)*0.475*44/12</f>
        <v>1.4316060392618251E-15</v>
      </c>
      <c r="BS142" s="22">
        <f t="shared" si="117"/>
        <v>3.2062626426693099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25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124.48800000000024</v>
      </c>
      <c r="D143" s="11">
        <f t="shared" si="140"/>
        <v>32.719504245667331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1213.5316117209427</v>
      </c>
      <c r="H143" s="67">
        <f t="shared" si="110"/>
        <v>567.13640322787103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-2.2737367544323206E-13</v>
      </c>
      <c r="O143" s="13">
        <f>N143*VLOOKUP('Données projet'!$B$9,Paramètres!$A$1:$I$89,3,0)*VLOOKUP('Données projet'!$B$9,Paramètres!$A$1:$I$89,5,0)</f>
        <v>-1.6671037883497774E-13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284.62668108124626</v>
      </c>
      <c r="T143" s="59">
        <f t="shared" si="142"/>
        <v>333.70864452711021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0.33145382581237542</v>
      </c>
      <c r="AA143" s="21">
        <f>EXP(-LN(2)/25)*AA142+(1-EXP(-LN(2)/25))/(LN(2)/25)*Calculateur!V143*Calculateur!X143*VLOOKUP('Données projet'!$B$9,Paramètres!$A$1:$I$89,3,0)*0.475*44/12</f>
        <v>0.89978726763818118</v>
      </c>
      <c r="AB143" s="21">
        <f>EXP(-LN(2)/2)*AB142+(1-EXP(-LN(2)/2))/(LN(2)/2)*V143*Y143*VLOOKUP('Données projet'!$B$9,Paramètres!$A$1:$I$89,3,0)*0.475*44/12</f>
        <v>7.3843660995065896E-16</v>
      </c>
      <c r="AC143" s="22">
        <f t="shared" si="111"/>
        <v>1.2312410934505573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-3.4106051316484809E-13</v>
      </c>
      <c r="AJ143" s="13">
        <f>AI143*VLOOKUP('Données projet'!$B$10,Paramètres!$A$1:$I$89,3,0)*VLOOKUP('Données projet'!$B$10,Paramètres!$A$1:$I$89,5,0)</f>
        <v>-3.0859155231155454E-13</v>
      </c>
      <c r="AK143" s="13" t="e">
        <f t="shared" si="143"/>
        <v>#NUM!</v>
      </c>
      <c r="AL143" s="20" t="e">
        <f t="shared" si="112"/>
        <v>#NUM!</v>
      </c>
      <c r="AM143" s="59" t="e">
        <f t="shared" si="113"/>
        <v>#NUM!</v>
      </c>
      <c r="AN143" s="59">
        <f ca="1">AVERAGE(OFFSET($AM$3,0,0,'Données projet'!$E$10+1,1))-AVERAGE(OFFSET($H$3,0,0,'Données projet'!$E$10+1,1))</f>
        <v>318.40875902853116</v>
      </c>
      <c r="AO143" s="59">
        <f t="shared" si="144"/>
        <v>234.87694492493506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0.27268541698039406</v>
      </c>
      <c r="AV143" s="21">
        <f>EXP(-LN(2)/25)*AV142+(1-EXP(-LN(2)/25))/(LN(2)/25)*Calculateur!AQ143*Calculateur!AS143*VLOOKUP('Données projet'!$B$10,Paramètres!$A$1:$I$89,3,0)*0.475*44/12</f>
        <v>0.53442358645565613</v>
      </c>
      <c r="AW143" s="21">
        <f>EXP(-LN(2)/2)*AW142+(1-EXP(-LN(2)/2))/(LN(2)/2)*AQ143*AT143*VLOOKUP('Données projet'!$B$10,Paramètres!$A$1:$I$89,3,0)*0.475*44/12</f>
        <v>5.9822526860283339E-16</v>
      </c>
      <c r="AX143" s="21">
        <f t="shared" si="114"/>
        <v>0.80710900343605074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-1.2505552149377763E-12</v>
      </c>
      <c r="BE143" s="13">
        <f>BD143*VLOOKUP('Données projet'!$B$11,Paramètres!$A$1:$I$89,3,0)*VLOOKUP('Données projet'!$B$11,Paramètres!$A$1:$I$89,5,0)</f>
        <v>-6.9906036515021697E-13</v>
      </c>
      <c r="BF143" s="13" t="e">
        <f t="shared" si="145"/>
        <v>#NUM!</v>
      </c>
      <c r="BG143" s="20" t="e">
        <f t="shared" si="115"/>
        <v>#NUM!</v>
      </c>
      <c r="BH143" s="59" t="e">
        <f t="shared" si="116"/>
        <v>#NUM!</v>
      </c>
      <c r="BI143" s="59">
        <f ca="1">AVERAGE(OFFSET($BH$3,0,0,'Données projet'!$E$11+1,1))-AVERAGE(OFFSET($H$3,0,0,'Données projet'!$E$11+1,1))</f>
        <v>415.91544298418842</v>
      </c>
      <c r="BJ143" s="59">
        <f t="shared" si="146"/>
        <v>422.79312683312583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1.292904994303596</v>
      </c>
      <c r="BQ143" s="21">
        <f>EXP(-LN(2)/25)*BQ142+(1-EXP(-LN(2)/25))/(LN(2)/25)*Calculateur!BL143*Calculateur!BN143*VLOOKUP('Données projet'!$B$11,Paramètres!$A$1:$I$89,3,0)*0.475*44/12</f>
        <v>1.8358837501388419</v>
      </c>
      <c r="BR143" s="21">
        <f>EXP(-LN(2)/2)*BR142+(1-EXP(-LN(2)/2))/(LN(2)/2)*BL143*BO143*VLOOKUP('Données projet'!$B$11,Paramètres!$A$1:$I$89,3,0)*0.475*44/12</f>
        <v>1.0122983383496513E-15</v>
      </c>
      <c r="BS143" s="22">
        <f t="shared" si="117"/>
        <v>3.1287887444424385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25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125.37720000000024</v>
      </c>
      <c r="D144" s="11">
        <f t="shared" si="140"/>
        <v>32.925925439106905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1221.9890384773182</v>
      </c>
      <c r="H144" s="67">
        <f t="shared" si="110"/>
        <v>569.04461013977823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-2.2737367544323206E-13</v>
      </c>
      <c r="O144" s="13">
        <f>N144*VLOOKUP('Données projet'!$B$9,Paramètres!$A$1:$I$89,3,0)*VLOOKUP('Données projet'!$B$9,Paramètres!$A$1:$I$89,5,0)</f>
        <v>-1.6671037883497774E-13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284.62668108124626</v>
      </c>
      <c r="T144" s="59">
        <f t="shared" si="142"/>
        <v>333.70864452711021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0.32495421845506617</v>
      </c>
      <c r="AA144" s="21">
        <f>EXP(-LN(2)/25)*AA143+(1-EXP(-LN(2)/25))/(LN(2)/25)*Calculateur!V144*Calculateur!X144*VLOOKUP('Données projet'!$B$9,Paramètres!$A$1:$I$89,3,0)*0.475*44/12</f>
        <v>0.87518253748685915</v>
      </c>
      <c r="AB144" s="21">
        <f>EXP(-LN(2)/2)*AB143+(1-EXP(-LN(2)/2))/(LN(2)/2)*V144*Y144*VLOOKUP('Données projet'!$B$9,Paramètres!$A$1:$I$89,3,0)*0.475*44/12</f>
        <v>5.2215353437251654E-16</v>
      </c>
      <c r="AC144" s="22">
        <f t="shared" si="111"/>
        <v>1.2001367559419258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-3.4106051316484809E-13</v>
      </c>
      <c r="AJ144" s="13">
        <f>AI144*VLOOKUP('Données projet'!$B$10,Paramètres!$A$1:$I$89,3,0)*VLOOKUP('Données projet'!$B$10,Paramètres!$A$1:$I$89,5,0)</f>
        <v>-3.0859155231155454E-13</v>
      </c>
      <c r="AK144" s="13" t="e">
        <f t="shared" si="143"/>
        <v>#NUM!</v>
      </c>
      <c r="AL144" s="20" t="e">
        <f t="shared" si="112"/>
        <v>#NUM!</v>
      </c>
      <c r="AM144" s="59" t="e">
        <f t="shared" si="113"/>
        <v>#NUM!</v>
      </c>
      <c r="AN144" s="59">
        <f ca="1">AVERAGE(OFFSET($AM$3,0,0,'Données projet'!$E$10+1,1))-AVERAGE(OFFSET($H$3,0,0,'Données projet'!$E$10+1,1))</f>
        <v>318.40875902853116</v>
      </c>
      <c r="AO144" s="59">
        <f t="shared" si="144"/>
        <v>234.87694492493506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0.26733822227508997</v>
      </c>
      <c r="AV144" s="21">
        <f>EXP(-LN(2)/25)*AV143+(1-EXP(-LN(2)/25))/(LN(2)/25)*Calculateur!AQ144*Calculateur!AS144*VLOOKUP('Données projet'!$B$10,Paramètres!$A$1:$I$89,3,0)*0.475*44/12</f>
        <v>0.5198097453799112</v>
      </c>
      <c r="AW144" s="21">
        <f>EXP(-LN(2)/2)*AW143+(1-EXP(-LN(2)/2))/(LN(2)/2)*AQ144*AT144*VLOOKUP('Données projet'!$B$10,Paramètres!$A$1:$I$89,3,0)*0.475*44/12</f>
        <v>4.2300914410620733E-16</v>
      </c>
      <c r="AX144" s="21">
        <f t="shared" si="114"/>
        <v>0.78714796765500161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-1.2505552149377763E-12</v>
      </c>
      <c r="BE144" s="13">
        <f>BD144*VLOOKUP('Données projet'!$B$11,Paramètres!$A$1:$I$89,3,0)*VLOOKUP('Données projet'!$B$11,Paramètres!$A$1:$I$89,5,0)</f>
        <v>-6.9906036515021697E-13</v>
      </c>
      <c r="BF144" s="13" t="e">
        <f t="shared" si="145"/>
        <v>#NUM!</v>
      </c>
      <c r="BG144" s="20" t="e">
        <f t="shared" si="115"/>
        <v>#NUM!</v>
      </c>
      <c r="BH144" s="59" t="e">
        <f t="shared" si="116"/>
        <v>#NUM!</v>
      </c>
      <c r="BI144" s="59">
        <f ca="1">AVERAGE(OFFSET($BH$3,0,0,'Données projet'!$E$11+1,1))-AVERAGE(OFFSET($H$3,0,0,'Données projet'!$E$11+1,1))</f>
        <v>415.91544298418842</v>
      </c>
      <c r="BJ144" s="59">
        <f t="shared" si="146"/>
        <v>422.79312683312583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1.2675519159594817</v>
      </c>
      <c r="BQ144" s="21">
        <f>EXP(-LN(2)/25)*BQ143+(1-EXP(-LN(2)/25))/(LN(2)/25)*Calculateur!BL144*Calculateur!BN144*VLOOKUP('Données projet'!$B$11,Paramètres!$A$1:$I$89,3,0)*0.475*44/12</f>
        <v>1.7856814124463647</v>
      </c>
      <c r="BR144" s="21">
        <f>EXP(-LN(2)/2)*BR143+(1-EXP(-LN(2)/2))/(LN(2)/2)*BL144*BO144*VLOOKUP('Données projet'!$B$11,Paramètres!$A$1:$I$89,3,0)*0.475*44/12</f>
        <v>7.1580301963091256E-16</v>
      </c>
      <c r="BS144" s="22">
        <f t="shared" si="117"/>
        <v>3.053233328405847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25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126.26640000000025</v>
      </c>
      <c r="D145" s="11">
        <f t="shared" si="140"/>
        <v>33.132176294071868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1230.4451503402058</v>
      </c>
      <c r="H145" s="67">
        <f t="shared" si="110"/>
        <v>570.95252037884222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-2.2737367544323206E-13</v>
      </c>
      <c r="O145" s="13">
        <f>N145*VLOOKUP('Données projet'!$B$9,Paramètres!$A$1:$I$89,3,0)*VLOOKUP('Données projet'!$B$9,Paramètres!$A$1:$I$89,5,0)</f>
        <v>-1.6671037883497774E-13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284.62668108124626</v>
      </c>
      <c r="T145" s="59">
        <f t="shared" si="142"/>
        <v>333.70864452711021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0.31858206443366471</v>
      </c>
      <c r="AA145" s="21">
        <f>EXP(-LN(2)/25)*AA144+(1-EXP(-LN(2)/25))/(LN(2)/25)*Calculateur!V145*Calculateur!X145*VLOOKUP('Données projet'!$B$9,Paramètres!$A$1:$I$89,3,0)*0.475*44/12</f>
        <v>0.85125062497543158</v>
      </c>
      <c r="AB145" s="21">
        <f>EXP(-LN(2)/2)*AB144+(1-EXP(-LN(2)/2))/(LN(2)/2)*V145*Y145*VLOOKUP('Données projet'!$B$9,Paramètres!$A$1:$I$89,3,0)*0.475*44/12</f>
        <v>3.6921830497532948E-16</v>
      </c>
      <c r="AC145" s="22">
        <f t="shared" si="111"/>
        <v>1.1698326894090967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-3.4106051316484809E-13</v>
      </c>
      <c r="AJ145" s="13">
        <f>AI145*VLOOKUP('Données projet'!$B$10,Paramètres!$A$1:$I$89,3,0)*VLOOKUP('Données projet'!$B$10,Paramètres!$A$1:$I$89,5,0)</f>
        <v>-3.0859155231155454E-13</v>
      </c>
      <c r="AK145" s="13" t="e">
        <f t="shared" si="143"/>
        <v>#NUM!</v>
      </c>
      <c r="AL145" s="20" t="e">
        <f t="shared" si="112"/>
        <v>#NUM!</v>
      </c>
      <c r="AM145" s="59" t="e">
        <f t="shared" si="113"/>
        <v>#NUM!</v>
      </c>
      <c r="AN145" s="59">
        <f ca="1">AVERAGE(OFFSET($AM$3,0,0,'Données projet'!$E$10+1,1))-AVERAGE(OFFSET($H$3,0,0,'Données projet'!$E$10+1,1))</f>
        <v>318.40875902853116</v>
      </c>
      <c r="AO145" s="59">
        <f t="shared" si="144"/>
        <v>234.87694492493506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0.26209588279649015</v>
      </c>
      <c r="AV145" s="21">
        <f>EXP(-LN(2)/25)*AV144+(1-EXP(-LN(2)/25))/(LN(2)/25)*Calculateur!AQ145*Calculateur!AS145*VLOOKUP('Données projet'!$B$10,Paramètres!$A$1:$I$89,3,0)*0.475*44/12</f>
        <v>0.50559552055689105</v>
      </c>
      <c r="AW145" s="21">
        <f>EXP(-LN(2)/2)*AW144+(1-EXP(-LN(2)/2))/(LN(2)/2)*AQ145*AT145*VLOOKUP('Données projet'!$B$10,Paramètres!$A$1:$I$89,3,0)*0.475*44/12</f>
        <v>2.9911263430141669E-16</v>
      </c>
      <c r="AX145" s="21">
        <f t="shared" si="114"/>
        <v>0.7676914033533816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-1.2505552149377763E-12</v>
      </c>
      <c r="BE145" s="13">
        <f>BD145*VLOOKUP('Données projet'!$B$11,Paramètres!$A$1:$I$89,3,0)*VLOOKUP('Données projet'!$B$11,Paramètres!$A$1:$I$89,5,0)</f>
        <v>-6.9906036515021697E-13</v>
      </c>
      <c r="BF145" s="13" t="e">
        <f t="shared" si="145"/>
        <v>#NUM!</v>
      </c>
      <c r="BG145" s="20" t="e">
        <f t="shared" si="115"/>
        <v>#NUM!</v>
      </c>
      <c r="BH145" s="59" t="e">
        <f t="shared" si="116"/>
        <v>#NUM!</v>
      </c>
      <c r="BI145" s="59">
        <f ca="1">AVERAGE(OFFSET($BH$3,0,0,'Données projet'!$E$11+1,1))-AVERAGE(OFFSET($H$3,0,0,'Données projet'!$E$11+1,1))</f>
        <v>415.91544298418842</v>
      </c>
      <c r="BJ145" s="59">
        <f t="shared" si="146"/>
        <v>422.79312683312583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1.2426959960178448</v>
      </c>
      <c r="BQ145" s="21">
        <f>EXP(-LN(2)/25)*BQ144+(1-EXP(-LN(2)/25))/(LN(2)/25)*Calculateur!BL145*Calculateur!BN145*VLOOKUP('Données projet'!$B$11,Paramètres!$A$1:$I$89,3,0)*0.475*44/12</f>
        <v>1.7368518603181147</v>
      </c>
      <c r="BR145" s="21">
        <f>EXP(-LN(2)/2)*BR144+(1-EXP(-LN(2)/2))/(LN(2)/2)*BL145*BO145*VLOOKUP('Données projet'!$B$11,Paramètres!$A$1:$I$89,3,0)*0.475*44/12</f>
        <v>5.0614916917482566E-16</v>
      </c>
      <c r="BS145" s="22">
        <f t="shared" si="117"/>
        <v>2.9795478563359601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25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127.15560000000025</v>
      </c>
      <c r="D146" s="11">
        <f t="shared" si="140"/>
        <v>33.33825814923194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1238.8999576431959</v>
      </c>
      <c r="H146" s="67">
        <f t="shared" si="110"/>
        <v>572.8601362765794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-2.2737367544323206E-13</v>
      </c>
      <c r="O146" s="13">
        <f>N146*VLOOKUP('Données projet'!$B$9,Paramètres!$A$1:$I$89,3,0)*VLOOKUP('Données projet'!$B$9,Paramètres!$A$1:$I$89,5,0)</f>
        <v>-1.6671037883497774E-13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284.62668108124626</v>
      </c>
      <c r="T146" s="59">
        <f t="shared" si="142"/>
        <v>333.70864452711021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0.31233486446599273</v>
      </c>
      <c r="AA146" s="21">
        <f>EXP(-LN(2)/25)*AA145+(1-EXP(-LN(2)/25))/(LN(2)/25)*Calculateur!V146*Calculateur!X146*VLOOKUP('Données projet'!$B$9,Paramètres!$A$1:$I$89,3,0)*0.475*44/12</f>
        <v>0.82797313187015364</v>
      </c>
      <c r="AB146" s="21">
        <f>EXP(-LN(2)/2)*AB145+(1-EXP(-LN(2)/2))/(LN(2)/2)*V146*Y146*VLOOKUP('Données projet'!$B$9,Paramètres!$A$1:$I$89,3,0)*0.475*44/12</f>
        <v>2.6107676718625827E-16</v>
      </c>
      <c r="AC146" s="22">
        <f t="shared" si="111"/>
        <v>1.1403079963361467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-3.4106051316484809E-13</v>
      </c>
      <c r="AJ146" s="13">
        <f>AI146*VLOOKUP('Données projet'!$B$10,Paramètres!$A$1:$I$89,3,0)*VLOOKUP('Données projet'!$B$10,Paramètres!$A$1:$I$89,5,0)</f>
        <v>-3.0859155231155454E-13</v>
      </c>
      <c r="AK146" s="13" t="e">
        <f t="shared" si="143"/>
        <v>#NUM!</v>
      </c>
      <c r="AL146" s="20" t="e">
        <f t="shared" si="112"/>
        <v>#NUM!</v>
      </c>
      <c r="AM146" s="59" t="e">
        <f t="shared" si="113"/>
        <v>#NUM!</v>
      </c>
      <c r="AN146" s="59">
        <f ca="1">AVERAGE(OFFSET($AM$3,0,0,'Données projet'!$E$10+1,1))-AVERAGE(OFFSET($H$3,0,0,'Données projet'!$E$10+1,1))</f>
        <v>318.40875902853116</v>
      </c>
      <c r="AO146" s="59">
        <f t="shared" si="144"/>
        <v>234.87694492493506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0.25695634239755438</v>
      </c>
      <c r="AV146" s="21">
        <f>EXP(-LN(2)/25)*AV145+(1-EXP(-LN(2)/25))/(LN(2)/25)*Calculateur!AQ146*Calculateur!AS146*VLOOKUP('Données projet'!$B$10,Paramètres!$A$1:$I$89,3,0)*0.475*44/12</f>
        <v>0.49176998445914999</v>
      </c>
      <c r="AW146" s="21">
        <f>EXP(-LN(2)/2)*AW145+(1-EXP(-LN(2)/2))/(LN(2)/2)*AQ146*AT146*VLOOKUP('Données projet'!$B$10,Paramètres!$A$1:$I$89,3,0)*0.475*44/12</f>
        <v>2.1150457205310367E-16</v>
      </c>
      <c r="AX146" s="21">
        <f t="shared" si="114"/>
        <v>0.74872632685670459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-1.2505552149377763E-12</v>
      </c>
      <c r="BE146" s="13">
        <f>BD146*VLOOKUP('Données projet'!$B$11,Paramètres!$A$1:$I$89,3,0)*VLOOKUP('Données projet'!$B$11,Paramètres!$A$1:$I$89,5,0)</f>
        <v>-6.9906036515021697E-13</v>
      </c>
      <c r="BF146" s="13" t="e">
        <f t="shared" si="145"/>
        <v>#NUM!</v>
      </c>
      <c r="BG146" s="20" t="e">
        <f t="shared" si="115"/>
        <v>#NUM!</v>
      </c>
      <c r="BH146" s="59" t="e">
        <f t="shared" si="116"/>
        <v>#NUM!</v>
      </c>
      <c r="BI146" s="59">
        <f ca="1">AVERAGE(OFFSET($BH$3,0,0,'Données projet'!$E$11+1,1))-AVERAGE(OFFSET($H$3,0,0,'Données projet'!$E$11+1,1))</f>
        <v>415.91544298418842</v>
      </c>
      <c r="BJ146" s="59">
        <f t="shared" si="146"/>
        <v>422.79312683312583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1.2183274855056492</v>
      </c>
      <c r="BQ146" s="21">
        <f>EXP(-LN(2)/25)*BQ145+(1-EXP(-LN(2)/25))/(LN(2)/25)*Calculateur!BL146*Calculateur!BN146*VLOOKUP('Données projet'!$B$11,Paramètres!$A$1:$I$89,3,0)*0.475*44/12</f>
        <v>1.6893575548606461</v>
      </c>
      <c r="BR146" s="21">
        <f>EXP(-LN(2)/2)*BR145+(1-EXP(-LN(2)/2))/(LN(2)/2)*BL146*BO146*VLOOKUP('Données projet'!$B$11,Paramètres!$A$1:$I$89,3,0)*0.475*44/12</f>
        <v>3.5790150981545628E-16</v>
      </c>
      <c r="BS146" s="22">
        <f t="shared" si="117"/>
        <v>2.9076850403662955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25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128.04480000000024</v>
      </c>
      <c r="D147" s="11">
        <f t="shared" si="140"/>
        <v>33.544172323452237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1247.3534705670015</v>
      </c>
      <c r="H147" s="67">
        <f t="shared" si="110"/>
        <v>574.76746013001298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-2.2737367544323206E-13</v>
      </c>
      <c r="O147" s="13">
        <f>N147*VLOOKUP('Données projet'!$B$9,Paramètres!$A$1:$I$89,3,0)*VLOOKUP('Données projet'!$B$9,Paramètres!$A$1:$I$89,5,0)</f>
        <v>-1.6671037883497774E-13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284.62668108124626</v>
      </c>
      <c r="T147" s="59">
        <f t="shared" si="142"/>
        <v>333.70864452711021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0.30621016827927111</v>
      </c>
      <c r="AA147" s="21">
        <f>EXP(-LN(2)/25)*AA146+(1-EXP(-LN(2)/25))/(LN(2)/25)*Calculateur!V147*Calculateur!X147*VLOOKUP('Données projet'!$B$9,Paramètres!$A$1:$I$89,3,0)*0.475*44/12</f>
        <v>0.80533216303794963</v>
      </c>
      <c r="AB147" s="21">
        <f>EXP(-LN(2)/2)*AB146+(1-EXP(-LN(2)/2))/(LN(2)/2)*V147*Y147*VLOOKUP('Données projet'!$B$9,Paramètres!$A$1:$I$89,3,0)*0.475*44/12</f>
        <v>1.8460915248766474E-16</v>
      </c>
      <c r="AC147" s="22">
        <f t="shared" si="111"/>
        <v>1.111542331317221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-3.4106051316484809E-13</v>
      </c>
      <c r="AJ147" s="13">
        <f>AI147*VLOOKUP('Données projet'!$B$10,Paramètres!$A$1:$I$89,3,0)*VLOOKUP('Données projet'!$B$10,Paramètres!$A$1:$I$89,5,0)</f>
        <v>-3.0859155231155454E-13</v>
      </c>
      <c r="AK147" s="13" t="e">
        <f t="shared" si="143"/>
        <v>#NUM!</v>
      </c>
      <c r="AL147" s="20" t="e">
        <f t="shared" si="112"/>
        <v>#NUM!</v>
      </c>
      <c r="AM147" s="59" t="e">
        <f t="shared" si="113"/>
        <v>#NUM!</v>
      </c>
      <c r="AN147" s="59">
        <f ca="1">AVERAGE(OFFSET($AM$3,0,0,'Données projet'!$E$10+1,1))-AVERAGE(OFFSET($H$3,0,0,'Données projet'!$E$10+1,1))</f>
        <v>318.40875902853116</v>
      </c>
      <c r="AO147" s="59">
        <f t="shared" si="144"/>
        <v>234.87694492493506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0.25191758525103158</v>
      </c>
      <c r="AV147" s="21">
        <f>EXP(-LN(2)/25)*AV146+(1-EXP(-LN(2)/25))/(LN(2)/25)*Calculateur!AQ147*Calculateur!AS147*VLOOKUP('Données projet'!$B$10,Paramètres!$A$1:$I$89,3,0)*0.475*44/12</f>
        <v>0.47832250837305501</v>
      </c>
      <c r="AW147" s="21">
        <f>EXP(-LN(2)/2)*AW146+(1-EXP(-LN(2)/2))/(LN(2)/2)*AQ147*AT147*VLOOKUP('Données projet'!$B$10,Paramètres!$A$1:$I$89,3,0)*0.475*44/12</f>
        <v>1.4955631715070835E-16</v>
      </c>
      <c r="AX147" s="21">
        <f t="shared" si="114"/>
        <v>0.73024009362408671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-1.2505552149377763E-12</v>
      </c>
      <c r="BE147" s="13">
        <f>BD147*VLOOKUP('Données projet'!$B$11,Paramètres!$A$1:$I$89,3,0)*VLOOKUP('Données projet'!$B$11,Paramètres!$A$1:$I$89,5,0)</f>
        <v>-6.9906036515021697E-13</v>
      </c>
      <c r="BF147" s="13" t="e">
        <f t="shared" si="145"/>
        <v>#NUM!</v>
      </c>
      <c r="BG147" s="20" t="e">
        <f t="shared" si="115"/>
        <v>#NUM!</v>
      </c>
      <c r="BH147" s="59" t="e">
        <f t="shared" si="116"/>
        <v>#NUM!</v>
      </c>
      <c r="BI147" s="59">
        <f ca="1">AVERAGE(OFFSET($BH$3,0,0,'Données projet'!$E$11+1,1))-AVERAGE(OFFSET($H$3,0,0,'Données projet'!$E$11+1,1))</f>
        <v>415.91544298418842</v>
      </c>
      <c r="BJ147" s="59">
        <f t="shared" si="146"/>
        <v>422.79312683312583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1.1944368266212739</v>
      </c>
      <c r="BQ147" s="21">
        <f>EXP(-LN(2)/25)*BQ146+(1-EXP(-LN(2)/25))/(LN(2)/25)*Calculateur!BL147*Calculateur!BN147*VLOOKUP('Données projet'!$B$11,Paramètres!$A$1:$I$89,3,0)*0.475*44/12</f>
        <v>1.6431619836835289</v>
      </c>
      <c r="BR147" s="21">
        <f>EXP(-LN(2)/2)*BR146+(1-EXP(-LN(2)/2))/(LN(2)/2)*BL147*BO147*VLOOKUP('Données projet'!$B$11,Paramètres!$A$1:$I$89,3,0)*0.475*44/12</f>
        <v>2.5307458458741283E-16</v>
      </c>
      <c r="BS147" s="22">
        <f t="shared" si="117"/>
        <v>2.8375988103048031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25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128.93400000000022</v>
      </c>
      <c r="D148" s="11">
        <f t="shared" si="140"/>
        <v>33.749920116221446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1255.8056991427636</v>
      </c>
      <c r="H148" s="67">
        <f t="shared" si="110"/>
        <v>576.6744942024194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-2.2737367544323206E-13</v>
      </c>
      <c r="O148" s="13">
        <f>N148*VLOOKUP('Données projet'!$B$9,Paramètres!$A$1:$I$89,3,0)*VLOOKUP('Données projet'!$B$9,Paramètres!$A$1:$I$89,5,0)</f>
        <v>-1.6671037883497774E-13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284.62668108124626</v>
      </c>
      <c r="T148" s="59">
        <f t="shared" si="142"/>
        <v>333.70864452711021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0.3002055736490753</v>
      </c>
      <c r="AA148" s="21">
        <f>EXP(-LN(2)/25)*AA147+(1-EXP(-LN(2)/25))/(LN(2)/25)*Calculateur!V148*Calculateur!X148*VLOOKUP('Données projet'!$B$9,Paramètres!$A$1:$I$89,3,0)*0.475*44/12</f>
        <v>0.78331031268909901</v>
      </c>
      <c r="AB148" s="21">
        <f>EXP(-LN(2)/2)*AB147+(1-EXP(-LN(2)/2))/(LN(2)/2)*V148*Y148*VLOOKUP('Données projet'!$B$9,Paramètres!$A$1:$I$89,3,0)*0.475*44/12</f>
        <v>1.3053838359312913E-16</v>
      </c>
      <c r="AC148" s="22">
        <f t="shared" si="111"/>
        <v>1.0835158863381744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-3.4106051316484809E-13</v>
      </c>
      <c r="AJ148" s="13">
        <f>AI148*VLOOKUP('Données projet'!$B$10,Paramètres!$A$1:$I$89,3,0)*VLOOKUP('Données projet'!$B$10,Paramètres!$A$1:$I$89,5,0)</f>
        <v>-3.0859155231155454E-13</v>
      </c>
      <c r="AK148" s="13" t="e">
        <f t="shared" si="143"/>
        <v>#NUM!</v>
      </c>
      <c r="AL148" s="20" t="e">
        <f t="shared" si="112"/>
        <v>#NUM!</v>
      </c>
      <c r="AM148" s="59" t="e">
        <f t="shared" si="113"/>
        <v>#NUM!</v>
      </c>
      <c r="AN148" s="59">
        <f ca="1">AVERAGE(OFFSET($AM$3,0,0,'Données projet'!$E$10+1,1))-AVERAGE(OFFSET($H$3,0,0,'Données projet'!$E$10+1,1))</f>
        <v>318.40875902853116</v>
      </c>
      <c r="AO148" s="59">
        <f t="shared" si="144"/>
        <v>234.87694492493506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0.24697763505881373</v>
      </c>
      <c r="AV148" s="21">
        <f>EXP(-LN(2)/25)*AV147+(1-EXP(-LN(2)/25))/(LN(2)/25)*Calculateur!AQ148*Calculateur!AS148*VLOOKUP('Données projet'!$B$10,Paramètres!$A$1:$I$89,3,0)*0.475*44/12</f>
        <v>0.46524275422770633</v>
      </c>
      <c r="AW148" s="21">
        <f>EXP(-LN(2)/2)*AW147+(1-EXP(-LN(2)/2))/(LN(2)/2)*AQ148*AT148*VLOOKUP('Données projet'!$B$10,Paramètres!$A$1:$I$89,3,0)*0.475*44/12</f>
        <v>1.0575228602655183E-16</v>
      </c>
      <c r="AX148" s="21">
        <f t="shared" si="114"/>
        <v>0.71222038928652021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-1.2505552149377763E-12</v>
      </c>
      <c r="BE148" s="13">
        <f>BD148*VLOOKUP('Données projet'!$B$11,Paramètres!$A$1:$I$89,3,0)*VLOOKUP('Données projet'!$B$11,Paramètres!$A$1:$I$89,5,0)</f>
        <v>-6.9906036515021697E-13</v>
      </c>
      <c r="BF148" s="13" t="e">
        <f t="shared" si="145"/>
        <v>#NUM!</v>
      </c>
      <c r="BG148" s="20" t="e">
        <f t="shared" si="115"/>
        <v>#NUM!</v>
      </c>
      <c r="BH148" s="59" t="e">
        <f t="shared" si="116"/>
        <v>#NUM!</v>
      </c>
      <c r="BI148" s="59">
        <f ca="1">AVERAGE(OFFSET($BH$3,0,0,'Données projet'!$E$11+1,1))-AVERAGE(OFFSET($H$3,0,0,'Données projet'!$E$11+1,1))</f>
        <v>415.91544298418842</v>
      </c>
      <c r="BJ148" s="59">
        <f t="shared" si="146"/>
        <v>422.79312683312583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1.1710146489857582</v>
      </c>
      <c r="BQ148" s="21">
        <f>EXP(-LN(2)/25)*BQ147+(1-EXP(-LN(2)/25))/(LN(2)/25)*Calculateur!BL148*Calculateur!BN148*VLOOKUP('Données projet'!$B$11,Paramètres!$A$1:$I$89,3,0)*0.475*44/12</f>
        <v>1.5982296328295695</v>
      </c>
      <c r="BR148" s="21">
        <f>EXP(-LN(2)/2)*BR147+(1-EXP(-LN(2)/2))/(LN(2)/2)*BL148*BO148*VLOOKUP('Données projet'!$B$11,Paramètres!$A$1:$I$89,3,0)*0.475*44/12</f>
        <v>1.7895075490772814E-16</v>
      </c>
      <c r="BS148" s="22">
        <f t="shared" si="117"/>
        <v>2.769244281815328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25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129.82320000000021</v>
      </c>
      <c r="D149" s="11">
        <f t="shared" si="140"/>
        <v>33.955502808068339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1264.256653255266</v>
      </c>
      <c r="H149" s="67">
        <f t="shared" si="110"/>
        <v>578.58124072405269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-2.2737367544323206E-13</v>
      </c>
      <c r="O149" s="13">
        <f>N149*VLOOKUP('Données projet'!$B$9,Paramètres!$A$1:$I$89,3,0)*VLOOKUP('Données projet'!$B$9,Paramètres!$A$1:$I$89,5,0)</f>
        <v>-1.6671037883497774E-13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284.62668108124626</v>
      </c>
      <c r="T149" s="59">
        <f t="shared" si="142"/>
        <v>333.70864452711021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0.2943187254571365</v>
      </c>
      <c r="AA149" s="21">
        <f>EXP(-LN(2)/25)*AA148+(1-EXP(-LN(2)/25))/(LN(2)/25)*Calculateur!V149*Calculateur!X149*VLOOKUP('Données projet'!$B$9,Paramètres!$A$1:$I$89,3,0)*0.475*44/12</f>
        <v>0.76189065099611653</v>
      </c>
      <c r="AB149" s="21">
        <f>EXP(-LN(2)/2)*AB148+(1-EXP(-LN(2)/2))/(LN(2)/2)*V149*Y149*VLOOKUP('Données projet'!$B$9,Paramètres!$A$1:$I$89,3,0)*0.475*44/12</f>
        <v>9.230457624383237E-17</v>
      </c>
      <c r="AC149" s="22">
        <f t="shared" si="111"/>
        <v>1.056209376453253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-3.4106051316484809E-13</v>
      </c>
      <c r="AJ149" s="13">
        <f>AI149*VLOOKUP('Données projet'!$B$10,Paramètres!$A$1:$I$89,3,0)*VLOOKUP('Données projet'!$B$10,Paramètres!$A$1:$I$89,5,0)</f>
        <v>-3.0859155231155454E-13</v>
      </c>
      <c r="AK149" s="13" t="e">
        <f t="shared" si="143"/>
        <v>#NUM!</v>
      </c>
      <c r="AL149" s="20" t="e">
        <f t="shared" si="112"/>
        <v>#NUM!</v>
      </c>
      <c r="AM149" s="59" t="e">
        <f t="shared" si="113"/>
        <v>#NUM!</v>
      </c>
      <c r="AN149" s="59">
        <f ca="1">AVERAGE(OFFSET($AM$3,0,0,'Données projet'!$E$10+1,1))-AVERAGE(OFFSET($H$3,0,0,'Données projet'!$E$10+1,1))</f>
        <v>318.40875902853116</v>
      </c>
      <c r="AO149" s="59">
        <f t="shared" si="144"/>
        <v>234.87694492493506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0.24213455427679317</v>
      </c>
      <c r="AV149" s="21">
        <f>EXP(-LN(2)/25)*AV148+(1-EXP(-LN(2)/25))/(LN(2)/25)*Calculateur!AQ149*Calculateur!AS149*VLOOKUP('Données projet'!$B$10,Paramètres!$A$1:$I$89,3,0)*0.475*44/12</f>
        <v>0.45252066664729657</v>
      </c>
      <c r="AW149" s="21">
        <f>EXP(-LN(2)/2)*AW148+(1-EXP(-LN(2)/2))/(LN(2)/2)*AQ149*AT149*VLOOKUP('Données projet'!$B$10,Paramètres!$A$1:$I$89,3,0)*0.475*44/12</f>
        <v>7.4778158575354173E-17</v>
      </c>
      <c r="AX149" s="21">
        <f t="shared" si="114"/>
        <v>0.69465522092408982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-1.2505552149377763E-12</v>
      </c>
      <c r="BE149" s="13">
        <f>BD149*VLOOKUP('Données projet'!$B$11,Paramètres!$A$1:$I$89,3,0)*VLOOKUP('Données projet'!$B$11,Paramètres!$A$1:$I$89,5,0)</f>
        <v>-6.9906036515021697E-13</v>
      </c>
      <c r="BF149" s="13" t="e">
        <f t="shared" si="145"/>
        <v>#NUM!</v>
      </c>
      <c r="BG149" s="20" t="e">
        <f t="shared" si="115"/>
        <v>#NUM!</v>
      </c>
      <c r="BH149" s="59" t="e">
        <f t="shared" si="116"/>
        <v>#NUM!</v>
      </c>
      <c r="BI149" s="59">
        <f ca="1">AVERAGE(OFFSET($BH$3,0,0,'Données projet'!$E$11+1,1))-AVERAGE(OFFSET($H$3,0,0,'Données projet'!$E$11+1,1))</f>
        <v>415.91544298418842</v>
      </c>
      <c r="BJ149" s="59">
        <f t="shared" si="146"/>
        <v>422.79312683312583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1.1480517659675573</v>
      </c>
      <c r="BQ149" s="21">
        <f>EXP(-LN(2)/25)*BQ148+(1-EXP(-LN(2)/25))/(LN(2)/25)*Calculateur!BL149*Calculateur!BN149*VLOOKUP('Données projet'!$B$11,Paramètres!$A$1:$I$89,3,0)*0.475*44/12</f>
        <v>1.5545259594726013</v>
      </c>
      <c r="BR149" s="21">
        <f>EXP(-LN(2)/2)*BR148+(1-EXP(-LN(2)/2))/(LN(2)/2)*BL149*BO149*VLOOKUP('Données projet'!$B$11,Paramètres!$A$1:$I$89,3,0)*0.475*44/12</f>
        <v>1.2653729229370642E-16</v>
      </c>
      <c r="BS149" s="22">
        <f t="shared" si="117"/>
        <v>2.7025777254401584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25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130.7124000000002</v>
      </c>
      <c r="D150" s="11">
        <f t="shared" si="140"/>
        <v>34.160921660966174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1272.7063426460566</v>
      </c>
      <c r="H150" s="67">
        <f t="shared" si="110"/>
        <v>580.48770189284971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-2.2737367544323206E-13</v>
      </c>
      <c r="O150" s="13">
        <f>N150*VLOOKUP('Données projet'!$B$9,Paramètres!$A$1:$I$89,3,0)*VLOOKUP('Données projet'!$B$9,Paramètres!$A$1:$I$89,5,0)</f>
        <v>-1.6671037883497774E-13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284.62668108124626</v>
      </c>
      <c r="T150" s="59">
        <f t="shared" si="142"/>
        <v>333.70864452711021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0.2885473147676188</v>
      </c>
      <c r="AA150" s="21">
        <f>EXP(-LN(2)/25)*AA149+(1-EXP(-LN(2)/25))/(LN(2)/25)*Calculateur!V150*Calculateur!X150*VLOOKUP('Données projet'!$B$9,Paramètres!$A$1:$I$89,3,0)*0.475*44/12</f>
        <v>0.74105671107853965</v>
      </c>
      <c r="AB150" s="21">
        <f>EXP(-LN(2)/2)*AB149+(1-EXP(-LN(2)/2))/(LN(2)/2)*V150*Y150*VLOOKUP('Données projet'!$B$9,Paramètres!$A$1:$I$89,3,0)*0.475*44/12</f>
        <v>6.5269191796564567E-17</v>
      </c>
      <c r="AC150" s="22">
        <f t="shared" si="111"/>
        <v>1.0296040258461585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-3.4106051316484809E-13</v>
      </c>
      <c r="AJ150" s="13">
        <f>AI150*VLOOKUP('Données projet'!$B$10,Paramètres!$A$1:$I$89,3,0)*VLOOKUP('Données projet'!$B$10,Paramètres!$A$1:$I$89,5,0)</f>
        <v>-3.0859155231155454E-13</v>
      </c>
      <c r="AK150" s="13" t="e">
        <f t="shared" si="143"/>
        <v>#NUM!</v>
      </c>
      <c r="AL150" s="20" t="e">
        <f t="shared" si="112"/>
        <v>#NUM!</v>
      </c>
      <c r="AM150" s="59" t="e">
        <f t="shared" si="113"/>
        <v>#NUM!</v>
      </c>
      <c r="AN150" s="59">
        <f ca="1">AVERAGE(OFFSET($AM$3,0,0,'Données projet'!$E$10+1,1))-AVERAGE(OFFSET($H$3,0,0,'Données projet'!$E$10+1,1))</f>
        <v>318.40875902853116</v>
      </c>
      <c r="AO150" s="59">
        <f t="shared" si="144"/>
        <v>234.87694492493506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0.23738644335492043</v>
      </c>
      <c r="AV150" s="21">
        <f>EXP(-LN(2)/25)*AV149+(1-EXP(-LN(2)/25))/(LN(2)/25)*Calculateur!AQ150*Calculateur!AS150*VLOOKUP('Données projet'!$B$10,Paramètres!$A$1:$I$89,3,0)*0.475*44/12</f>
        <v>0.44014646522079864</v>
      </c>
      <c r="AW150" s="21">
        <f>EXP(-LN(2)/2)*AW149+(1-EXP(-LN(2)/2))/(LN(2)/2)*AQ150*AT150*VLOOKUP('Données projet'!$B$10,Paramètres!$A$1:$I$89,3,0)*0.475*44/12</f>
        <v>5.2876143013275917E-17</v>
      </c>
      <c r="AX150" s="21">
        <f t="shared" si="114"/>
        <v>0.67753290857571913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-1.2505552149377763E-12</v>
      </c>
      <c r="BE150" s="13">
        <f>BD150*VLOOKUP('Données projet'!$B$11,Paramètres!$A$1:$I$89,3,0)*VLOOKUP('Données projet'!$B$11,Paramètres!$A$1:$I$89,5,0)</f>
        <v>-6.9906036515021697E-13</v>
      </c>
      <c r="BF150" s="13" t="e">
        <f t="shared" si="145"/>
        <v>#NUM!</v>
      </c>
      <c r="BG150" s="20" t="e">
        <f t="shared" si="115"/>
        <v>#NUM!</v>
      </c>
      <c r="BH150" s="59" t="e">
        <f t="shared" si="116"/>
        <v>#NUM!</v>
      </c>
      <c r="BI150" s="59">
        <f ca="1">AVERAGE(OFFSET($BH$3,0,0,'Données projet'!$E$11+1,1))-AVERAGE(OFFSET($H$3,0,0,'Données projet'!$E$11+1,1))</f>
        <v>415.91544298418842</v>
      </c>
      <c r="BJ150" s="59">
        <f t="shared" si="146"/>
        <v>422.79312683312583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1.1255391710793676</v>
      </c>
      <c r="BQ150" s="21">
        <f>EXP(-LN(2)/25)*BQ149+(1-EXP(-LN(2)/25))/(LN(2)/25)*Calculateur!BL150*Calculateur!BN150*VLOOKUP('Données projet'!$B$11,Paramètres!$A$1:$I$89,3,0)*0.475*44/12</f>
        <v>1.5120173653618558</v>
      </c>
      <c r="BR150" s="21">
        <f>EXP(-LN(2)/2)*BR149+(1-EXP(-LN(2)/2))/(LN(2)/2)*BL150*BO150*VLOOKUP('Données projet'!$B$11,Paramètres!$A$1:$I$89,3,0)*0.475*44/12</f>
        <v>8.947537745386407E-17</v>
      </c>
      <c r="BS150" s="22">
        <f t="shared" si="117"/>
        <v>2.6375565364412235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25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131.60160000000019</v>
      </c>
      <c r="D151" s="11">
        <f t="shared" si="140"/>
        <v>34.366177918726152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1281.1547769164843</v>
      </c>
      <c r="H151" s="67">
        <f t="shared" si="110"/>
        <v>582.39387987511509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-2.2737367544323206E-13</v>
      </c>
      <c r="O151" s="13">
        <f>N151*VLOOKUP('Données projet'!$B$9,Paramètres!$A$1:$I$89,3,0)*VLOOKUP('Données projet'!$B$9,Paramètres!$A$1:$I$89,5,0)</f>
        <v>-1.6671037883497774E-13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284.62668108124626</v>
      </c>
      <c r="T151" s="59">
        <f t="shared" si="142"/>
        <v>333.70864452711021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0.28288907792150958</v>
      </c>
      <c r="AA151" s="21">
        <f>EXP(-LN(2)/25)*AA150+(1-EXP(-LN(2)/25))/(LN(2)/25)*Calculateur!V151*Calculateur!X151*VLOOKUP('Données projet'!$B$9,Paramètres!$A$1:$I$89,3,0)*0.475*44/12</f>
        <v>0.7207924763436182</v>
      </c>
      <c r="AB151" s="21">
        <f>EXP(-LN(2)/2)*AB150+(1-EXP(-LN(2)/2))/(LN(2)/2)*V151*Y151*VLOOKUP('Données projet'!$B$9,Paramètres!$A$1:$I$89,3,0)*0.475*44/12</f>
        <v>4.6152288121916185E-17</v>
      </c>
      <c r="AC151" s="22">
        <f t="shared" si="111"/>
        <v>1.0036815542651278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-3.4106051316484809E-13</v>
      </c>
      <c r="AJ151" s="13">
        <f>AI151*VLOOKUP('Données projet'!$B$10,Paramètres!$A$1:$I$89,3,0)*VLOOKUP('Données projet'!$B$10,Paramètres!$A$1:$I$89,5,0)</f>
        <v>-3.0859155231155454E-13</v>
      </c>
      <c r="AK151" s="13" t="e">
        <f t="shared" si="143"/>
        <v>#NUM!</v>
      </c>
      <c r="AL151" s="20" t="e">
        <f t="shared" si="112"/>
        <v>#NUM!</v>
      </c>
      <c r="AM151" s="59" t="e">
        <f t="shared" si="113"/>
        <v>#NUM!</v>
      </c>
      <c r="AN151" s="59">
        <f ca="1">AVERAGE(OFFSET($AM$3,0,0,'Données projet'!$E$10+1,1))-AVERAGE(OFFSET($H$3,0,0,'Données projet'!$E$10+1,1))</f>
        <v>318.40875902853116</v>
      </c>
      <c r="AO151" s="59">
        <f t="shared" si="144"/>
        <v>234.87694492493506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0.23273143999216392</v>
      </c>
      <c r="AV151" s="21">
        <f>EXP(-LN(2)/25)*AV150+(1-EXP(-LN(2)/25))/(LN(2)/25)*Calculateur!AQ151*Calculateur!AS151*VLOOKUP('Données projet'!$B$10,Paramètres!$A$1:$I$89,3,0)*0.475*44/12</f>
        <v>0.42811063698303925</v>
      </c>
      <c r="AW151" s="21">
        <f>EXP(-LN(2)/2)*AW150+(1-EXP(-LN(2)/2))/(LN(2)/2)*AQ151*AT151*VLOOKUP('Données projet'!$B$10,Paramètres!$A$1:$I$89,3,0)*0.475*44/12</f>
        <v>3.7389079287677087E-17</v>
      </c>
      <c r="AX151" s="21">
        <f t="shared" si="114"/>
        <v>0.66084207697520314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-1.2505552149377763E-12</v>
      </c>
      <c r="BE151" s="13">
        <f>BD151*VLOOKUP('Données projet'!$B$11,Paramètres!$A$1:$I$89,3,0)*VLOOKUP('Données projet'!$B$11,Paramètres!$A$1:$I$89,5,0)</f>
        <v>-6.9906036515021697E-13</v>
      </c>
      <c r="BF151" s="13" t="e">
        <f t="shared" si="145"/>
        <v>#NUM!</v>
      </c>
      <c r="BG151" s="20" t="e">
        <f t="shared" si="115"/>
        <v>#NUM!</v>
      </c>
      <c r="BH151" s="59" t="e">
        <f t="shared" si="116"/>
        <v>#NUM!</v>
      </c>
      <c r="BI151" s="59">
        <f ca="1">AVERAGE(OFFSET($BH$3,0,0,'Données projet'!$E$11+1,1))-AVERAGE(OFFSET($H$3,0,0,'Données projet'!$E$11+1,1))</f>
        <v>415.91544298418842</v>
      </c>
      <c r="BJ151" s="59">
        <f t="shared" si="146"/>
        <v>422.79312683312583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1.1034680344456083</v>
      </c>
      <c r="BQ151" s="21">
        <f>EXP(-LN(2)/25)*BQ150+(1-EXP(-LN(2)/25))/(LN(2)/25)*Calculateur!BL151*Calculateur!BN151*VLOOKUP('Données projet'!$B$11,Paramètres!$A$1:$I$89,3,0)*0.475*44/12</f>
        <v>1.4706711709924984</v>
      </c>
      <c r="BR151" s="21">
        <f>EXP(-LN(2)/2)*BR150+(1-EXP(-LN(2)/2))/(LN(2)/2)*BL151*BO151*VLOOKUP('Données projet'!$B$11,Paramètres!$A$1:$I$89,3,0)*0.475*44/12</f>
        <v>6.3268646146853208E-17</v>
      </c>
      <c r="BS151" s="22">
        <f t="shared" si="117"/>
        <v>2.5741392054381067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25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132.49080000000018</v>
      </c>
      <c r="D152" s="11">
        <f t="shared" si="140"/>
        <v>34.571272807379401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1289.6019655306493</v>
      </c>
      <c r="H152" s="67">
        <f t="shared" si="110"/>
        <v>584.29977680618606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-2.2737367544323206E-13</v>
      </c>
      <c r="O152" s="13">
        <f>N152*VLOOKUP('Données projet'!$B$9,Paramètres!$A$1:$I$89,3,0)*VLOOKUP('Données projet'!$B$9,Paramètres!$A$1:$I$89,5,0)</f>
        <v>-1.6671037883497774E-13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284.62668108124626</v>
      </c>
      <c r="T152" s="59">
        <f t="shared" si="142"/>
        <v>333.70864452711021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0.27734179564876887</v>
      </c>
      <c r="AA152" s="21">
        <f>EXP(-LN(2)/25)*AA151+(1-EXP(-LN(2)/25))/(LN(2)/25)*Calculateur!V152*Calculateur!X152*VLOOKUP('Données projet'!$B$9,Paramètres!$A$1:$I$89,3,0)*0.475*44/12</f>
        <v>0.70108236817317304</v>
      </c>
      <c r="AB152" s="21">
        <f>EXP(-LN(2)/2)*AB151+(1-EXP(-LN(2)/2))/(LN(2)/2)*V152*Y152*VLOOKUP('Données projet'!$B$9,Paramètres!$A$1:$I$89,3,0)*0.475*44/12</f>
        <v>3.2634595898282284E-17</v>
      </c>
      <c r="AC152" s="22">
        <f t="shared" si="111"/>
        <v>0.97842416382194197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-3.4106051316484809E-13</v>
      </c>
      <c r="AJ152" s="13">
        <f>AI152*VLOOKUP('Données projet'!$B$10,Paramètres!$A$1:$I$89,3,0)*VLOOKUP('Données projet'!$B$10,Paramètres!$A$1:$I$89,5,0)</f>
        <v>-3.0859155231155454E-13</v>
      </c>
      <c r="AK152" s="13" t="e">
        <f t="shared" si="143"/>
        <v>#NUM!</v>
      </c>
      <c r="AL152" s="20" t="e">
        <f t="shared" si="112"/>
        <v>#NUM!</v>
      </c>
      <c r="AM152" s="59" t="e">
        <f t="shared" si="113"/>
        <v>#NUM!</v>
      </c>
      <c r="AN152" s="59">
        <f ca="1">AVERAGE(OFFSET($AM$3,0,0,'Données projet'!$E$10+1,1))-AVERAGE(OFFSET($H$3,0,0,'Données projet'!$E$10+1,1))</f>
        <v>318.40875902853116</v>
      </c>
      <c r="AO152" s="59">
        <f t="shared" si="144"/>
        <v>234.87694492493506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0.22816771840607936</v>
      </c>
      <c r="AV152" s="21">
        <f>EXP(-LN(2)/25)*AV151+(1-EXP(-LN(2)/25))/(LN(2)/25)*Calculateur!AQ152*Calculateur!AS152*VLOOKUP('Données projet'!$B$10,Paramètres!$A$1:$I$89,3,0)*0.475*44/12</f>
        <v>0.41640392910137808</v>
      </c>
      <c r="AW152" s="21">
        <f>EXP(-LN(2)/2)*AW151+(1-EXP(-LN(2)/2))/(LN(2)/2)*AQ152*AT152*VLOOKUP('Données projet'!$B$10,Paramètres!$A$1:$I$89,3,0)*0.475*44/12</f>
        <v>2.6438071506637958E-17</v>
      </c>
      <c r="AX152" s="21">
        <f t="shared" si="114"/>
        <v>0.64457164750745743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-1.2505552149377763E-12</v>
      </c>
      <c r="BE152" s="13">
        <f>BD152*VLOOKUP('Données projet'!$B$11,Paramètres!$A$1:$I$89,3,0)*VLOOKUP('Données projet'!$B$11,Paramètres!$A$1:$I$89,5,0)</f>
        <v>-6.9906036515021697E-13</v>
      </c>
      <c r="BF152" s="13" t="e">
        <f t="shared" si="145"/>
        <v>#NUM!</v>
      </c>
      <c r="BG152" s="20" t="e">
        <f t="shared" si="115"/>
        <v>#NUM!</v>
      </c>
      <c r="BH152" s="59" t="e">
        <f t="shared" si="116"/>
        <v>#NUM!</v>
      </c>
      <c r="BI152" s="59">
        <f ca="1">AVERAGE(OFFSET($BH$3,0,0,'Données projet'!$E$11+1,1))-AVERAGE(OFFSET($H$3,0,0,'Données projet'!$E$11+1,1))</f>
        <v>415.91544298418842</v>
      </c>
      <c r="BJ152" s="59">
        <f t="shared" si="146"/>
        <v>422.79312683312583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1.0818296993391727</v>
      </c>
      <c r="BQ152" s="21">
        <f>EXP(-LN(2)/25)*BQ151+(1-EXP(-LN(2)/25))/(LN(2)/25)*Calculateur!BL152*Calculateur!BN152*VLOOKUP('Données projet'!$B$11,Paramètres!$A$1:$I$89,3,0)*0.475*44/12</f>
        <v>1.4304555904824729</v>
      </c>
      <c r="BR152" s="21">
        <f>EXP(-LN(2)/2)*BR151+(1-EXP(-LN(2)/2))/(LN(2)/2)*BL152*BO152*VLOOKUP('Données projet'!$B$11,Paramètres!$A$1:$I$89,3,0)*0.475*44/12</f>
        <v>4.4737688726932035E-17</v>
      </c>
      <c r="BS152" s="22">
        <f t="shared" si="117"/>
        <v>2.5122852898216457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25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133.38000000000017</v>
      </c>
      <c r="D153" s="11">
        <f t="shared" si="140"/>
        <v>34.776207535549027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1298.0479178182745</v>
      </c>
      <c r="H153" s="67">
        <f t="shared" si="110"/>
        <v>586.20539479108152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-2.2737367544323206E-13</v>
      </c>
      <c r="O153" s="13">
        <f>N153*VLOOKUP('Données projet'!$B$9,Paramètres!$A$1:$I$89,3,0)*VLOOKUP('Données projet'!$B$9,Paramètres!$A$1:$I$89,5,0)</f>
        <v>-1.6671037883497774E-13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284.62668108124626</v>
      </c>
      <c r="T153" s="59">
        <f t="shared" si="142"/>
        <v>333.70864452711021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0.2719032921978885</v>
      </c>
      <c r="AA153" s="21">
        <f>EXP(-LN(2)/25)*AA152+(1-EXP(-LN(2)/25))/(LN(2)/25)*Calculateur!V153*Calculateur!X153*VLOOKUP('Données projet'!$B$9,Paramètres!$A$1:$I$89,3,0)*0.475*44/12</f>
        <v>0.68191123394715825</v>
      </c>
      <c r="AB153" s="21">
        <f>EXP(-LN(2)/2)*AB152+(1-EXP(-LN(2)/2))/(LN(2)/2)*V153*Y153*VLOOKUP('Données projet'!$B$9,Paramètres!$A$1:$I$89,3,0)*0.475*44/12</f>
        <v>2.3076144060958093E-17</v>
      </c>
      <c r="AC153" s="22">
        <f t="shared" si="111"/>
        <v>0.9538145261450468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-3.4106051316484809E-13</v>
      </c>
      <c r="AJ153" s="13">
        <f>AI153*VLOOKUP('Données projet'!$B$10,Paramètres!$A$1:$I$89,3,0)*VLOOKUP('Données projet'!$B$10,Paramètres!$A$1:$I$89,5,0)</f>
        <v>-3.0859155231155454E-13</v>
      </c>
      <c r="AK153" s="13" t="e">
        <f t="shared" si="143"/>
        <v>#NUM!</v>
      </c>
      <c r="AL153" s="20" t="e">
        <f t="shared" si="112"/>
        <v>#NUM!</v>
      </c>
      <c r="AM153" s="59" t="e">
        <f t="shared" si="113"/>
        <v>#NUM!</v>
      </c>
      <c r="AN153" s="59">
        <f ca="1">AVERAGE(OFFSET($AM$3,0,0,'Données projet'!$E$10+1,1))-AVERAGE(OFFSET($H$3,0,0,'Données projet'!$E$10+1,1))</f>
        <v>318.40875902853116</v>
      </c>
      <c r="AO153" s="59">
        <f t="shared" si="144"/>
        <v>234.87694492493506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0.2236934886167026</v>
      </c>
      <c r="AV153" s="21">
        <f>EXP(-LN(2)/25)*AV152+(1-EXP(-LN(2)/25))/(LN(2)/25)*Calculateur!AQ153*Calculateur!AS153*VLOOKUP('Données projet'!$B$10,Paramètres!$A$1:$I$89,3,0)*0.475*44/12</f>
        <v>0.40501734176236998</v>
      </c>
      <c r="AW153" s="21">
        <f>EXP(-LN(2)/2)*AW152+(1-EXP(-LN(2)/2))/(LN(2)/2)*AQ153*AT153*VLOOKUP('Données projet'!$B$10,Paramètres!$A$1:$I$89,3,0)*0.475*44/12</f>
        <v>1.8694539643838543E-17</v>
      </c>
      <c r="AX153" s="21">
        <f t="shared" si="114"/>
        <v>0.6287108303790726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-1.2505552149377763E-12</v>
      </c>
      <c r="BE153" s="13">
        <f>BD153*VLOOKUP('Données projet'!$B$11,Paramètres!$A$1:$I$89,3,0)*VLOOKUP('Données projet'!$B$11,Paramètres!$A$1:$I$89,5,0)</f>
        <v>-6.9906036515021697E-13</v>
      </c>
      <c r="BF153" s="13" t="e">
        <f t="shared" si="145"/>
        <v>#NUM!</v>
      </c>
      <c r="BG153" s="20" t="e">
        <f t="shared" si="115"/>
        <v>#NUM!</v>
      </c>
      <c r="BH153" s="59" t="e">
        <f t="shared" si="116"/>
        <v>#NUM!</v>
      </c>
      <c r="BI153" s="59">
        <f ca="1">AVERAGE(OFFSET($BH$3,0,0,'Données projet'!$E$11+1,1))-AVERAGE(OFFSET($H$3,0,0,'Données projet'!$E$11+1,1))</f>
        <v>415.91544298418842</v>
      </c>
      <c r="BJ153" s="59">
        <f t="shared" si="146"/>
        <v>422.79312683312583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1.0606156787860932</v>
      </c>
      <c r="BQ153" s="21">
        <f>EXP(-LN(2)/25)*BQ152+(1-EXP(-LN(2)/25))/(LN(2)/25)*Calculateur!BL153*Calculateur!BN153*VLOOKUP('Données projet'!$B$11,Paramètres!$A$1:$I$89,3,0)*0.475*44/12</f>
        <v>1.3913397071363396</v>
      </c>
      <c r="BR153" s="21">
        <f>EXP(-LN(2)/2)*BR152+(1-EXP(-LN(2)/2))/(LN(2)/2)*BL153*BO153*VLOOKUP('Données projet'!$B$11,Paramètres!$A$1:$I$89,3,0)*0.475*44/12</f>
        <v>3.1634323073426604E-17</v>
      </c>
      <c r="BS153" s="22">
        <f t="shared" si="117"/>
        <v>2.4519553859224326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25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134.26920000000015</v>
      </c>
      <c r="D154" s="11">
        <f t="shared" si="140"/>
        <v>34.980983294811438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1306.492642977493</v>
      </c>
      <c r="H154" s="67">
        <f t="shared" si="110"/>
        <v>588.11073590513013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-2.2737367544323206E-13</v>
      </c>
      <c r="O154" s="13">
        <f>N154*VLOOKUP('Données projet'!$B$9,Paramètres!$A$1:$I$89,3,0)*VLOOKUP('Données projet'!$B$9,Paramètres!$A$1:$I$89,5,0)</f>
        <v>-1.6671037883497774E-13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284.62668108124626</v>
      </c>
      <c r="T154" s="59">
        <f t="shared" si="142"/>
        <v>333.70864452711021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0.26657143448252035</v>
      </c>
      <c r="AA154" s="21">
        <f>EXP(-LN(2)/25)*AA153+(1-EXP(-LN(2)/25))/(LN(2)/25)*Calculateur!V154*Calculateur!X154*VLOOKUP('Données projet'!$B$9,Paramètres!$A$1:$I$89,3,0)*0.475*44/12</f>
        <v>0.66326433539471996</v>
      </c>
      <c r="AB154" s="21">
        <f>EXP(-LN(2)/2)*AB153+(1-EXP(-LN(2)/2))/(LN(2)/2)*V154*Y154*VLOOKUP('Données projet'!$B$9,Paramètres!$A$1:$I$89,3,0)*0.475*44/12</f>
        <v>1.6317297949141142E-17</v>
      </c>
      <c r="AC154" s="22">
        <f t="shared" ref="AC154:AC203" si="163">SUM(Z154:AB154)</f>
        <v>0.92983576987724037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-3.4106051316484809E-13</v>
      </c>
      <c r="AJ154" s="13">
        <f>AI154*VLOOKUP('Données projet'!$B$10,Paramètres!$A$1:$I$89,3,0)*VLOOKUP('Données projet'!$B$10,Paramètres!$A$1:$I$89,5,0)</f>
        <v>-3.0859155231155454E-13</v>
      </c>
      <c r="AK154" s="13" t="e">
        <f t="shared" ref="AK154:AK203" si="164">EXP(-1.0587+0.8836*LN(AJ154)+0.284)</f>
        <v>#NUM!</v>
      </c>
      <c r="AL154" s="20" t="e">
        <f t="shared" ref="AL154:AL203" si="165">(AJ154+AK154)*0.475*44/12</f>
        <v>#NUM!</v>
      </c>
      <c r="AM154" s="59" t="e">
        <f t="shared" si="113"/>
        <v>#NUM!</v>
      </c>
      <c r="AN154" s="59">
        <f ca="1">AVERAGE(OFFSET($AM$3,0,0,'Données projet'!$E$10+1,1))-AVERAGE(OFFSET($H$3,0,0,'Données projet'!$E$10+1,1))</f>
        <v>318.40875902853116</v>
      </c>
      <c r="AO154" s="59">
        <f t="shared" si="144"/>
        <v>234.87694492493506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0.21930699574448484</v>
      </c>
      <c r="AV154" s="21">
        <f>EXP(-LN(2)/25)*AV153+(1-EXP(-LN(2)/25))/(LN(2)/25)*Calculateur!AQ154*Calculateur!AS154*VLOOKUP('Données projet'!$B$10,Paramètres!$A$1:$I$89,3,0)*0.475*44/12</f>
        <v>0.39394212125294165</v>
      </c>
      <c r="AW154" s="21">
        <f>EXP(-LN(2)/2)*AW153+(1-EXP(-LN(2)/2))/(LN(2)/2)*AQ154*AT154*VLOOKUP('Données projet'!$B$10,Paramètres!$A$1:$I$89,3,0)*0.475*44/12</f>
        <v>1.3219035753318979E-17</v>
      </c>
      <c r="AX154" s="21">
        <f t="shared" ref="AX154:AX203" si="166">SUM(AU154:AW154)</f>
        <v>0.61324911699742646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-1.2505552149377763E-12</v>
      </c>
      <c r="BE154" s="13">
        <f>BD154*VLOOKUP('Données projet'!$B$11,Paramètres!$A$1:$I$89,3,0)*VLOOKUP('Données projet'!$B$11,Paramètres!$A$1:$I$89,5,0)</f>
        <v>-6.9906036515021697E-13</v>
      </c>
      <c r="BF154" s="13" t="e">
        <f t="shared" ref="BF154:BF203" si="167">EXP(-1.0587+0.8836*LN(BE154)+0.284)</f>
        <v>#NUM!</v>
      </c>
      <c r="BG154" s="20" t="e">
        <f t="shared" ref="BG154:BG203" si="168">(BE154+BF154)*0.475*44/12</f>
        <v>#NUM!</v>
      </c>
      <c r="BH154" s="59" t="e">
        <f t="shared" si="116"/>
        <v>#NUM!</v>
      </c>
      <c r="BI154" s="59">
        <f ca="1">AVERAGE(OFFSET($BH$3,0,0,'Données projet'!$E$11+1,1))-AVERAGE(OFFSET($H$3,0,0,'Données projet'!$E$11+1,1))</f>
        <v>415.91544298418842</v>
      </c>
      <c r="BJ154" s="59">
        <f t="shared" si="146"/>
        <v>422.79312683312583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1.0398176522367848</v>
      </c>
      <c r="BQ154" s="21">
        <f>EXP(-LN(2)/25)*BQ153+(1-EXP(-LN(2)/25))/(LN(2)/25)*Calculateur!BL154*Calculateur!BN154*VLOOKUP('Données projet'!$B$11,Paramètres!$A$1:$I$89,3,0)*0.475*44/12</f>
        <v>1.3532934496773212</v>
      </c>
      <c r="BR154" s="21">
        <f>EXP(-LN(2)/2)*BR153+(1-EXP(-LN(2)/2))/(LN(2)/2)*BL154*BO154*VLOOKUP('Données projet'!$B$11,Paramètres!$A$1:$I$89,3,0)*0.475*44/12</f>
        <v>2.2368844363466017E-17</v>
      </c>
      <c r="BS154" s="22">
        <f t="shared" ref="BS154:BS203" si="169">SUM(BP154:BR154)</f>
        <v>2.3931111019141058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25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135.15840000000014</v>
      </c>
      <c r="D155" s="11">
        <f t="shared" si="140"/>
        <v>35.185601260048031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1314.9361500775651</v>
      </c>
      <c r="H155" s="67">
        <f t="shared" si="110"/>
        <v>590.0158021945839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-2.2737367544323206E-13</v>
      </c>
      <c r="O155" s="13">
        <f>N155*VLOOKUP('Données projet'!$B$9,Paramètres!$A$1:$I$89,3,0)*VLOOKUP('Données projet'!$B$9,Paramètres!$A$1:$I$89,5,0)</f>
        <v>-1.6671037883497774E-13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284.62668108124626</v>
      </c>
      <c r="T155" s="59">
        <f t="shared" si="142"/>
        <v>333.70864452711021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0.26134413124483846</v>
      </c>
      <c r="AA155" s="21">
        <f>EXP(-LN(2)/25)*AA154+(1-EXP(-LN(2)/25))/(LN(2)/25)*Calculateur!V155*Calculateur!X155*VLOOKUP('Données projet'!$B$9,Paramètres!$A$1:$I$89,3,0)*0.475*44/12</f>
        <v>0.6451273372637959</v>
      </c>
      <c r="AB155" s="21">
        <f>EXP(-LN(2)/2)*AB154+(1-EXP(-LN(2)/2))/(LN(2)/2)*V155*Y155*VLOOKUP('Données projet'!$B$9,Paramètres!$A$1:$I$89,3,0)*0.475*44/12</f>
        <v>1.1538072030479046E-17</v>
      </c>
      <c r="AC155" s="22">
        <f t="shared" si="163"/>
        <v>0.90647146850863436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-3.4106051316484809E-13</v>
      </c>
      <c r="AJ155" s="13">
        <f>AI155*VLOOKUP('Données projet'!$B$10,Paramètres!$A$1:$I$89,3,0)*VLOOKUP('Données projet'!$B$10,Paramètres!$A$1:$I$89,5,0)</f>
        <v>-3.0859155231155454E-13</v>
      </c>
      <c r="AK155" s="13" t="e">
        <f t="shared" si="164"/>
        <v>#NUM!</v>
      </c>
      <c r="AL155" s="20" t="e">
        <f t="shared" si="165"/>
        <v>#NUM!</v>
      </c>
      <c r="AM155" s="59" t="e">
        <f t="shared" si="113"/>
        <v>#NUM!</v>
      </c>
      <c r="AN155" s="59">
        <f ca="1">AVERAGE(OFFSET($AM$3,0,0,'Données projet'!$E$10+1,1))-AVERAGE(OFFSET($H$3,0,0,'Données projet'!$E$10+1,1))</f>
        <v>318.40875902853116</v>
      </c>
      <c r="AO155" s="59">
        <f t="shared" si="144"/>
        <v>234.87694492493506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0.2150065193219948</v>
      </c>
      <c r="AV155" s="21">
        <f>EXP(-LN(2)/25)*AV154+(1-EXP(-LN(2)/25))/(LN(2)/25)*Calculateur!AQ155*Calculateur!AS155*VLOOKUP('Données projet'!$B$10,Paramètres!$A$1:$I$89,3,0)*0.475*44/12</f>
        <v>0.38316975323076419</v>
      </c>
      <c r="AW155" s="21">
        <f>EXP(-LN(2)/2)*AW154+(1-EXP(-LN(2)/2))/(LN(2)/2)*AQ155*AT155*VLOOKUP('Données projet'!$B$10,Paramètres!$A$1:$I$89,3,0)*0.475*44/12</f>
        <v>9.3472698219192717E-18</v>
      </c>
      <c r="AX155" s="21">
        <f t="shared" si="166"/>
        <v>0.59817627255275896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-1.2505552149377763E-12</v>
      </c>
      <c r="BE155" s="13">
        <f>BD155*VLOOKUP('Données projet'!$B$11,Paramètres!$A$1:$I$89,3,0)*VLOOKUP('Données projet'!$B$11,Paramètres!$A$1:$I$89,5,0)</f>
        <v>-6.9906036515021697E-13</v>
      </c>
      <c r="BF155" s="13" t="e">
        <f t="shared" si="167"/>
        <v>#NUM!</v>
      </c>
      <c r="BG155" s="20" t="e">
        <f t="shared" si="168"/>
        <v>#NUM!</v>
      </c>
      <c r="BH155" s="59" t="e">
        <f t="shared" si="116"/>
        <v>#NUM!</v>
      </c>
      <c r="BI155" s="59">
        <f ca="1">AVERAGE(OFFSET($BH$3,0,0,'Données projet'!$E$11+1,1))-AVERAGE(OFFSET($H$3,0,0,'Données projet'!$E$11+1,1))</f>
        <v>415.91544298418842</v>
      </c>
      <c r="BJ155" s="59">
        <f t="shared" si="146"/>
        <v>422.79312683312583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1.0194274623025648</v>
      </c>
      <c r="BQ155" s="21">
        <f>EXP(-LN(2)/25)*BQ154+(1-EXP(-LN(2)/25))/(LN(2)/25)*Calculateur!BL155*Calculateur!BN155*VLOOKUP('Données projet'!$B$11,Paramètres!$A$1:$I$89,3,0)*0.475*44/12</f>
        <v>1.3162875691292855</v>
      </c>
      <c r="BR155" s="21">
        <f>EXP(-LN(2)/2)*BR154+(1-EXP(-LN(2)/2))/(LN(2)/2)*BL155*BO155*VLOOKUP('Données projet'!$B$11,Paramètres!$A$1:$I$89,3,0)*0.475*44/12</f>
        <v>1.5817161536713302E-17</v>
      </c>
      <c r="BS155" s="22">
        <f t="shared" si="169"/>
        <v>2.3357150314318504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25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136.04760000000013</v>
      </c>
      <c r="D156" s="11">
        <f t="shared" si="140"/>
        <v>35.390062589787611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1323.3784480615195</v>
      </c>
      <c r="H156" s="67">
        <f t="shared" si="110"/>
        <v>591.92059567721367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-2.2737367544323206E-13</v>
      </c>
      <c r="O156" s="13">
        <f>N156*VLOOKUP('Données projet'!$B$9,Paramètres!$A$1:$I$89,3,0)*VLOOKUP('Données projet'!$B$9,Paramètres!$A$1:$I$89,5,0)</f>
        <v>-1.6671037883497774E-13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284.62668108124626</v>
      </c>
      <c r="T156" s="59">
        <f t="shared" si="142"/>
        <v>333.70864452711021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0.25621933223530741</v>
      </c>
      <c r="AA156" s="21">
        <f>EXP(-LN(2)/25)*AA155+(1-EXP(-LN(2)/25))/(LN(2)/25)*Calculateur!V156*Calculateur!X156*VLOOKUP('Données projet'!$B$9,Paramètres!$A$1:$I$89,3,0)*0.475*44/12</f>
        <v>0.6274862963005452</v>
      </c>
      <c r="AB156" s="21">
        <f>EXP(-LN(2)/2)*AB155+(1-EXP(-LN(2)/2))/(LN(2)/2)*V156*Y156*VLOOKUP('Données projet'!$B$9,Paramètres!$A$1:$I$89,3,0)*0.475*44/12</f>
        <v>8.1586489745705709E-18</v>
      </c>
      <c r="AC156" s="22">
        <f t="shared" si="163"/>
        <v>0.88370562853585266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-3.4106051316484809E-13</v>
      </c>
      <c r="AJ156" s="13">
        <f>AI156*VLOOKUP('Données projet'!$B$10,Paramètres!$A$1:$I$89,3,0)*VLOOKUP('Données projet'!$B$10,Paramètres!$A$1:$I$89,5,0)</f>
        <v>-3.0859155231155454E-13</v>
      </c>
      <c r="AK156" s="13" t="e">
        <f t="shared" si="164"/>
        <v>#NUM!</v>
      </c>
      <c r="AL156" s="20" t="e">
        <f t="shared" si="165"/>
        <v>#NUM!</v>
      </c>
      <c r="AM156" s="59" t="e">
        <f t="shared" si="113"/>
        <v>#NUM!</v>
      </c>
      <c r="AN156" s="59">
        <f ca="1">AVERAGE(OFFSET($AM$3,0,0,'Données projet'!$E$10+1,1))-AVERAGE(OFFSET($H$3,0,0,'Données projet'!$E$10+1,1))</f>
        <v>318.40875902853116</v>
      </c>
      <c r="AO156" s="59">
        <f t="shared" si="144"/>
        <v>234.87694492493506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0.21079037261911818</v>
      </c>
      <c r="AV156" s="21">
        <f>EXP(-LN(2)/25)*AV155+(1-EXP(-LN(2)/25))/(LN(2)/25)*Calculateur!AQ156*Calculateur!AS156*VLOOKUP('Données projet'!$B$10,Paramètres!$A$1:$I$89,3,0)*0.475*44/12</f>
        <v>0.37269195617864737</v>
      </c>
      <c r="AW156" s="21">
        <f>EXP(-LN(2)/2)*AW155+(1-EXP(-LN(2)/2))/(LN(2)/2)*AQ156*AT156*VLOOKUP('Données projet'!$B$10,Paramètres!$A$1:$I$89,3,0)*0.475*44/12</f>
        <v>6.6095178766594896E-18</v>
      </c>
      <c r="AX156" s="21">
        <f t="shared" si="166"/>
        <v>0.58348232879776551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-1.2505552149377763E-12</v>
      </c>
      <c r="BE156" s="13">
        <f>BD156*VLOOKUP('Données projet'!$B$11,Paramètres!$A$1:$I$89,3,0)*VLOOKUP('Données projet'!$B$11,Paramètres!$A$1:$I$89,5,0)</f>
        <v>-6.9906036515021697E-13</v>
      </c>
      <c r="BF156" s="13" t="e">
        <f t="shared" si="167"/>
        <v>#NUM!</v>
      </c>
      <c r="BG156" s="20" t="e">
        <f t="shared" si="168"/>
        <v>#NUM!</v>
      </c>
      <c r="BH156" s="59" t="e">
        <f t="shared" si="116"/>
        <v>#NUM!</v>
      </c>
      <c r="BI156" s="59">
        <f ca="1">AVERAGE(OFFSET($BH$3,0,0,'Données projet'!$E$11+1,1))-AVERAGE(OFFSET($H$3,0,0,'Données projet'!$E$11+1,1))</f>
        <v>415.91544298418842</v>
      </c>
      <c r="BJ156" s="59">
        <f t="shared" si="146"/>
        <v>422.79312683312583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0.99943711155616688</v>
      </c>
      <c r="BQ156" s="21">
        <f>EXP(-LN(2)/25)*BQ155+(1-EXP(-LN(2)/25))/(LN(2)/25)*Calculateur!BL156*Calculateur!BN156*VLOOKUP('Données projet'!$B$11,Paramètres!$A$1:$I$89,3,0)*0.475*44/12</f>
        <v>1.2802936163308902</v>
      </c>
      <c r="BR156" s="21">
        <f>EXP(-LN(2)/2)*BR155+(1-EXP(-LN(2)/2))/(LN(2)/2)*BL156*BO156*VLOOKUP('Données projet'!$B$11,Paramètres!$A$1:$I$89,3,0)*0.475*44/12</f>
        <v>1.1184422181733009E-17</v>
      </c>
      <c r="BS156" s="22">
        <f t="shared" si="169"/>
        <v>2.2797307278870571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25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136.93680000000012</v>
      </c>
      <c r="D157" s="11">
        <f t="shared" si="140"/>
        <v>35.594368426539035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1331.8195457487234</v>
      </c>
      <c r="H157" s="67">
        <f t="shared" si="110"/>
        <v>593.82511834288903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-2.2737367544323206E-13</v>
      </c>
      <c r="O157" s="13">
        <f>N157*VLOOKUP('Données projet'!$B$9,Paramètres!$A$1:$I$89,3,0)*VLOOKUP('Données projet'!$B$9,Paramètres!$A$1:$I$89,5,0)</f>
        <v>-1.6671037883497774E-13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284.62668108124626</v>
      </c>
      <c r="T157" s="59">
        <f t="shared" si="142"/>
        <v>333.70864452711021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0.2511950274085345</v>
      </c>
      <c r="AA157" s="21">
        <f>EXP(-LN(2)/25)*AA156+(1-EXP(-LN(2)/25))/(LN(2)/25)*Calculateur!V157*Calculateur!X157*VLOOKUP('Données projet'!$B$9,Paramètres!$A$1:$I$89,3,0)*0.475*44/12</f>
        <v>0.6103276505301366</v>
      </c>
      <c r="AB157" s="21">
        <f>EXP(-LN(2)/2)*AB156+(1-EXP(-LN(2)/2))/(LN(2)/2)*V157*Y157*VLOOKUP('Données projet'!$B$9,Paramètres!$A$1:$I$89,3,0)*0.475*44/12</f>
        <v>5.7690360152395231E-18</v>
      </c>
      <c r="AC157" s="22">
        <f t="shared" si="163"/>
        <v>0.8615226779386711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-3.4106051316484809E-13</v>
      </c>
      <c r="AJ157" s="13">
        <f>AI157*VLOOKUP('Données projet'!$B$10,Paramètres!$A$1:$I$89,3,0)*VLOOKUP('Données projet'!$B$10,Paramètres!$A$1:$I$89,5,0)</f>
        <v>-3.0859155231155454E-13</v>
      </c>
      <c r="AK157" s="13" t="e">
        <f t="shared" si="164"/>
        <v>#NUM!</v>
      </c>
      <c r="AL157" s="20" t="e">
        <f t="shared" si="165"/>
        <v>#NUM!</v>
      </c>
      <c r="AM157" s="59" t="e">
        <f t="shared" si="113"/>
        <v>#NUM!</v>
      </c>
      <c r="AN157" s="59">
        <f ca="1">AVERAGE(OFFSET($AM$3,0,0,'Données projet'!$E$10+1,1))-AVERAGE(OFFSET($H$3,0,0,'Données projet'!$E$10+1,1))</f>
        <v>318.40875902853116</v>
      </c>
      <c r="AO157" s="59">
        <f t="shared" si="144"/>
        <v>234.87694492493506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0.20665690198148939</v>
      </c>
      <c r="AV157" s="21">
        <f>EXP(-LN(2)/25)*AV156+(1-EXP(-LN(2)/25))/(LN(2)/25)*Calculateur!AQ157*Calculateur!AS157*VLOOKUP('Données projet'!$B$10,Paramètres!$A$1:$I$89,3,0)*0.475*44/12</f>
        <v>0.3625006750379241</v>
      </c>
      <c r="AW157" s="21">
        <f>EXP(-LN(2)/2)*AW156+(1-EXP(-LN(2)/2))/(LN(2)/2)*AQ157*AT157*VLOOKUP('Données projet'!$B$10,Paramètres!$A$1:$I$89,3,0)*0.475*44/12</f>
        <v>4.6736349109596358E-18</v>
      </c>
      <c r="AX157" s="21">
        <f t="shared" si="166"/>
        <v>0.5691575770194135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-1.2505552149377763E-12</v>
      </c>
      <c r="BE157" s="13">
        <f>BD157*VLOOKUP('Données projet'!$B$11,Paramètres!$A$1:$I$89,3,0)*VLOOKUP('Données projet'!$B$11,Paramètres!$A$1:$I$89,5,0)</f>
        <v>-6.9906036515021697E-13</v>
      </c>
      <c r="BF157" s="13" t="e">
        <f t="shared" si="167"/>
        <v>#NUM!</v>
      </c>
      <c r="BG157" s="20" t="e">
        <f t="shared" si="168"/>
        <v>#NUM!</v>
      </c>
      <c r="BH157" s="59" t="e">
        <f t="shared" si="116"/>
        <v>#NUM!</v>
      </c>
      <c r="BI157" s="59">
        <f ca="1">AVERAGE(OFFSET($BH$3,0,0,'Données projet'!$E$11+1,1))-AVERAGE(OFFSET($H$3,0,0,'Données projet'!$E$11+1,1))</f>
        <v>415.91544298418842</v>
      </c>
      <c r="BJ157" s="59">
        <f t="shared" si="146"/>
        <v>422.79312683312583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0.97983875939499587</v>
      </c>
      <c r="BQ157" s="21">
        <f>EXP(-LN(2)/25)*BQ156+(1-EXP(-LN(2)/25))/(LN(2)/25)*Calculateur!BL157*Calculateur!BN157*VLOOKUP('Données projet'!$B$11,Paramètres!$A$1:$I$89,3,0)*0.475*44/12</f>
        <v>1.2452839200646069</v>
      </c>
      <c r="BR157" s="21">
        <f>EXP(-LN(2)/2)*BR156+(1-EXP(-LN(2)/2))/(LN(2)/2)*BL157*BO157*VLOOKUP('Données projet'!$B$11,Paramètres!$A$1:$I$89,3,0)*0.475*44/12</f>
        <v>7.9085807683566509E-18</v>
      </c>
      <c r="BS157" s="22">
        <f t="shared" si="169"/>
        <v>2.2251226794596026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25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137.82600000000011</v>
      </c>
      <c r="D158" s="11">
        <f t="shared" si="140"/>
        <v>35.798519897115533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1340.2594518373839</v>
      </c>
      <c r="H158" s="67">
        <f t="shared" si="110"/>
        <v>595.72937215414299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-2.2737367544323206E-13</v>
      </c>
      <c r="O158" s="13">
        <f>N158*VLOOKUP('Données projet'!$B$9,Paramètres!$A$1:$I$89,3,0)*VLOOKUP('Données projet'!$B$9,Paramètres!$A$1:$I$89,5,0)</f>
        <v>-1.6671037883497774E-13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284.62668108124626</v>
      </c>
      <c r="T158" s="59">
        <f t="shared" si="142"/>
        <v>333.70864452711021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0.24626924613489123</v>
      </c>
      <c r="AA158" s="21">
        <f>EXP(-LN(2)/25)*AA157+(1-EXP(-LN(2)/25))/(LN(2)/25)*Calculateur!V158*Calculateur!X158*VLOOKUP('Données projet'!$B$9,Paramètres!$A$1:$I$89,3,0)*0.475*44/12</f>
        <v>0.59363820883065377</v>
      </c>
      <c r="AB158" s="21">
        <f>EXP(-LN(2)/2)*AB157+(1-EXP(-LN(2)/2))/(LN(2)/2)*V158*Y158*VLOOKUP('Données projet'!$B$9,Paramètres!$A$1:$I$89,3,0)*0.475*44/12</f>
        <v>4.0793244872852854E-18</v>
      </c>
      <c r="AC158" s="22">
        <f t="shared" si="163"/>
        <v>0.83990745496554498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-3.4106051316484809E-13</v>
      </c>
      <c r="AJ158" s="13">
        <f>AI158*VLOOKUP('Données projet'!$B$10,Paramètres!$A$1:$I$89,3,0)*VLOOKUP('Données projet'!$B$10,Paramètres!$A$1:$I$89,5,0)</f>
        <v>-3.0859155231155454E-13</v>
      </c>
      <c r="AK158" s="13" t="e">
        <f t="shared" si="164"/>
        <v>#NUM!</v>
      </c>
      <c r="AL158" s="20" t="e">
        <f t="shared" si="165"/>
        <v>#NUM!</v>
      </c>
      <c r="AM158" s="59" t="e">
        <f t="shared" si="113"/>
        <v>#NUM!</v>
      </c>
      <c r="AN158" s="59">
        <f ca="1">AVERAGE(OFFSET($AM$3,0,0,'Données projet'!$E$10+1,1))-AVERAGE(OFFSET($H$3,0,0,'Données projet'!$E$10+1,1))</f>
        <v>318.40875902853116</v>
      </c>
      <c r="AO158" s="59">
        <f t="shared" si="144"/>
        <v>234.87694492493506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0.20260448618189636</v>
      </c>
      <c r="AV158" s="21">
        <f>EXP(-LN(2)/25)*AV157+(1-EXP(-LN(2)/25))/(LN(2)/25)*Calculateur!AQ158*Calculateur!AS158*VLOOKUP('Données projet'!$B$10,Paramètres!$A$1:$I$89,3,0)*0.475*44/12</f>
        <v>0.35258807501593009</v>
      </c>
      <c r="AW158" s="21">
        <f>EXP(-LN(2)/2)*AW157+(1-EXP(-LN(2)/2))/(LN(2)/2)*AQ158*AT158*VLOOKUP('Données projet'!$B$10,Paramètres!$A$1:$I$89,3,0)*0.475*44/12</f>
        <v>3.3047589383297448E-18</v>
      </c>
      <c r="AX158" s="21">
        <f t="shared" si="166"/>
        <v>0.55519256119782645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-1.2505552149377763E-12</v>
      </c>
      <c r="BE158" s="13">
        <f>BD158*VLOOKUP('Données projet'!$B$11,Paramètres!$A$1:$I$89,3,0)*VLOOKUP('Données projet'!$B$11,Paramètres!$A$1:$I$89,5,0)</f>
        <v>-6.9906036515021697E-13</v>
      </c>
      <c r="BF158" s="13" t="e">
        <f t="shared" si="167"/>
        <v>#NUM!</v>
      </c>
      <c r="BG158" s="20" t="e">
        <f t="shared" si="168"/>
        <v>#NUM!</v>
      </c>
      <c r="BH158" s="59" t="e">
        <f t="shared" si="116"/>
        <v>#NUM!</v>
      </c>
      <c r="BI158" s="59">
        <f ca="1">AVERAGE(OFFSET($BH$3,0,0,'Données projet'!$E$11+1,1))-AVERAGE(OFFSET($H$3,0,0,'Données projet'!$E$11+1,1))</f>
        <v>415.91544298418842</v>
      </c>
      <c r="BJ158" s="59">
        <f t="shared" si="146"/>
        <v>422.79312683312583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0.96062471896589097</v>
      </c>
      <c r="BQ158" s="21">
        <f>EXP(-LN(2)/25)*BQ157+(1-EXP(-LN(2)/25))/(LN(2)/25)*Calculateur!BL158*Calculateur!BN158*VLOOKUP('Données projet'!$B$11,Paramètres!$A$1:$I$89,3,0)*0.475*44/12</f>
        <v>1.2112315657838049</v>
      </c>
      <c r="BR158" s="21">
        <f>EXP(-LN(2)/2)*BR157+(1-EXP(-LN(2)/2))/(LN(2)/2)*BL158*BO158*VLOOKUP('Données projet'!$B$11,Paramètres!$A$1:$I$89,3,0)*0.475*44/12</f>
        <v>5.5922110908665043E-18</v>
      </c>
      <c r="BS158" s="22">
        <f t="shared" si="169"/>
        <v>2.1718562847496958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25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138.7152000000001</v>
      </c>
      <c r="D159" s="11">
        <f t="shared" si="140"/>
        <v>36.002518112950014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1348.6981749069832</v>
      </c>
      <c r="H159" s="67">
        <f t="shared" si="110"/>
        <v>597.63335904672135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-2.2737367544323206E-13</v>
      </c>
      <c r="O159" s="13">
        <f>N159*VLOOKUP('Données projet'!$B$9,Paramètres!$A$1:$I$89,3,0)*VLOOKUP('Données projet'!$B$9,Paramètres!$A$1:$I$89,5,0)</f>
        <v>-1.6671037883497774E-13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284.62668108124626</v>
      </c>
      <c r="T159" s="59">
        <f t="shared" si="142"/>
        <v>333.70864452711021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0.24144005642759422</v>
      </c>
      <c r="AA159" s="21">
        <f>EXP(-LN(2)/25)*AA158+(1-EXP(-LN(2)/25))/(LN(2)/25)*Calculateur!V159*Calculateur!X159*VLOOKUP('Données projet'!$B$9,Paramètres!$A$1:$I$89,3,0)*0.475*44/12</f>
        <v>0.57740514079210292</v>
      </c>
      <c r="AB159" s="21">
        <f>EXP(-LN(2)/2)*AB158+(1-EXP(-LN(2)/2))/(LN(2)/2)*V159*Y159*VLOOKUP('Données projet'!$B$9,Paramètres!$A$1:$I$89,3,0)*0.475*44/12</f>
        <v>2.8845180076197616E-18</v>
      </c>
      <c r="AC159" s="22">
        <f t="shared" si="163"/>
        <v>0.81884519721969717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-3.4106051316484809E-13</v>
      </c>
      <c r="AJ159" s="13">
        <f>AI159*VLOOKUP('Données projet'!$B$10,Paramètres!$A$1:$I$89,3,0)*VLOOKUP('Données projet'!$B$10,Paramètres!$A$1:$I$89,5,0)</f>
        <v>-3.0859155231155454E-13</v>
      </c>
      <c r="AK159" s="13" t="e">
        <f t="shared" si="164"/>
        <v>#NUM!</v>
      </c>
      <c r="AL159" s="20" t="e">
        <f t="shared" si="165"/>
        <v>#NUM!</v>
      </c>
      <c r="AM159" s="59" t="e">
        <f t="shared" si="113"/>
        <v>#NUM!</v>
      </c>
      <c r="AN159" s="59">
        <f ca="1">AVERAGE(OFFSET($AM$3,0,0,'Données projet'!$E$10+1,1))-AVERAGE(OFFSET($H$3,0,0,'Données projet'!$E$10+1,1))</f>
        <v>318.40875902853116</v>
      </c>
      <c r="AO159" s="59">
        <f t="shared" si="144"/>
        <v>234.87694492493506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0.19863153578440376</v>
      </c>
      <c r="AV159" s="21">
        <f>EXP(-LN(2)/25)*AV158+(1-EXP(-LN(2)/25))/(LN(2)/25)*Calculateur!AQ159*Calculateur!AS159*VLOOKUP('Données projet'!$B$10,Paramètres!$A$1:$I$89,3,0)*0.475*44/12</f>
        <v>0.34294653556281846</v>
      </c>
      <c r="AW159" s="21">
        <f>EXP(-LN(2)/2)*AW158+(1-EXP(-LN(2)/2))/(LN(2)/2)*AQ159*AT159*VLOOKUP('Données projet'!$B$10,Paramètres!$A$1:$I$89,3,0)*0.475*44/12</f>
        <v>2.3368174554798179E-18</v>
      </c>
      <c r="AX159" s="21">
        <f t="shared" si="166"/>
        <v>0.54157807134722225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-1.2505552149377763E-12</v>
      </c>
      <c r="BE159" s="13">
        <f>BD159*VLOOKUP('Données projet'!$B$11,Paramètres!$A$1:$I$89,3,0)*VLOOKUP('Données projet'!$B$11,Paramètres!$A$1:$I$89,5,0)</f>
        <v>-6.9906036515021697E-13</v>
      </c>
      <c r="BF159" s="13" t="e">
        <f t="shared" si="167"/>
        <v>#NUM!</v>
      </c>
      <c r="BG159" s="20" t="e">
        <f t="shared" si="168"/>
        <v>#NUM!</v>
      </c>
      <c r="BH159" s="59" t="e">
        <f t="shared" si="116"/>
        <v>#NUM!</v>
      </c>
      <c r="BI159" s="59">
        <f ca="1">AVERAGE(OFFSET($BH$3,0,0,'Données projet'!$E$11+1,1))-AVERAGE(OFFSET($H$3,0,0,'Données projet'!$E$11+1,1))</f>
        <v>415.91544298418842</v>
      </c>
      <c r="BJ159" s="59">
        <f t="shared" si="146"/>
        <v>422.79312683312583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0.94178745415019327</v>
      </c>
      <c r="BQ159" s="21">
        <f>EXP(-LN(2)/25)*BQ158+(1-EXP(-LN(2)/25))/(LN(2)/25)*Calculateur!BL159*Calculateur!BN159*VLOOKUP('Données projet'!$B$11,Paramètres!$A$1:$I$89,3,0)*0.475*44/12</f>
        <v>1.1781103749215469</v>
      </c>
      <c r="BR159" s="21">
        <f>EXP(-LN(2)/2)*BR158+(1-EXP(-LN(2)/2))/(LN(2)/2)*BL159*BO159*VLOOKUP('Données projet'!$B$11,Paramètres!$A$1:$I$89,3,0)*0.475*44/12</f>
        <v>3.9542903841783255E-18</v>
      </c>
      <c r="BS159" s="22">
        <f t="shared" si="169"/>
        <v>2.1198978290717401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25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139.60440000000008</v>
      </c>
      <c r="D160" s="11">
        <f t="shared" si="140"/>
        <v>36.206364170402217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1357.1357234206496</v>
      </c>
      <c r="H160" s="67">
        <f t="shared" si="110"/>
        <v>599.53708093011733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-2.2737367544323206E-13</v>
      </c>
      <c r="O160" s="13">
        <f>N160*VLOOKUP('Données projet'!$B$9,Paramètres!$A$1:$I$89,3,0)*VLOOKUP('Données projet'!$B$9,Paramètres!$A$1:$I$89,5,0)</f>
        <v>-1.6671037883497774E-13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284.62668108124626</v>
      </c>
      <c r="T160" s="59">
        <f t="shared" si="142"/>
        <v>333.70864452711021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0.23670556418494243</v>
      </c>
      <c r="AA160" s="21">
        <f>EXP(-LN(2)/25)*AA159+(1-EXP(-LN(2)/25))/(LN(2)/25)*Calculateur!V160*Calculateur!X160*VLOOKUP('Données projet'!$B$9,Paramètres!$A$1:$I$89,3,0)*0.475*44/12</f>
        <v>0.56161596685272619</v>
      </c>
      <c r="AB160" s="21">
        <f>EXP(-LN(2)/2)*AB159+(1-EXP(-LN(2)/2))/(LN(2)/2)*V160*Y160*VLOOKUP('Données projet'!$B$9,Paramètres!$A$1:$I$89,3,0)*0.475*44/12</f>
        <v>2.0396622436426427E-18</v>
      </c>
      <c r="AC160" s="22">
        <f t="shared" si="163"/>
        <v>0.79832153103766856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-3.4106051316484809E-13</v>
      </c>
      <c r="AJ160" s="13">
        <f>AI160*VLOOKUP('Données projet'!$B$10,Paramètres!$A$1:$I$89,3,0)*VLOOKUP('Données projet'!$B$10,Paramètres!$A$1:$I$89,5,0)</f>
        <v>-3.0859155231155454E-13</v>
      </c>
      <c r="AK160" s="13" t="e">
        <f t="shared" si="164"/>
        <v>#NUM!</v>
      </c>
      <c r="AL160" s="20" t="e">
        <f t="shared" si="165"/>
        <v>#NUM!</v>
      </c>
      <c r="AM160" s="59" t="e">
        <f t="shared" si="113"/>
        <v>#NUM!</v>
      </c>
      <c r="AN160" s="59">
        <f ca="1">AVERAGE(OFFSET($AM$3,0,0,'Données projet'!$E$10+1,1))-AVERAGE(OFFSET($H$3,0,0,'Données projet'!$E$10+1,1))</f>
        <v>318.40875902853116</v>
      </c>
      <c r="AO160" s="59">
        <f t="shared" si="144"/>
        <v>234.87694492493506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0.19473649252094555</v>
      </c>
      <c r="AV160" s="21">
        <f>EXP(-LN(2)/25)*AV159+(1-EXP(-LN(2)/25))/(LN(2)/25)*Calculateur!AQ160*Calculateur!AS160*VLOOKUP('Données projet'!$B$10,Paramètres!$A$1:$I$89,3,0)*0.475*44/12</f>
        <v>0.33356864451307872</v>
      </c>
      <c r="AW160" s="21">
        <f>EXP(-LN(2)/2)*AW159+(1-EXP(-LN(2)/2))/(LN(2)/2)*AQ160*AT160*VLOOKUP('Données projet'!$B$10,Paramètres!$A$1:$I$89,3,0)*0.475*44/12</f>
        <v>1.6523794691648724E-18</v>
      </c>
      <c r="AX160" s="21">
        <f t="shared" si="166"/>
        <v>0.52830513703402426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-1.2505552149377763E-12</v>
      </c>
      <c r="BE160" s="13">
        <f>BD160*VLOOKUP('Données projet'!$B$11,Paramètres!$A$1:$I$89,3,0)*VLOOKUP('Données projet'!$B$11,Paramètres!$A$1:$I$89,5,0)</f>
        <v>-6.9906036515021697E-13</v>
      </c>
      <c r="BF160" s="13" t="e">
        <f t="shared" si="167"/>
        <v>#NUM!</v>
      </c>
      <c r="BG160" s="20" t="e">
        <f t="shared" si="168"/>
        <v>#NUM!</v>
      </c>
      <c r="BH160" s="59" t="e">
        <f t="shared" si="116"/>
        <v>#NUM!</v>
      </c>
      <c r="BI160" s="59">
        <f ca="1">AVERAGE(OFFSET($BH$3,0,0,'Données projet'!$E$11+1,1))-AVERAGE(OFFSET($H$3,0,0,'Données projet'!$E$11+1,1))</f>
        <v>415.91544298418842</v>
      </c>
      <c r="BJ160" s="59">
        <f t="shared" si="146"/>
        <v>422.79312683312583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0.9233195766079344</v>
      </c>
      <c r="BQ160" s="21">
        <f>EXP(-LN(2)/25)*BQ159+(1-EXP(-LN(2)/25))/(LN(2)/25)*Calculateur!BL160*Calculateur!BN160*VLOOKUP('Données projet'!$B$11,Paramètres!$A$1:$I$89,3,0)*0.475*44/12</f>
        <v>1.1458948847651853</v>
      </c>
      <c r="BR160" s="21">
        <f>EXP(-LN(2)/2)*BR159+(1-EXP(-LN(2)/2))/(LN(2)/2)*BL160*BO160*VLOOKUP('Données projet'!$B$11,Paramètres!$A$1:$I$89,3,0)*0.475*44/12</f>
        <v>2.7961055454332522E-18</v>
      </c>
      <c r="BS160" s="22">
        <f t="shared" si="169"/>
        <v>2.0692144613731198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25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140.49360000000007</v>
      </c>
      <c r="D161" s="11">
        <f t="shared" si="140"/>
        <v>36.410059151057943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1365.5721057274657</v>
      </c>
      <c r="H161" s="67">
        <f t="shared" si="110"/>
        <v>601.44053968809271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-2.2737367544323206E-13</v>
      </c>
      <c r="O161" s="13">
        <f>N161*VLOOKUP('Données projet'!$B$9,Paramètres!$A$1:$I$89,3,0)*VLOOKUP('Données projet'!$B$9,Paramètres!$A$1:$I$89,5,0)</f>
        <v>-1.6671037883497774E-13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284.62668108124626</v>
      </c>
      <c r="T161" s="59">
        <f t="shared" si="142"/>
        <v>333.70864452711021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0.23206391244741389</v>
      </c>
      <c r="AA161" s="21">
        <f>EXP(-LN(2)/25)*AA160+(1-EXP(-LN(2)/25))/(LN(2)/25)*Calculateur!V161*Calculateur!X161*VLOOKUP('Données projet'!$B$9,Paramètres!$A$1:$I$89,3,0)*0.475*44/12</f>
        <v>0.54625854870503832</v>
      </c>
      <c r="AB161" s="21">
        <f>EXP(-LN(2)/2)*AB160+(1-EXP(-LN(2)/2))/(LN(2)/2)*V161*Y161*VLOOKUP('Données projet'!$B$9,Paramètres!$A$1:$I$89,3,0)*0.475*44/12</f>
        <v>1.4422590038098808E-18</v>
      </c>
      <c r="AC161" s="22">
        <f t="shared" si="163"/>
        <v>0.77832246115245218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-3.4106051316484809E-13</v>
      </c>
      <c r="AJ161" s="13">
        <f>AI161*VLOOKUP('Données projet'!$B$10,Paramètres!$A$1:$I$89,3,0)*VLOOKUP('Données projet'!$B$10,Paramètres!$A$1:$I$89,5,0)</f>
        <v>-3.0859155231155454E-13</v>
      </c>
      <c r="AK161" s="13" t="e">
        <f t="shared" si="164"/>
        <v>#NUM!</v>
      </c>
      <c r="AL161" s="20" t="e">
        <f t="shared" si="165"/>
        <v>#NUM!</v>
      </c>
      <c r="AM161" s="59" t="e">
        <f t="shared" si="113"/>
        <v>#NUM!</v>
      </c>
      <c r="AN161" s="59">
        <f ca="1">AVERAGE(OFFSET($AM$3,0,0,'Données projet'!$E$10+1,1))-AVERAGE(OFFSET($H$3,0,0,'Données projet'!$E$10+1,1))</f>
        <v>318.40875902853116</v>
      </c>
      <c r="AO161" s="59">
        <f t="shared" si="144"/>
        <v>234.87694492493506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0.19091782868014193</v>
      </c>
      <c r="AV161" s="21">
        <f>EXP(-LN(2)/25)*AV160+(1-EXP(-LN(2)/25))/(LN(2)/25)*Calculateur!AQ161*Calculateur!AS161*VLOOKUP('Données projet'!$B$10,Paramètres!$A$1:$I$89,3,0)*0.475*44/12</f>
        <v>0.32444719238725594</v>
      </c>
      <c r="AW161" s="21">
        <f>EXP(-LN(2)/2)*AW160+(1-EXP(-LN(2)/2))/(LN(2)/2)*AQ161*AT161*VLOOKUP('Données projet'!$B$10,Paramètres!$A$1:$I$89,3,0)*0.475*44/12</f>
        <v>1.168408727739909E-18</v>
      </c>
      <c r="AX161" s="21">
        <f t="shared" si="166"/>
        <v>0.5153650210673979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-1.2505552149377763E-12</v>
      </c>
      <c r="BE161" s="13">
        <f>BD161*VLOOKUP('Données projet'!$B$11,Paramètres!$A$1:$I$89,3,0)*VLOOKUP('Données projet'!$B$11,Paramètres!$A$1:$I$89,5,0)</f>
        <v>-6.9906036515021697E-13</v>
      </c>
      <c r="BF161" s="13" t="e">
        <f t="shared" si="167"/>
        <v>#NUM!</v>
      </c>
      <c r="BG161" s="20" t="e">
        <f t="shared" si="168"/>
        <v>#NUM!</v>
      </c>
      <c r="BH161" s="59" t="e">
        <f t="shared" si="116"/>
        <v>#NUM!</v>
      </c>
      <c r="BI161" s="59">
        <f ca="1">AVERAGE(OFFSET($BH$3,0,0,'Données projet'!$E$11+1,1))-AVERAGE(OFFSET($H$3,0,0,'Données projet'!$E$11+1,1))</f>
        <v>415.91544298418842</v>
      </c>
      <c r="BJ161" s="59">
        <f t="shared" si="146"/>
        <v>422.79312683312583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0.90521384287998619</v>
      </c>
      <c r="BQ161" s="21">
        <f>EXP(-LN(2)/25)*BQ160+(1-EXP(-LN(2)/25))/(LN(2)/25)*Calculateur!BL161*Calculateur!BN161*VLOOKUP('Données projet'!$B$11,Paramètres!$A$1:$I$89,3,0)*0.475*44/12</f>
        <v>1.1145603288812882</v>
      </c>
      <c r="BR161" s="21">
        <f>EXP(-LN(2)/2)*BR160+(1-EXP(-LN(2)/2))/(LN(2)/2)*BL161*BO161*VLOOKUP('Données projet'!$B$11,Paramètres!$A$1:$I$89,3,0)*0.475*44/12</f>
        <v>1.9771451920891627E-18</v>
      </c>
      <c r="BS161" s="22">
        <f t="shared" si="169"/>
        <v>2.0197741717612745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25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141.38280000000006</v>
      </c>
      <c r="D162" s="11">
        <f t="shared" si="140"/>
        <v>36.613604122020263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1374.0073300647182</v>
      </c>
      <c r="H162" s="67">
        <f t="shared" si="110"/>
        <v>603.34373717918538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-2.2737367544323206E-13</v>
      </c>
      <c r="O162" s="13">
        <f>N162*VLOOKUP('Données projet'!$B$9,Paramètres!$A$1:$I$89,3,0)*VLOOKUP('Données projet'!$B$9,Paramètres!$A$1:$I$89,5,0)</f>
        <v>-1.6671037883497774E-13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284.62668108124626</v>
      </c>
      <c r="T162" s="59">
        <f t="shared" si="142"/>
        <v>333.70864452711021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0.2275132806693303</v>
      </c>
      <c r="AA162" s="21">
        <f>EXP(-LN(2)/25)*AA161+(1-EXP(-LN(2)/25))/(LN(2)/25)*Calculateur!V162*Calculateur!X162*VLOOKUP('Données projet'!$B$9,Paramètres!$A$1:$I$89,3,0)*0.475*44/12</f>
        <v>0.53132107996421041</v>
      </c>
      <c r="AB162" s="21">
        <f>EXP(-LN(2)/2)*AB161+(1-EXP(-LN(2)/2))/(LN(2)/2)*V162*Y162*VLOOKUP('Données projet'!$B$9,Paramètres!$A$1:$I$89,3,0)*0.475*44/12</f>
        <v>1.0198311218213214E-18</v>
      </c>
      <c r="AC162" s="22">
        <f t="shared" si="163"/>
        <v>0.75883436063354071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-3.4106051316484809E-13</v>
      </c>
      <c r="AJ162" s="13">
        <f>AI162*VLOOKUP('Données projet'!$B$10,Paramètres!$A$1:$I$89,3,0)*VLOOKUP('Données projet'!$B$10,Paramètres!$A$1:$I$89,5,0)</f>
        <v>-3.0859155231155454E-13</v>
      </c>
      <c r="AK162" s="13" t="e">
        <f t="shared" si="164"/>
        <v>#NUM!</v>
      </c>
      <c r="AL162" s="20" t="e">
        <f t="shared" si="165"/>
        <v>#NUM!</v>
      </c>
      <c r="AM162" s="59" t="e">
        <f t="shared" si="113"/>
        <v>#NUM!</v>
      </c>
      <c r="AN162" s="59">
        <f ca="1">AVERAGE(OFFSET($AM$3,0,0,'Données projet'!$E$10+1,1))-AVERAGE(OFFSET($H$3,0,0,'Données projet'!$E$10+1,1))</f>
        <v>318.40875902853116</v>
      </c>
      <c r="AO162" s="59">
        <f t="shared" si="144"/>
        <v>234.87694492493506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0.18717404650810152</v>
      </c>
      <c r="AV162" s="21">
        <f>EXP(-LN(2)/25)*AV161+(1-EXP(-LN(2)/25))/(LN(2)/25)*Calculateur!AQ162*Calculateur!AS162*VLOOKUP('Données projet'!$B$10,Paramètres!$A$1:$I$89,3,0)*0.475*44/12</f>
        <v>0.31557516684949011</v>
      </c>
      <c r="AW162" s="21">
        <f>EXP(-LN(2)/2)*AW161+(1-EXP(-LN(2)/2))/(LN(2)/2)*AQ162*AT162*VLOOKUP('Données projet'!$B$10,Paramètres!$A$1:$I$89,3,0)*0.475*44/12</f>
        <v>8.261897345824362E-19</v>
      </c>
      <c r="AX162" s="21">
        <f t="shared" si="166"/>
        <v>0.5027492133575916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-1.2505552149377763E-12</v>
      </c>
      <c r="BE162" s="13">
        <f>BD162*VLOOKUP('Données projet'!$B$11,Paramètres!$A$1:$I$89,3,0)*VLOOKUP('Données projet'!$B$11,Paramètres!$A$1:$I$89,5,0)</f>
        <v>-6.9906036515021697E-13</v>
      </c>
      <c r="BF162" s="13" t="e">
        <f t="shared" si="167"/>
        <v>#NUM!</v>
      </c>
      <c r="BG162" s="20" t="e">
        <f t="shared" si="168"/>
        <v>#NUM!</v>
      </c>
      <c r="BH162" s="59" t="e">
        <f t="shared" si="116"/>
        <v>#NUM!</v>
      </c>
      <c r="BI162" s="59">
        <f ca="1">AVERAGE(OFFSET($BH$3,0,0,'Données projet'!$E$11+1,1))-AVERAGE(OFFSET($H$3,0,0,'Données projet'!$E$11+1,1))</f>
        <v>415.91544298418842</v>
      </c>
      <c r="BJ162" s="59">
        <f t="shared" si="146"/>
        <v>422.79312683312583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0.88746315154703592</v>
      </c>
      <c r="BQ162" s="21">
        <f>EXP(-LN(2)/25)*BQ161+(1-EXP(-LN(2)/25))/(LN(2)/25)*Calculateur!BL162*Calculateur!BN162*VLOOKUP('Données projet'!$B$11,Paramètres!$A$1:$I$89,3,0)*0.475*44/12</f>
        <v>1.0840826180758489</v>
      </c>
      <c r="BR162" s="21">
        <f>EXP(-LN(2)/2)*BR161+(1-EXP(-LN(2)/2))/(LN(2)/2)*BL162*BO162*VLOOKUP('Données projet'!$B$11,Paramètres!$A$1:$I$89,3,0)*0.475*44/12</f>
        <v>1.3980527727166261E-18</v>
      </c>
      <c r="BS162" s="22">
        <f t="shared" si="169"/>
        <v>1.9715457696228849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25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142.27200000000005</v>
      </c>
      <c r="D163" s="11">
        <f t="shared" si="140"/>
        <v>36.817000136193258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1382.4414045600888</v>
      </c>
      <c r="H163" s="67">
        <f t="shared" si="110"/>
        <v>605.24667523720336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-2.2737367544323206E-13</v>
      </c>
      <c r="O163" s="13">
        <f>N163*VLOOKUP('Données projet'!$B$9,Paramètres!$A$1:$I$89,3,0)*VLOOKUP('Données projet'!$B$9,Paramètres!$A$1:$I$89,5,0)</f>
        <v>-1.6671037883497774E-13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284.62668108124626</v>
      </c>
      <c r="T163" s="59">
        <f t="shared" si="142"/>
        <v>333.70864452711021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0.22305188400480361</v>
      </c>
      <c r="AA163" s="21">
        <f>EXP(-LN(2)/25)*AA162+(1-EXP(-LN(2)/25))/(LN(2)/25)*Calculateur!V163*Calculateur!X163*VLOOKUP('Données projet'!$B$9,Paramètres!$A$1:$I$89,3,0)*0.475*44/12</f>
        <v>0.51679207709162778</v>
      </c>
      <c r="AB163" s="21">
        <f>EXP(-LN(2)/2)*AB162+(1-EXP(-LN(2)/2))/(LN(2)/2)*V163*Y163*VLOOKUP('Données projet'!$B$9,Paramètres!$A$1:$I$89,3,0)*0.475*44/12</f>
        <v>7.2112950190494039E-19</v>
      </c>
      <c r="AC163" s="22">
        <f t="shared" si="163"/>
        <v>0.73984396109643136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-3.4106051316484809E-13</v>
      </c>
      <c r="AJ163" s="13">
        <f>AI163*VLOOKUP('Données projet'!$B$10,Paramètres!$A$1:$I$89,3,0)*VLOOKUP('Données projet'!$B$10,Paramètres!$A$1:$I$89,5,0)</f>
        <v>-3.0859155231155454E-13</v>
      </c>
      <c r="AK163" s="13" t="e">
        <f t="shared" si="164"/>
        <v>#NUM!</v>
      </c>
      <c r="AL163" s="20" t="e">
        <f t="shared" si="165"/>
        <v>#NUM!</v>
      </c>
      <c r="AM163" s="59" t="e">
        <f t="shared" si="113"/>
        <v>#NUM!</v>
      </c>
      <c r="AN163" s="59">
        <f ca="1">AVERAGE(OFFSET($AM$3,0,0,'Données projet'!$E$10+1,1))-AVERAGE(OFFSET($H$3,0,0,'Données projet'!$E$10+1,1))</f>
        <v>318.40875902853116</v>
      </c>
      <c r="AO163" s="59">
        <f t="shared" si="144"/>
        <v>234.87694492493506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0.18350367762097317</v>
      </c>
      <c r="AV163" s="21">
        <f>EXP(-LN(2)/25)*AV162+(1-EXP(-LN(2)/25))/(LN(2)/25)*Calculateur!AQ163*Calculateur!AS163*VLOOKUP('Données projet'!$B$10,Paramètres!$A$1:$I$89,3,0)*0.475*44/12</f>
        <v>0.30694574731661406</v>
      </c>
      <c r="AW163" s="21">
        <f>EXP(-LN(2)/2)*AW162+(1-EXP(-LN(2)/2))/(LN(2)/2)*AQ163*AT163*VLOOKUP('Données projet'!$B$10,Paramètres!$A$1:$I$89,3,0)*0.475*44/12</f>
        <v>5.8420436386995448E-19</v>
      </c>
      <c r="AX163" s="21">
        <f t="shared" si="166"/>
        <v>0.49044942493758725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-1.2505552149377763E-12</v>
      </c>
      <c r="BE163" s="13">
        <f>BD163*VLOOKUP('Données projet'!$B$11,Paramètres!$A$1:$I$89,3,0)*VLOOKUP('Données projet'!$B$11,Paramètres!$A$1:$I$89,5,0)</f>
        <v>-6.9906036515021697E-13</v>
      </c>
      <c r="BF163" s="13" t="e">
        <f t="shared" si="167"/>
        <v>#NUM!</v>
      </c>
      <c r="BG163" s="20" t="e">
        <f t="shared" si="168"/>
        <v>#NUM!</v>
      </c>
      <c r="BH163" s="59" t="e">
        <f t="shared" si="116"/>
        <v>#NUM!</v>
      </c>
      <c r="BI163" s="59">
        <f ca="1">AVERAGE(OFFSET($BH$3,0,0,'Données projet'!$E$11+1,1))-AVERAGE(OFFSET($H$3,0,0,'Données projet'!$E$11+1,1))</f>
        <v>415.91544298418842</v>
      </c>
      <c r="BJ163" s="59">
        <f t="shared" si="146"/>
        <v>422.79312683312583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0.87006054044427217</v>
      </c>
      <c r="BQ163" s="21">
        <f>EXP(-LN(2)/25)*BQ162+(1-EXP(-LN(2)/25))/(LN(2)/25)*Calculateur!BL163*Calculateur!BN163*VLOOKUP('Données projet'!$B$11,Paramètres!$A$1:$I$89,3,0)*0.475*44/12</f>
        <v>1.0544383218751376</v>
      </c>
      <c r="BR163" s="21">
        <f>EXP(-LN(2)/2)*BR162+(1-EXP(-LN(2)/2))/(LN(2)/2)*BL163*BO163*VLOOKUP('Données projet'!$B$11,Paramètres!$A$1:$I$89,3,0)*0.475*44/12</f>
        <v>9.8857259604458137E-19</v>
      </c>
      <c r="BS163" s="22">
        <f t="shared" si="169"/>
        <v>1.9244988623194099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25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143.16120000000004</v>
      </c>
      <c r="D164" s="11">
        <f t="shared" si="140"/>
        <v>37.020248232558458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1390.8743372337849</v>
      </c>
      <c r="H164" s="67">
        <f t="shared" si="110"/>
        <v>607.14935567170596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-2.2737367544323206E-13</v>
      </c>
      <c r="O164" s="13">
        <f>N164*VLOOKUP('Données projet'!$B$9,Paramètres!$A$1:$I$89,3,0)*VLOOKUP('Données projet'!$B$9,Paramètres!$A$1:$I$89,5,0)</f>
        <v>-1.6671037883497774E-13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284.62668108124626</v>
      </c>
      <c r="T164" s="59">
        <f t="shared" si="142"/>
        <v>333.70864452711021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0.21867797260768501</v>
      </c>
      <c r="AA164" s="21">
        <f>EXP(-LN(2)/25)*AA163+(1-EXP(-LN(2)/25))/(LN(2)/25)*Calculateur!V164*Calculateur!X164*VLOOKUP('Données projet'!$B$9,Paramètres!$A$1:$I$89,3,0)*0.475*44/12</f>
        <v>0.50266037056664303</v>
      </c>
      <c r="AB164" s="21">
        <f>EXP(-LN(2)/2)*AB163+(1-EXP(-LN(2)/2))/(LN(2)/2)*V164*Y164*VLOOKUP('Données projet'!$B$9,Paramètres!$A$1:$I$89,3,0)*0.475*44/12</f>
        <v>5.0991556091066068E-19</v>
      </c>
      <c r="AC164" s="22">
        <f t="shared" si="163"/>
        <v>0.7213383431743281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-3.4106051316484809E-13</v>
      </c>
      <c r="AJ164" s="13">
        <f>AI164*VLOOKUP('Données projet'!$B$10,Paramètres!$A$1:$I$89,3,0)*VLOOKUP('Données projet'!$B$10,Paramètres!$A$1:$I$89,5,0)</f>
        <v>-3.0859155231155454E-13</v>
      </c>
      <c r="AK164" s="13" t="e">
        <f t="shared" si="164"/>
        <v>#NUM!</v>
      </c>
      <c r="AL164" s="20" t="e">
        <f t="shared" si="165"/>
        <v>#NUM!</v>
      </c>
      <c r="AM164" s="59" t="e">
        <f t="shared" si="113"/>
        <v>#NUM!</v>
      </c>
      <c r="AN164" s="59">
        <f ca="1">AVERAGE(OFFSET($AM$3,0,0,'Données projet'!$E$10+1,1))-AVERAGE(OFFSET($H$3,0,0,'Données projet'!$E$10+1,1))</f>
        <v>318.40875902853116</v>
      </c>
      <c r="AO164" s="59">
        <f t="shared" si="144"/>
        <v>234.87694492493506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0.17990528242901743</v>
      </c>
      <c r="AV164" s="21">
        <f>EXP(-LN(2)/25)*AV163+(1-EXP(-LN(2)/25))/(LN(2)/25)*Calculateur!AQ164*Calculateur!AS164*VLOOKUP('Données projet'!$B$10,Paramètres!$A$1:$I$89,3,0)*0.475*44/12</f>
        <v>0.2985522997146659</v>
      </c>
      <c r="AW164" s="21">
        <f>EXP(-LN(2)/2)*AW163+(1-EXP(-LN(2)/2))/(LN(2)/2)*AQ164*AT164*VLOOKUP('Données projet'!$B$10,Paramètres!$A$1:$I$89,3,0)*0.475*44/12</f>
        <v>4.130948672912181E-19</v>
      </c>
      <c r="AX164" s="21">
        <f t="shared" si="166"/>
        <v>0.47845758214368334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-1.2505552149377763E-12</v>
      </c>
      <c r="BE164" s="13">
        <f>BD164*VLOOKUP('Données projet'!$B$11,Paramètres!$A$1:$I$89,3,0)*VLOOKUP('Données projet'!$B$11,Paramètres!$A$1:$I$89,5,0)</f>
        <v>-6.9906036515021697E-13</v>
      </c>
      <c r="BF164" s="13" t="e">
        <f t="shared" si="167"/>
        <v>#NUM!</v>
      </c>
      <c r="BG164" s="20" t="e">
        <f t="shared" si="168"/>
        <v>#NUM!</v>
      </c>
      <c r="BH164" s="59" t="e">
        <f t="shared" si="116"/>
        <v>#NUM!</v>
      </c>
      <c r="BI164" s="59">
        <f ca="1">AVERAGE(OFFSET($BH$3,0,0,'Données projet'!$E$11+1,1))-AVERAGE(OFFSET($H$3,0,0,'Données projet'!$E$11+1,1))</f>
        <v>415.91544298418842</v>
      </c>
      <c r="BJ164" s="59">
        <f t="shared" si="146"/>
        <v>422.79312683312583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0.85299918393068896</v>
      </c>
      <c r="BQ164" s="21">
        <f>EXP(-LN(2)/25)*BQ163+(1-EXP(-LN(2)/25))/(LN(2)/25)*Calculateur!BL164*Calculateur!BN164*VLOOKUP('Données projet'!$B$11,Paramètres!$A$1:$I$89,3,0)*0.475*44/12</f>
        <v>1.0256046505129606</v>
      </c>
      <c r="BR164" s="21">
        <f>EXP(-LN(2)/2)*BR163+(1-EXP(-LN(2)/2))/(LN(2)/2)*BL164*BO164*VLOOKUP('Données projet'!$B$11,Paramètres!$A$1:$I$89,3,0)*0.475*44/12</f>
        <v>6.9902638635831304E-19</v>
      </c>
      <c r="BS164" s="22">
        <f t="shared" si="169"/>
        <v>1.8786038344436495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25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144.05040000000002</v>
      </c>
      <c r="D165" s="11">
        <f t="shared" si="140"/>
        <v>37.223349436444416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1399.3061360006238</v>
      </c>
      <c r="H165" s="67">
        <f t="shared" si="110"/>
        <v>609.05178026847398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-2.2737367544323206E-13</v>
      </c>
      <c r="O165" s="13">
        <f>N165*VLOOKUP('Données projet'!$B$9,Paramètres!$A$1:$I$89,3,0)*VLOOKUP('Données projet'!$B$9,Paramètres!$A$1:$I$89,5,0)</f>
        <v>-1.6671037883497774E-13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284.62668108124626</v>
      </c>
      <c r="T165" s="59">
        <f t="shared" si="142"/>
        <v>333.70864452711021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0.21438983094524139</v>
      </c>
      <c r="AA165" s="21">
        <f>EXP(-LN(2)/25)*AA164+(1-EXP(-LN(2)/25))/(LN(2)/25)*Calculateur!V165*Calculateur!X165*VLOOKUP('Données projet'!$B$9,Paramètres!$A$1:$I$89,3,0)*0.475*44/12</f>
        <v>0.48891509629973812</v>
      </c>
      <c r="AB165" s="21">
        <f>EXP(-LN(2)/2)*AB164+(1-EXP(-LN(2)/2))/(LN(2)/2)*V165*Y165*VLOOKUP('Données projet'!$B$9,Paramètres!$A$1:$I$89,3,0)*0.475*44/12</f>
        <v>3.605647509524702E-19</v>
      </c>
      <c r="AC165" s="22">
        <f t="shared" si="163"/>
        <v>0.70330492724497951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-3.4106051316484809E-13</v>
      </c>
      <c r="AJ165" s="13">
        <f>AI165*VLOOKUP('Données projet'!$B$10,Paramètres!$A$1:$I$89,3,0)*VLOOKUP('Données projet'!$B$10,Paramètres!$A$1:$I$89,5,0)</f>
        <v>-3.0859155231155454E-13</v>
      </c>
      <c r="AK165" s="13" t="e">
        <f t="shared" si="164"/>
        <v>#NUM!</v>
      </c>
      <c r="AL165" s="20" t="e">
        <f t="shared" si="165"/>
        <v>#NUM!</v>
      </c>
      <c r="AM165" s="59" t="e">
        <f t="shared" si="113"/>
        <v>#NUM!</v>
      </c>
      <c r="AN165" s="59">
        <f ca="1">AVERAGE(OFFSET($AM$3,0,0,'Données projet'!$E$10+1,1))-AVERAGE(OFFSET($H$3,0,0,'Données projet'!$E$10+1,1))</f>
        <v>318.40875902853116</v>
      </c>
      <c r="AO165" s="59">
        <f t="shared" si="144"/>
        <v>234.87694492493506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0.1763774495719716</v>
      </c>
      <c r="AV165" s="21">
        <f>EXP(-LN(2)/25)*AV164+(1-EXP(-LN(2)/25))/(LN(2)/25)*Calculateur!AQ165*Calculateur!AS165*VLOOKUP('Données projet'!$B$10,Paramètres!$A$1:$I$89,3,0)*0.475*44/12</f>
        <v>0.29038837137878526</v>
      </c>
      <c r="AW165" s="21">
        <f>EXP(-LN(2)/2)*AW164+(1-EXP(-LN(2)/2))/(LN(2)/2)*AQ165*AT165*VLOOKUP('Données projet'!$B$10,Paramètres!$A$1:$I$89,3,0)*0.475*44/12</f>
        <v>2.9210218193497724E-19</v>
      </c>
      <c r="AX165" s="21">
        <f t="shared" si="166"/>
        <v>0.46676582095075686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-1.2505552149377763E-12</v>
      </c>
      <c r="BE165" s="13">
        <f>BD165*VLOOKUP('Données projet'!$B$11,Paramètres!$A$1:$I$89,3,0)*VLOOKUP('Données projet'!$B$11,Paramètres!$A$1:$I$89,5,0)</f>
        <v>-6.9906036515021697E-13</v>
      </c>
      <c r="BF165" s="13" t="e">
        <f t="shared" si="167"/>
        <v>#NUM!</v>
      </c>
      <c r="BG165" s="20" t="e">
        <f t="shared" si="168"/>
        <v>#NUM!</v>
      </c>
      <c r="BH165" s="59" t="e">
        <f t="shared" si="116"/>
        <v>#NUM!</v>
      </c>
      <c r="BI165" s="59">
        <f ca="1">AVERAGE(OFFSET($BH$3,0,0,'Données projet'!$E$11+1,1))-AVERAGE(OFFSET($H$3,0,0,'Données projet'!$E$11+1,1))</f>
        <v>415.91544298418842</v>
      </c>
      <c r="BJ165" s="59">
        <f t="shared" si="146"/>
        <v>422.79312683312583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0.83627239021193711</v>
      </c>
      <c r="BQ165" s="21">
        <f>EXP(-LN(2)/25)*BQ164+(1-EXP(-LN(2)/25))/(LN(2)/25)*Calculateur!BL165*Calculateur!BN165*VLOOKUP('Données projet'!$B$11,Paramètres!$A$1:$I$89,3,0)*0.475*44/12</f>
        <v>0.99755943741047914</v>
      </c>
      <c r="BR165" s="21">
        <f>EXP(-LN(2)/2)*BR164+(1-EXP(-LN(2)/2))/(LN(2)/2)*BL165*BO165*VLOOKUP('Données projet'!$B$11,Paramètres!$A$1:$I$89,3,0)*0.475*44/12</f>
        <v>4.9428629802229068E-19</v>
      </c>
      <c r="BS165" s="22">
        <f t="shared" si="169"/>
        <v>1.8338318276224164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25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144.93960000000001</v>
      </c>
      <c r="D166" s="11">
        <f t="shared" si="140"/>
        <v>37.426304759789126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1407.7368086720564</v>
      </c>
      <c r="H166" s="67">
        <f t="shared" si="110"/>
        <v>610.95395078996603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-2.2737367544323206E-13</v>
      </c>
      <c r="O166" s="13">
        <f>N166*VLOOKUP('Données projet'!$B$9,Paramètres!$A$1:$I$89,3,0)*VLOOKUP('Données projet'!$B$9,Paramètres!$A$1:$I$89,5,0)</f>
        <v>-1.6671037883497774E-13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284.62668108124626</v>
      </c>
      <c r="T166" s="59">
        <f t="shared" si="142"/>
        <v>333.70864452711021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0.21018577712529013</v>
      </c>
      <c r="AA166" s="21">
        <f>EXP(-LN(2)/25)*AA165+(1-EXP(-LN(2)/25))/(LN(2)/25)*Calculateur!V166*Calculateur!X166*VLOOKUP('Données projet'!$B$9,Paramètres!$A$1:$I$89,3,0)*0.475*44/12</f>
        <v>0.47554568728049429</v>
      </c>
      <c r="AB166" s="21">
        <f>EXP(-LN(2)/2)*AB165+(1-EXP(-LN(2)/2))/(LN(2)/2)*V166*Y166*VLOOKUP('Données projet'!$B$9,Paramètres!$A$1:$I$89,3,0)*0.475*44/12</f>
        <v>2.5495778045533034E-19</v>
      </c>
      <c r="AC166" s="22">
        <f t="shared" si="163"/>
        <v>0.68573146440578436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-3.4106051316484809E-13</v>
      </c>
      <c r="AJ166" s="13">
        <f>AI166*VLOOKUP('Données projet'!$B$10,Paramètres!$A$1:$I$89,3,0)*VLOOKUP('Données projet'!$B$10,Paramètres!$A$1:$I$89,5,0)</f>
        <v>-3.0859155231155454E-13</v>
      </c>
      <c r="AK166" s="13" t="e">
        <f t="shared" si="164"/>
        <v>#NUM!</v>
      </c>
      <c r="AL166" s="20" t="e">
        <f t="shared" si="165"/>
        <v>#NUM!</v>
      </c>
      <c r="AM166" s="59" t="e">
        <f t="shared" si="113"/>
        <v>#NUM!</v>
      </c>
      <c r="AN166" s="59">
        <f ca="1">AVERAGE(OFFSET($AM$3,0,0,'Données projet'!$E$10+1,1))-AVERAGE(OFFSET($H$3,0,0,'Données projet'!$E$10+1,1))</f>
        <v>318.40875902853116</v>
      </c>
      <c r="AO166" s="59">
        <f t="shared" si="144"/>
        <v>234.87694492493506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0.17291879536548688</v>
      </c>
      <c r="AV166" s="21">
        <f>EXP(-LN(2)/25)*AV165+(1-EXP(-LN(2)/25))/(LN(2)/25)*Calculateur!AQ166*Calculateur!AS166*VLOOKUP('Données projet'!$B$10,Paramètres!$A$1:$I$89,3,0)*0.475*44/12</f>
        <v>0.28244768609257159</v>
      </c>
      <c r="AW166" s="21">
        <f>EXP(-LN(2)/2)*AW165+(1-EXP(-LN(2)/2))/(LN(2)/2)*AQ166*AT166*VLOOKUP('Données projet'!$B$10,Paramètres!$A$1:$I$89,3,0)*0.475*44/12</f>
        <v>2.0654743364560905E-19</v>
      </c>
      <c r="AX166" s="21">
        <f t="shared" si="166"/>
        <v>0.45536648145805847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-1.2505552149377763E-12</v>
      </c>
      <c r="BE166" s="13">
        <f>BD166*VLOOKUP('Données projet'!$B$11,Paramètres!$A$1:$I$89,3,0)*VLOOKUP('Données projet'!$B$11,Paramètres!$A$1:$I$89,5,0)</f>
        <v>-6.9906036515021697E-13</v>
      </c>
      <c r="BF166" s="13" t="e">
        <f t="shared" si="167"/>
        <v>#NUM!</v>
      </c>
      <c r="BG166" s="20" t="e">
        <f t="shared" si="168"/>
        <v>#NUM!</v>
      </c>
      <c r="BH166" s="59" t="e">
        <f t="shared" si="116"/>
        <v>#NUM!</v>
      </c>
      <c r="BI166" s="59">
        <f ca="1">AVERAGE(OFFSET($BH$3,0,0,'Données projet'!$E$11+1,1))-AVERAGE(OFFSET($H$3,0,0,'Données projet'!$E$11+1,1))</f>
        <v>415.91544298418842</v>
      </c>
      <c r="BJ166" s="59">
        <f t="shared" si="146"/>
        <v>422.79312683312583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0.81987359871567322</v>
      </c>
      <c r="BQ166" s="21">
        <f>EXP(-LN(2)/25)*BQ165+(1-EXP(-LN(2)/25))/(LN(2)/25)*Calculateur!BL166*Calculateur!BN166*VLOOKUP('Données projet'!$B$11,Paramètres!$A$1:$I$89,3,0)*0.475*44/12</f>
        <v>0.97028112213511875</v>
      </c>
      <c r="BR166" s="21">
        <f>EXP(-LN(2)/2)*BR165+(1-EXP(-LN(2)/2))/(LN(2)/2)*BL166*BO166*VLOOKUP('Données projet'!$B$11,Paramètres!$A$1:$I$89,3,0)*0.475*44/12</f>
        <v>3.4951319317915652E-19</v>
      </c>
      <c r="BS166" s="22">
        <f t="shared" si="169"/>
        <v>1.790154720850792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25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145.8288</v>
      </c>
      <c r="D167" s="11">
        <f t="shared" si="140"/>
        <v>37.629115201395898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1416.1663629581437</v>
      </c>
      <c r="H167" s="67">
        <f t="shared" si="110"/>
        <v>612.85586897576445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-2.2737367544323206E-13</v>
      </c>
      <c r="O167" s="13">
        <f>N167*VLOOKUP('Données projet'!$B$9,Paramètres!$A$1:$I$89,3,0)*VLOOKUP('Données projet'!$B$9,Paramètres!$A$1:$I$89,5,0)</f>
        <v>-1.6671037883497774E-13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284.62668108124626</v>
      </c>
      <c r="T167" s="59">
        <f t="shared" si="142"/>
        <v>333.70864452711021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0.20606416223652846</v>
      </c>
      <c r="AA167" s="21">
        <f>EXP(-LN(2)/25)*AA166+(1-EXP(-LN(2)/25))/(LN(2)/25)*Calculateur!V167*Calculateur!X167*VLOOKUP('Données projet'!$B$9,Paramètres!$A$1:$I$89,3,0)*0.475*44/12</f>
        <v>0.46254186545394838</v>
      </c>
      <c r="AB167" s="21">
        <f>EXP(-LN(2)/2)*AB166+(1-EXP(-LN(2)/2))/(LN(2)/2)*V167*Y167*VLOOKUP('Données projet'!$B$9,Paramètres!$A$1:$I$89,3,0)*0.475*44/12</f>
        <v>1.802823754762351E-19</v>
      </c>
      <c r="AC167" s="22">
        <f t="shared" si="163"/>
        <v>0.66860602769047683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-3.4106051316484809E-13</v>
      </c>
      <c r="AJ167" s="13">
        <f>AI167*VLOOKUP('Données projet'!$B$10,Paramètres!$A$1:$I$89,3,0)*VLOOKUP('Données projet'!$B$10,Paramètres!$A$1:$I$89,5,0)</f>
        <v>-3.0859155231155454E-13</v>
      </c>
      <c r="AK167" s="13" t="e">
        <f t="shared" si="164"/>
        <v>#NUM!</v>
      </c>
      <c r="AL167" s="20" t="e">
        <f t="shared" si="165"/>
        <v>#NUM!</v>
      </c>
      <c r="AM167" s="59" t="e">
        <f t="shared" si="113"/>
        <v>#NUM!</v>
      </c>
      <c r="AN167" s="59">
        <f ca="1">AVERAGE(OFFSET($AM$3,0,0,'Données projet'!$E$10+1,1))-AVERAGE(OFFSET($H$3,0,0,'Données projet'!$E$10+1,1))</f>
        <v>318.40875902853116</v>
      </c>
      <c r="AO167" s="59">
        <f t="shared" si="144"/>
        <v>234.87694492493506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0.16952796325842054</v>
      </c>
      <c r="AV167" s="21">
        <f>EXP(-LN(2)/25)*AV166+(1-EXP(-LN(2)/25))/(LN(2)/25)*Calculateur!AQ167*Calculateur!AS167*VLOOKUP('Données projet'!$B$10,Paramètres!$A$1:$I$89,3,0)*0.475*44/12</f>
        <v>0.27472413926309197</v>
      </c>
      <c r="AW167" s="21">
        <f>EXP(-LN(2)/2)*AW166+(1-EXP(-LN(2)/2))/(LN(2)/2)*AQ167*AT167*VLOOKUP('Données projet'!$B$10,Paramètres!$A$1:$I$89,3,0)*0.475*44/12</f>
        <v>1.4605109096748862E-19</v>
      </c>
      <c r="AX167" s="21">
        <f t="shared" si="166"/>
        <v>0.44425210252151248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-1.2505552149377763E-12</v>
      </c>
      <c r="BE167" s="13">
        <f>BD167*VLOOKUP('Données projet'!$B$11,Paramètres!$A$1:$I$89,3,0)*VLOOKUP('Données projet'!$B$11,Paramètres!$A$1:$I$89,5,0)</f>
        <v>-6.9906036515021697E-13</v>
      </c>
      <c r="BF167" s="13" t="e">
        <f t="shared" si="167"/>
        <v>#NUM!</v>
      </c>
      <c r="BG167" s="20" t="e">
        <f t="shared" si="168"/>
        <v>#NUM!</v>
      </c>
      <c r="BH167" s="59" t="e">
        <f t="shared" si="116"/>
        <v>#NUM!</v>
      </c>
      <c r="BI167" s="59">
        <f ca="1">AVERAGE(OFFSET($BH$3,0,0,'Données projet'!$E$11+1,1))-AVERAGE(OFFSET($H$3,0,0,'Données projet'!$E$11+1,1))</f>
        <v>415.91544298418842</v>
      </c>
      <c r="BJ167" s="59">
        <f t="shared" si="146"/>
        <v>422.79312683312583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0.80379637751837596</v>
      </c>
      <c r="BQ167" s="21">
        <f>EXP(-LN(2)/25)*BQ166+(1-EXP(-LN(2)/25))/(LN(2)/25)*Calculateur!BL167*Calculateur!BN167*VLOOKUP('Données projet'!$B$11,Paramètres!$A$1:$I$89,3,0)*0.475*44/12</f>
        <v>0.94374873382546731</v>
      </c>
      <c r="BR167" s="21">
        <f>EXP(-LN(2)/2)*BR166+(1-EXP(-LN(2)/2))/(LN(2)/2)*BL167*BO167*VLOOKUP('Données projet'!$B$11,Paramètres!$A$1:$I$89,3,0)*0.475*44/12</f>
        <v>2.4714314901114534E-19</v>
      </c>
      <c r="BS167" s="22">
        <f t="shared" si="169"/>
        <v>1.7475451113438432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25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146.71799999999999</v>
      </c>
      <c r="D168" s="11">
        <f t="shared" si="140"/>
        <v>37.831781747183037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1424.594806469483</v>
      </c>
      <c r="H168" s="67">
        <f t="shared" si="110"/>
        <v>614.75753654301047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-2.2737367544323206E-13</v>
      </c>
      <c r="O168" s="13">
        <f>N168*VLOOKUP('Données projet'!$B$9,Paramètres!$A$1:$I$89,3,0)*VLOOKUP('Données projet'!$B$9,Paramètres!$A$1:$I$89,5,0)</f>
        <v>-1.6671037883497774E-13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284.62668108124626</v>
      </c>
      <c r="T168" s="59">
        <f t="shared" si="142"/>
        <v>333.70864452711021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0.20202336970179857</v>
      </c>
      <c r="AA168" s="21">
        <f>EXP(-LN(2)/25)*AA167+(1-EXP(-LN(2)/25))/(LN(2)/25)*Calculateur!V168*Calculateur!X168*VLOOKUP('Données projet'!$B$9,Paramètres!$A$1:$I$89,3,0)*0.475*44/12</f>
        <v>0.44989363381909059</v>
      </c>
      <c r="AB168" s="21">
        <f>EXP(-LN(2)/2)*AB167+(1-EXP(-LN(2)/2))/(LN(2)/2)*V168*Y168*VLOOKUP('Données projet'!$B$9,Paramètres!$A$1:$I$89,3,0)*0.475*44/12</f>
        <v>1.2747889022766517E-19</v>
      </c>
      <c r="AC168" s="22">
        <f t="shared" si="163"/>
        <v>0.65191700352088922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-3.4106051316484809E-13</v>
      </c>
      <c r="AJ168" s="13">
        <f>AI168*VLOOKUP('Données projet'!$B$10,Paramètres!$A$1:$I$89,3,0)*VLOOKUP('Données projet'!$B$10,Paramètres!$A$1:$I$89,5,0)</f>
        <v>-3.0859155231155454E-13</v>
      </c>
      <c r="AK168" s="13" t="e">
        <f t="shared" si="164"/>
        <v>#NUM!</v>
      </c>
      <c r="AL168" s="20" t="e">
        <f t="shared" si="165"/>
        <v>#NUM!</v>
      </c>
      <c r="AM168" s="59" t="e">
        <f t="shared" si="113"/>
        <v>#NUM!</v>
      </c>
      <c r="AN168" s="59">
        <f ca="1">AVERAGE(OFFSET($AM$3,0,0,'Données projet'!$E$10+1,1))-AVERAGE(OFFSET($H$3,0,0,'Données projet'!$E$10+1,1))</f>
        <v>318.40875902853116</v>
      </c>
      <c r="AO168" s="59">
        <f t="shared" si="144"/>
        <v>234.87694492493506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0.1662036233007704</v>
      </c>
      <c r="AV168" s="21">
        <f>EXP(-LN(2)/25)*AV167+(1-EXP(-LN(2)/25))/(LN(2)/25)*Calculateur!AQ168*Calculateur!AS168*VLOOKUP('Données projet'!$B$10,Paramètres!$A$1:$I$89,3,0)*0.475*44/12</f>
        <v>0.26721179322782812</v>
      </c>
      <c r="AW168" s="21">
        <f>EXP(-LN(2)/2)*AW167+(1-EXP(-LN(2)/2))/(LN(2)/2)*AQ168*AT168*VLOOKUP('Données projet'!$B$10,Paramètres!$A$1:$I$89,3,0)*0.475*44/12</f>
        <v>1.0327371682280452E-19</v>
      </c>
      <c r="AX168" s="21">
        <f t="shared" si="166"/>
        <v>0.4334154165285985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-1.2505552149377763E-12</v>
      </c>
      <c r="BE168" s="13">
        <f>BD168*VLOOKUP('Données projet'!$B$11,Paramètres!$A$1:$I$89,3,0)*VLOOKUP('Données projet'!$B$11,Paramètres!$A$1:$I$89,5,0)</f>
        <v>-6.9906036515021697E-13</v>
      </c>
      <c r="BF168" s="13" t="e">
        <f t="shared" si="167"/>
        <v>#NUM!</v>
      </c>
      <c r="BG168" s="20" t="e">
        <f t="shared" si="168"/>
        <v>#NUM!</v>
      </c>
      <c r="BH168" s="59" t="e">
        <f t="shared" si="116"/>
        <v>#NUM!</v>
      </c>
      <c r="BI168" s="59">
        <f ca="1">AVERAGE(OFFSET($BH$3,0,0,'Données projet'!$E$11+1,1))-AVERAGE(OFFSET($H$3,0,0,'Données projet'!$E$11+1,1))</f>
        <v>415.91544298418842</v>
      </c>
      <c r="BJ168" s="59">
        <f t="shared" si="146"/>
        <v>422.79312683312583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0.78803442082262098</v>
      </c>
      <c r="BQ168" s="21">
        <f>EXP(-LN(2)/25)*BQ167+(1-EXP(-LN(2)/25))/(LN(2)/25)*Calculateur!BL168*Calculateur!BN168*VLOOKUP('Données projet'!$B$11,Paramètres!$A$1:$I$89,3,0)*0.475*44/12</f>
        <v>0.91794187506942093</v>
      </c>
      <c r="BR168" s="21">
        <f>EXP(-LN(2)/2)*BR167+(1-EXP(-LN(2)/2))/(LN(2)/2)*BL168*BO168*VLOOKUP('Données projet'!$B$11,Paramètres!$A$1:$I$89,3,0)*0.475*44/12</f>
        <v>1.7475659658957826E-19</v>
      </c>
      <c r="BS168" s="22">
        <f t="shared" si="169"/>
        <v>1.7059762958920419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25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147.60719999999998</v>
      </c>
      <c r="D169" s="11">
        <f t="shared" si="140"/>
        <v>38.034305370426985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1433.0221467190852</v>
      </c>
      <c r="H169" s="67">
        <f t="shared" si="110"/>
        <v>616.65895518682692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-2.2737367544323206E-13</v>
      </c>
      <c r="O169" s="13">
        <f>N169*VLOOKUP('Données projet'!$B$9,Paramètres!$A$1:$I$89,3,0)*VLOOKUP('Données projet'!$B$9,Paramètres!$A$1:$I$89,5,0)</f>
        <v>-1.6671037883497774E-13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284.62668108124626</v>
      </c>
      <c r="T169" s="59">
        <f t="shared" si="142"/>
        <v>333.70864452711021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0.19806181464403466</v>
      </c>
      <c r="AA169" s="21">
        <f>EXP(-LN(2)/25)*AA168+(1-EXP(-LN(2)/25))/(LN(2)/25)*Calculateur!V169*Calculateur!X169*VLOOKUP('Données projet'!$B$9,Paramètres!$A$1:$I$89,3,0)*0.475*44/12</f>
        <v>0.43759126874342957</v>
      </c>
      <c r="AB169" s="21">
        <f>EXP(-LN(2)/2)*AB168+(1-EXP(-LN(2)/2))/(LN(2)/2)*V169*Y169*VLOOKUP('Données projet'!$B$9,Paramètres!$A$1:$I$89,3,0)*0.475*44/12</f>
        <v>9.0141187738117549E-20</v>
      </c>
      <c r="AC169" s="22">
        <f t="shared" si="163"/>
        <v>0.63565308338746429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-3.4106051316484809E-13</v>
      </c>
      <c r="AJ169" s="13">
        <f>AI169*VLOOKUP('Données projet'!$B$10,Paramètres!$A$1:$I$89,3,0)*VLOOKUP('Données projet'!$B$10,Paramètres!$A$1:$I$89,5,0)</f>
        <v>-3.0859155231155454E-13</v>
      </c>
      <c r="AK169" s="13" t="e">
        <f t="shared" si="164"/>
        <v>#NUM!</v>
      </c>
      <c r="AL169" s="20" t="e">
        <f t="shared" si="165"/>
        <v>#NUM!</v>
      </c>
      <c r="AM169" s="59" t="e">
        <f t="shared" si="113"/>
        <v>#NUM!</v>
      </c>
      <c r="AN169" s="59">
        <f ca="1">AVERAGE(OFFSET($AM$3,0,0,'Données projet'!$E$10+1,1))-AVERAGE(OFFSET($H$3,0,0,'Données projet'!$E$10+1,1))</f>
        <v>318.40875902853116</v>
      </c>
      <c r="AO169" s="59">
        <f t="shared" si="144"/>
        <v>234.87694492493506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0.16294447162204265</v>
      </c>
      <c r="AV169" s="21">
        <f>EXP(-LN(2)/25)*AV168+(1-EXP(-LN(2)/25))/(LN(2)/25)*Calculateur!AQ169*Calculateur!AS169*VLOOKUP('Données projet'!$B$10,Paramètres!$A$1:$I$89,3,0)*0.475*44/12</f>
        <v>0.25990487268995566</v>
      </c>
      <c r="AW169" s="21">
        <f>EXP(-LN(2)/2)*AW168+(1-EXP(-LN(2)/2))/(LN(2)/2)*AQ169*AT169*VLOOKUP('Données projet'!$B$10,Paramètres!$A$1:$I$89,3,0)*0.475*44/12</f>
        <v>7.302554548374431E-20</v>
      </c>
      <c r="AX169" s="21">
        <f t="shared" si="166"/>
        <v>0.42284934431199828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-1.2505552149377763E-12</v>
      </c>
      <c r="BE169" s="13">
        <f>BD169*VLOOKUP('Données projet'!$B$11,Paramètres!$A$1:$I$89,3,0)*VLOOKUP('Données projet'!$B$11,Paramètres!$A$1:$I$89,5,0)</f>
        <v>-6.9906036515021697E-13</v>
      </c>
      <c r="BF169" s="13" t="e">
        <f t="shared" si="167"/>
        <v>#NUM!</v>
      </c>
      <c r="BG169" s="20" t="e">
        <f t="shared" si="168"/>
        <v>#NUM!</v>
      </c>
      <c r="BH169" s="59" t="e">
        <f t="shared" si="116"/>
        <v>#NUM!</v>
      </c>
      <c r="BI169" s="59">
        <f ca="1">AVERAGE(OFFSET($BH$3,0,0,'Données projet'!$E$11+1,1))-AVERAGE(OFFSET($H$3,0,0,'Données projet'!$E$11+1,1))</f>
        <v>415.91544298418842</v>
      </c>
      <c r="BJ169" s="59">
        <f t="shared" si="146"/>
        <v>422.79312683312583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0.77258154648382549</v>
      </c>
      <c r="BQ169" s="21">
        <f>EXP(-LN(2)/25)*BQ168+(1-EXP(-LN(2)/25))/(LN(2)/25)*Calculateur!BL169*Calculateur!BN169*VLOOKUP('Données projet'!$B$11,Paramètres!$A$1:$I$89,3,0)*0.475*44/12</f>
        <v>0.89284070622318235</v>
      </c>
      <c r="BR169" s="21">
        <f>EXP(-LN(2)/2)*BR168+(1-EXP(-LN(2)/2))/(LN(2)/2)*BL169*BO169*VLOOKUP('Données projet'!$B$11,Paramètres!$A$1:$I$89,3,0)*0.475*44/12</f>
        <v>1.2357157450557267E-19</v>
      </c>
      <c r="BS169" s="22">
        <f t="shared" si="169"/>
        <v>1.6654222527070077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25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148.49639999999997</v>
      </c>
      <c r="D170" s="11">
        <f t="shared" si="140"/>
        <v>38.23668703199958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1441.4483911242071</v>
      </c>
      <c r="H170" s="67">
        <f t="shared" si="110"/>
        <v>618.56012658073257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-2.2737367544323206E-13</v>
      </c>
      <c r="O170" s="13">
        <f>N170*VLOOKUP('Données projet'!$B$9,Paramètres!$A$1:$I$89,3,0)*VLOOKUP('Données projet'!$B$9,Paramètres!$A$1:$I$89,5,0)</f>
        <v>-1.6671037883497774E-13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284.62668108124626</v>
      </c>
      <c r="T170" s="59">
        <f t="shared" si="142"/>
        <v>333.70864452711021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0.19417794326464349</v>
      </c>
      <c r="AA170" s="21">
        <f>EXP(-LN(2)/25)*AA169+(1-EXP(-LN(2)/25))/(LN(2)/25)*Calculateur!V170*Calculateur!X170*VLOOKUP('Données projet'!$B$9,Paramètres!$A$1:$I$89,3,0)*0.475*44/12</f>
        <v>0.42562531248771579</v>
      </c>
      <c r="AB170" s="21">
        <f>EXP(-LN(2)/2)*AB169+(1-EXP(-LN(2)/2))/(LN(2)/2)*V170*Y170*VLOOKUP('Données projet'!$B$9,Paramètres!$A$1:$I$89,3,0)*0.475*44/12</f>
        <v>6.3739445113832585E-20</v>
      </c>
      <c r="AC170" s="22">
        <f t="shared" si="163"/>
        <v>0.61980325575235928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-3.4106051316484809E-13</v>
      </c>
      <c r="AJ170" s="13">
        <f>AI170*VLOOKUP('Données projet'!$B$10,Paramètres!$A$1:$I$89,3,0)*VLOOKUP('Données projet'!$B$10,Paramètres!$A$1:$I$89,5,0)</f>
        <v>-3.0859155231155454E-13</v>
      </c>
      <c r="AK170" s="13" t="e">
        <f t="shared" si="164"/>
        <v>#NUM!</v>
      </c>
      <c r="AL170" s="20" t="e">
        <f t="shared" si="165"/>
        <v>#NUM!</v>
      </c>
      <c r="AM170" s="59" t="e">
        <f t="shared" si="113"/>
        <v>#NUM!</v>
      </c>
      <c r="AN170" s="59">
        <f ca="1">AVERAGE(OFFSET($AM$3,0,0,'Données projet'!$E$10+1,1))-AVERAGE(OFFSET($H$3,0,0,'Données projet'!$E$10+1,1))</f>
        <v>318.40875902853116</v>
      </c>
      <c r="AO170" s="59">
        <f t="shared" si="144"/>
        <v>234.87694492493506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0.1597492299198485</v>
      </c>
      <c r="AV170" s="21">
        <f>EXP(-LN(2)/25)*AV169+(1-EXP(-LN(2)/25))/(LN(2)/25)*Calculateur!AQ170*Calculateur!AS170*VLOOKUP('Données projet'!$B$10,Paramètres!$A$1:$I$89,3,0)*0.475*44/12</f>
        <v>0.25279776027844558</v>
      </c>
      <c r="AW170" s="21">
        <f>EXP(-LN(2)/2)*AW169+(1-EXP(-LN(2)/2))/(LN(2)/2)*AQ170*AT170*VLOOKUP('Données projet'!$B$10,Paramètres!$A$1:$I$89,3,0)*0.475*44/12</f>
        <v>5.1636858411402262E-20</v>
      </c>
      <c r="AX170" s="21">
        <f t="shared" si="166"/>
        <v>0.41254699019829411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-1.2505552149377763E-12</v>
      </c>
      <c r="BE170" s="13">
        <f>BD170*VLOOKUP('Données projet'!$B$11,Paramètres!$A$1:$I$89,3,0)*VLOOKUP('Données projet'!$B$11,Paramètres!$A$1:$I$89,5,0)</f>
        <v>-6.9906036515021697E-13</v>
      </c>
      <c r="BF170" s="13" t="e">
        <f t="shared" si="167"/>
        <v>#NUM!</v>
      </c>
      <c r="BG170" s="20" t="e">
        <f t="shared" si="168"/>
        <v>#NUM!</v>
      </c>
      <c r="BH170" s="59" t="e">
        <f t="shared" si="116"/>
        <v>#NUM!</v>
      </c>
      <c r="BI170" s="59">
        <f ca="1">AVERAGE(OFFSET($BH$3,0,0,'Données projet'!$E$11+1,1))-AVERAGE(OFFSET($H$3,0,0,'Données projet'!$E$11+1,1))</f>
        <v>415.91544298418842</v>
      </c>
      <c r="BJ170" s="59">
        <f t="shared" si="146"/>
        <v>422.79312683312583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0.75743169358549112</v>
      </c>
      <c r="BQ170" s="21">
        <f>EXP(-LN(2)/25)*BQ169+(1-EXP(-LN(2)/25))/(LN(2)/25)*Calculateur!BL170*Calculateur!BN170*VLOOKUP('Données projet'!$B$11,Paramètres!$A$1:$I$89,3,0)*0.475*44/12</f>
        <v>0.86842593015905734</v>
      </c>
      <c r="BR170" s="21">
        <f>EXP(-LN(2)/2)*BR169+(1-EXP(-LN(2)/2))/(LN(2)/2)*BL170*BO170*VLOOKUP('Données projet'!$B$11,Paramètres!$A$1:$I$89,3,0)*0.475*44/12</f>
        <v>8.737829829478913E-20</v>
      </c>
      <c r="BS170" s="22">
        <f t="shared" si="169"/>
        <v>1.6258576237445483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25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149.38559999999995</v>
      </c>
      <c r="D171" s="11">
        <f t="shared" si="140"/>
        <v>38.438927680599591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1449.8735470081367</v>
      </c>
      <c r="H171" s="67">
        <f t="shared" si="110"/>
        <v>620.46105237704421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-2.2737367544323206E-13</v>
      </c>
      <c r="O171" s="13">
        <f>N171*VLOOKUP('Données projet'!$B$9,Paramètres!$A$1:$I$89,3,0)*VLOOKUP('Données projet'!$B$9,Paramètres!$A$1:$I$89,5,0)</f>
        <v>-1.6671037883497774E-13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284.62668108124626</v>
      </c>
      <c r="T171" s="59">
        <f t="shared" si="142"/>
        <v>333.70864452711021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0.19037023223407457</v>
      </c>
      <c r="AA171" s="21">
        <f>EXP(-LN(2)/25)*AA170+(1-EXP(-LN(2)/25))/(LN(2)/25)*Calculateur!V171*Calculateur!X171*VLOOKUP('Données projet'!$B$9,Paramètres!$A$1:$I$89,3,0)*0.475*44/12</f>
        <v>0.41398656593507682</v>
      </c>
      <c r="AB171" s="21">
        <f>EXP(-LN(2)/2)*AB170+(1-EXP(-LN(2)/2))/(LN(2)/2)*V171*Y171*VLOOKUP('Données projet'!$B$9,Paramètres!$A$1:$I$89,3,0)*0.475*44/12</f>
        <v>4.5070593869058775E-20</v>
      </c>
      <c r="AC171" s="22">
        <f t="shared" si="163"/>
        <v>0.60435679816915133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-3.4106051316484809E-13</v>
      </c>
      <c r="AJ171" s="13">
        <f>AI171*VLOOKUP('Données projet'!$B$10,Paramètres!$A$1:$I$89,3,0)*VLOOKUP('Données projet'!$B$10,Paramètres!$A$1:$I$89,5,0)</f>
        <v>-3.0859155231155454E-13</v>
      </c>
      <c r="AK171" s="13" t="e">
        <f t="shared" si="164"/>
        <v>#NUM!</v>
      </c>
      <c r="AL171" s="20" t="e">
        <f t="shared" si="165"/>
        <v>#NUM!</v>
      </c>
      <c r="AM171" s="59" t="e">
        <f t="shared" si="113"/>
        <v>#NUM!</v>
      </c>
      <c r="AN171" s="59">
        <f ca="1">AVERAGE(OFFSET($AM$3,0,0,'Données projet'!$E$10+1,1))-AVERAGE(OFFSET($H$3,0,0,'Données projet'!$E$10+1,1))</f>
        <v>318.40875902853116</v>
      </c>
      <c r="AO171" s="59">
        <f t="shared" si="144"/>
        <v>234.87694492493506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0.15661664495852937</v>
      </c>
      <c r="AV171" s="21">
        <f>EXP(-LN(2)/25)*AV170+(1-EXP(-LN(2)/25))/(LN(2)/25)*Calculateur!AQ171*Calculateur!AS171*VLOOKUP('Données projet'!$B$10,Paramètres!$A$1:$I$89,3,0)*0.475*44/12</f>
        <v>0.24588499222957505</v>
      </c>
      <c r="AW171" s="21">
        <f>EXP(-LN(2)/2)*AW170+(1-EXP(-LN(2)/2))/(LN(2)/2)*AQ171*AT171*VLOOKUP('Données projet'!$B$10,Paramètres!$A$1:$I$89,3,0)*0.475*44/12</f>
        <v>3.6512772741872155E-20</v>
      </c>
      <c r="AX171" s="21">
        <f t="shared" si="166"/>
        <v>0.40250163718810439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-1.2505552149377763E-12</v>
      </c>
      <c r="BE171" s="13">
        <f>BD171*VLOOKUP('Données projet'!$B$11,Paramètres!$A$1:$I$89,3,0)*VLOOKUP('Données projet'!$B$11,Paramètres!$A$1:$I$89,5,0)</f>
        <v>-6.9906036515021697E-13</v>
      </c>
      <c r="BF171" s="13" t="e">
        <f t="shared" si="167"/>
        <v>#NUM!</v>
      </c>
      <c r="BG171" s="20" t="e">
        <f t="shared" si="168"/>
        <v>#NUM!</v>
      </c>
      <c r="BH171" s="59" t="e">
        <f t="shared" si="116"/>
        <v>#NUM!</v>
      </c>
      <c r="BI171" s="59">
        <f ca="1">AVERAGE(OFFSET($BH$3,0,0,'Données projet'!$E$11+1,1))-AVERAGE(OFFSET($H$3,0,0,'Données projet'!$E$11+1,1))</f>
        <v>415.91544298418842</v>
      </c>
      <c r="BJ171" s="59">
        <f t="shared" si="146"/>
        <v>422.79312683312583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0.74257892006199522</v>
      </c>
      <c r="BQ171" s="21">
        <f>EXP(-LN(2)/25)*BQ170+(1-EXP(-LN(2)/25))/(LN(2)/25)*Calculateur!BL171*Calculateur!BN171*VLOOKUP('Données projet'!$B$11,Paramètres!$A$1:$I$89,3,0)*0.475*44/12</f>
        <v>0.84467877743032305</v>
      </c>
      <c r="BR171" s="21">
        <f>EXP(-LN(2)/2)*BR170+(1-EXP(-LN(2)/2))/(LN(2)/2)*BL171*BO171*VLOOKUP('Données projet'!$B$11,Paramètres!$A$1:$I$89,3,0)*0.475*44/12</f>
        <v>6.1785787252786335E-20</v>
      </c>
      <c r="BS171" s="22">
        <f t="shared" si="169"/>
        <v>1.5872576974923183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25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150.27479999999994</v>
      </c>
      <c r="D172" s="11">
        <f t="shared" si="140"/>
        <v>38.641028252978323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1458.2976216019376</v>
      </c>
      <c r="H172" s="67">
        <f t="shared" si="110"/>
        <v>622.36173420727039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-2.2737367544323206E-13</v>
      </c>
      <c r="O172" s="13">
        <f>N172*VLOOKUP('Données projet'!$B$9,Paramètres!$A$1:$I$89,3,0)*VLOOKUP('Données projet'!$B$9,Paramètres!$A$1:$I$89,5,0)</f>
        <v>-1.6671037883497774E-13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284.62668108124626</v>
      </c>
      <c r="T172" s="59">
        <f t="shared" si="142"/>
        <v>333.70864452711021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0.18663718809434068</v>
      </c>
      <c r="AA172" s="21">
        <f>EXP(-LN(2)/25)*AA171+(1-EXP(-LN(2)/25))/(LN(2)/25)*Calculateur!V172*Calculateur!X172*VLOOKUP('Données projet'!$B$9,Paramètres!$A$1:$I$89,3,0)*0.475*44/12</f>
        <v>0.40266608151897482</v>
      </c>
      <c r="AB172" s="21">
        <f>EXP(-LN(2)/2)*AB171+(1-EXP(-LN(2)/2))/(LN(2)/2)*V172*Y172*VLOOKUP('Données projet'!$B$9,Paramètres!$A$1:$I$89,3,0)*0.475*44/12</f>
        <v>3.1869722556916293E-20</v>
      </c>
      <c r="AC172" s="22">
        <f t="shared" si="163"/>
        <v>0.58930326961331547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-3.4106051316484809E-13</v>
      </c>
      <c r="AJ172" s="13">
        <f>AI172*VLOOKUP('Données projet'!$B$10,Paramètres!$A$1:$I$89,3,0)*VLOOKUP('Données projet'!$B$10,Paramètres!$A$1:$I$89,5,0)</f>
        <v>-3.0859155231155454E-13</v>
      </c>
      <c r="AK172" s="13" t="e">
        <f t="shared" si="164"/>
        <v>#NUM!</v>
      </c>
      <c r="AL172" s="20" t="e">
        <f t="shared" si="165"/>
        <v>#NUM!</v>
      </c>
      <c r="AM172" s="59" t="e">
        <f t="shared" si="113"/>
        <v>#NUM!</v>
      </c>
      <c r="AN172" s="59">
        <f ca="1">AVERAGE(OFFSET($AM$3,0,0,'Données projet'!$E$10+1,1))-AVERAGE(OFFSET($H$3,0,0,'Données projet'!$E$10+1,1))</f>
        <v>318.40875902853116</v>
      </c>
      <c r="AO172" s="59">
        <f t="shared" si="144"/>
        <v>234.87694492493506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0.15354548807761356</v>
      </c>
      <c r="AV172" s="21">
        <f>EXP(-LN(2)/25)*AV171+(1-EXP(-LN(2)/25))/(LN(2)/25)*Calculateur!AQ172*Calculateur!AS172*VLOOKUP('Données projet'!$B$10,Paramètres!$A$1:$I$89,3,0)*0.475*44/12</f>
        <v>0.23916125418652756</v>
      </c>
      <c r="AW172" s="21">
        <f>EXP(-LN(2)/2)*AW171+(1-EXP(-LN(2)/2))/(LN(2)/2)*AQ172*AT172*VLOOKUP('Données projet'!$B$10,Paramètres!$A$1:$I$89,3,0)*0.475*44/12</f>
        <v>2.5818429205701131E-20</v>
      </c>
      <c r="AX172" s="21">
        <f t="shared" si="166"/>
        <v>0.39270674226414115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-1.2505552149377763E-12</v>
      </c>
      <c r="BE172" s="13">
        <f>BD172*VLOOKUP('Données projet'!$B$11,Paramètres!$A$1:$I$89,3,0)*VLOOKUP('Données projet'!$B$11,Paramètres!$A$1:$I$89,5,0)</f>
        <v>-6.9906036515021697E-13</v>
      </c>
      <c r="BF172" s="13" t="e">
        <f t="shared" si="167"/>
        <v>#NUM!</v>
      </c>
      <c r="BG172" s="20" t="e">
        <f t="shared" si="168"/>
        <v>#NUM!</v>
      </c>
      <c r="BH172" s="59" t="e">
        <f t="shared" si="116"/>
        <v>#NUM!</v>
      </c>
      <c r="BI172" s="59">
        <f ca="1">AVERAGE(OFFSET($BH$3,0,0,'Données projet'!$E$11+1,1))-AVERAGE(OFFSET($H$3,0,0,'Données projet'!$E$11+1,1))</f>
        <v>415.91544298418842</v>
      </c>
      <c r="BJ172" s="59">
        <f t="shared" si="146"/>
        <v>422.79312683312583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0.72801740036799778</v>
      </c>
      <c r="BQ172" s="21">
        <f>EXP(-LN(2)/25)*BQ171+(1-EXP(-LN(2)/25))/(LN(2)/25)*Calculateur!BL172*Calculateur!BN172*VLOOKUP('Données projet'!$B$11,Paramètres!$A$1:$I$89,3,0)*0.475*44/12</f>
        <v>0.82158099184176447</v>
      </c>
      <c r="BR172" s="21">
        <f>EXP(-LN(2)/2)*BR171+(1-EXP(-LN(2)/2))/(LN(2)/2)*BL172*BO172*VLOOKUP('Données projet'!$B$11,Paramètres!$A$1:$I$89,3,0)*0.475*44/12</f>
        <v>4.3689149147394565E-20</v>
      </c>
      <c r="BS172" s="22">
        <f t="shared" si="169"/>
        <v>1.5495983922097623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25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151.16399999999993</v>
      </c>
      <c r="D173" s="11">
        <f t="shared" si="140"/>
        <v>38.842989674159945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1466.7206220461464</v>
      </c>
      <c r="H173" s="67">
        <f t="shared" si="110"/>
        <v>624.26217368249513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-2.2737367544323206E-13</v>
      </c>
      <c r="O173" s="13">
        <f>N173*VLOOKUP('Données projet'!$B$9,Paramètres!$A$1:$I$89,3,0)*VLOOKUP('Données projet'!$B$9,Paramètres!$A$1:$I$89,5,0)</f>
        <v>-1.6671037883497774E-13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284.62668108124626</v>
      </c>
      <c r="T173" s="59">
        <f t="shared" si="142"/>
        <v>333.70864452711021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0.18297734667325488</v>
      </c>
      <c r="AA173" s="21">
        <f>EXP(-LN(2)/25)*AA172+(1-EXP(-LN(2)/25))/(LN(2)/25)*Calculateur!V173*Calculateur!X173*VLOOKUP('Données projet'!$B$9,Paramètres!$A$1:$I$89,3,0)*0.475*44/12</f>
        <v>0.3916551563445495</v>
      </c>
      <c r="AB173" s="21">
        <f>EXP(-LN(2)/2)*AB172+(1-EXP(-LN(2)/2))/(LN(2)/2)*V173*Y173*VLOOKUP('Données projet'!$B$9,Paramètres!$A$1:$I$89,3,0)*0.475*44/12</f>
        <v>2.2535296934529387E-20</v>
      </c>
      <c r="AC173" s="22">
        <f t="shared" si="163"/>
        <v>0.57463250301780433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-3.4106051316484809E-13</v>
      </c>
      <c r="AJ173" s="13">
        <f>AI173*VLOOKUP('Données projet'!$B$10,Paramètres!$A$1:$I$89,3,0)*VLOOKUP('Données projet'!$B$10,Paramètres!$A$1:$I$89,5,0)</f>
        <v>-3.0859155231155454E-13</v>
      </c>
      <c r="AK173" s="13" t="e">
        <f t="shared" si="164"/>
        <v>#NUM!</v>
      </c>
      <c r="AL173" s="20" t="e">
        <f t="shared" si="165"/>
        <v>#NUM!</v>
      </c>
      <c r="AM173" s="59" t="e">
        <f t="shared" si="113"/>
        <v>#NUM!</v>
      </c>
      <c r="AN173" s="59">
        <f ca="1">AVERAGE(OFFSET($AM$3,0,0,'Données projet'!$E$10+1,1))-AVERAGE(OFFSET($H$3,0,0,'Données projet'!$E$10+1,1))</f>
        <v>318.40875902853116</v>
      </c>
      <c r="AO173" s="59">
        <f t="shared" si="144"/>
        <v>234.87694492493506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0.15053455470991178</v>
      </c>
      <c r="AV173" s="21">
        <f>EXP(-LN(2)/25)*AV172+(1-EXP(-LN(2)/25))/(LN(2)/25)*Calculateur!AQ173*Calculateur!AS173*VLOOKUP('Données projet'!$B$10,Paramètres!$A$1:$I$89,3,0)*0.475*44/12</f>
        <v>0.23262137711385322</v>
      </c>
      <c r="AW173" s="21">
        <f>EXP(-LN(2)/2)*AW172+(1-EXP(-LN(2)/2))/(LN(2)/2)*AQ173*AT173*VLOOKUP('Données projet'!$B$10,Paramètres!$A$1:$I$89,3,0)*0.475*44/12</f>
        <v>1.8256386370936077E-20</v>
      </c>
      <c r="AX173" s="21">
        <f t="shared" si="166"/>
        <v>0.38315593182376501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-1.2505552149377763E-12</v>
      </c>
      <c r="BE173" s="13">
        <f>BD173*VLOOKUP('Données projet'!$B$11,Paramètres!$A$1:$I$89,3,0)*VLOOKUP('Données projet'!$B$11,Paramètres!$A$1:$I$89,5,0)</f>
        <v>-6.9906036515021697E-13</v>
      </c>
      <c r="BF173" s="13" t="e">
        <f t="shared" si="167"/>
        <v>#NUM!</v>
      </c>
      <c r="BG173" s="20" t="e">
        <f t="shared" si="168"/>
        <v>#NUM!</v>
      </c>
      <c r="BH173" s="59" t="e">
        <f t="shared" si="116"/>
        <v>#NUM!</v>
      </c>
      <c r="BI173" s="59">
        <f ca="1">AVERAGE(OFFSET($BH$3,0,0,'Données projet'!$E$11+1,1))-AVERAGE(OFFSET($H$3,0,0,'Données projet'!$E$11+1,1))</f>
        <v>415.91544298418842</v>
      </c>
      <c r="BJ173" s="59">
        <f t="shared" si="146"/>
        <v>422.79312683312583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0.71374142319354961</v>
      </c>
      <c r="BQ173" s="21">
        <f>EXP(-LN(2)/25)*BQ172+(1-EXP(-LN(2)/25))/(LN(2)/25)*Calculateur!BL173*Calculateur!BN173*VLOOKUP('Données projet'!$B$11,Paramètres!$A$1:$I$89,3,0)*0.475*44/12</f>
        <v>0.79911481641478477</v>
      </c>
      <c r="BR173" s="21">
        <f>EXP(-LN(2)/2)*BR172+(1-EXP(-LN(2)/2))/(LN(2)/2)*BL173*BO173*VLOOKUP('Données projet'!$B$11,Paramètres!$A$1:$I$89,3,0)*0.475*44/12</f>
        <v>3.0892893626393168E-20</v>
      </c>
      <c r="BS173" s="22">
        <f t="shared" si="169"/>
        <v>1.5128562396083343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25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152.05319999999992</v>
      </c>
      <c r="D174" s="11">
        <f t="shared" si="140"/>
        <v>39.044812857656339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1475.1425553924346</v>
      </c>
      <c r="H174" s="67">
        <f t="shared" si="110"/>
        <v>626.1623723937513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-2.2737367544323206E-13</v>
      </c>
      <c r="O174" s="13">
        <f>N174*VLOOKUP('Données projet'!$B$9,Paramètres!$A$1:$I$89,3,0)*VLOOKUP('Données projet'!$B$9,Paramètres!$A$1:$I$89,5,0)</f>
        <v>-1.6671037883497774E-13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284.62668108124626</v>
      </c>
      <c r="T174" s="59">
        <f t="shared" si="142"/>
        <v>333.70864452711021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0.17938927251015374</v>
      </c>
      <c r="AA174" s="21">
        <f>EXP(-LN(2)/25)*AA173+(1-EXP(-LN(2)/25))/(LN(2)/25)*Calculateur!V174*Calculateur!X174*VLOOKUP('Données projet'!$B$9,Paramètres!$A$1:$I$89,3,0)*0.475*44/12</f>
        <v>0.38094532549805826</v>
      </c>
      <c r="AB174" s="21">
        <f>EXP(-LN(2)/2)*AB173+(1-EXP(-LN(2)/2))/(LN(2)/2)*V174*Y174*VLOOKUP('Données projet'!$B$9,Paramètres!$A$1:$I$89,3,0)*0.475*44/12</f>
        <v>1.5934861278458146E-20</v>
      </c>
      <c r="AC174" s="22">
        <f t="shared" si="163"/>
        <v>0.56033459800821195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-3.4106051316484809E-13</v>
      </c>
      <c r="AJ174" s="13">
        <f>AI174*VLOOKUP('Données projet'!$B$10,Paramètres!$A$1:$I$89,3,0)*VLOOKUP('Données projet'!$B$10,Paramètres!$A$1:$I$89,5,0)</f>
        <v>-3.0859155231155454E-13</v>
      </c>
      <c r="AK174" s="13" t="e">
        <f t="shared" si="164"/>
        <v>#NUM!</v>
      </c>
      <c r="AL174" s="20" t="e">
        <f t="shared" si="165"/>
        <v>#NUM!</v>
      </c>
      <c r="AM174" s="59" t="e">
        <f t="shared" si="113"/>
        <v>#NUM!</v>
      </c>
      <c r="AN174" s="59">
        <f ca="1">AVERAGE(OFFSET($AM$3,0,0,'Données projet'!$E$10+1,1))-AVERAGE(OFFSET($H$3,0,0,'Données projet'!$E$10+1,1))</f>
        <v>318.40875902853116</v>
      </c>
      <c r="AO174" s="59">
        <f t="shared" si="144"/>
        <v>234.87694492493506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0.14758266390906261</v>
      </c>
      <c r="AV174" s="21">
        <f>EXP(-LN(2)/25)*AV173+(1-EXP(-LN(2)/25))/(LN(2)/25)*Calculateur!AQ174*Calculateur!AS174*VLOOKUP('Données projet'!$B$10,Paramètres!$A$1:$I$89,3,0)*0.475*44/12</f>
        <v>0.22626033332364834</v>
      </c>
      <c r="AW174" s="21">
        <f>EXP(-LN(2)/2)*AW173+(1-EXP(-LN(2)/2))/(LN(2)/2)*AQ174*AT174*VLOOKUP('Données projet'!$B$10,Paramètres!$A$1:$I$89,3,0)*0.475*44/12</f>
        <v>1.2909214602850566E-20</v>
      </c>
      <c r="AX174" s="21">
        <f t="shared" si="166"/>
        <v>0.37384299723271097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-1.2505552149377763E-12</v>
      </c>
      <c r="BE174" s="13">
        <f>BD174*VLOOKUP('Données projet'!$B$11,Paramètres!$A$1:$I$89,3,0)*VLOOKUP('Données projet'!$B$11,Paramètres!$A$1:$I$89,5,0)</f>
        <v>-6.9906036515021697E-13</v>
      </c>
      <c r="BF174" s="13" t="e">
        <f t="shared" si="167"/>
        <v>#NUM!</v>
      </c>
      <c r="BG174" s="20" t="e">
        <f t="shared" si="168"/>
        <v>#NUM!</v>
      </c>
      <c r="BH174" s="59" t="e">
        <f t="shared" si="116"/>
        <v>#NUM!</v>
      </c>
      <c r="BI174" s="59">
        <f ca="1">AVERAGE(OFFSET($BH$3,0,0,'Données projet'!$E$11+1,1))-AVERAGE(OFFSET($H$3,0,0,'Données projet'!$E$11+1,1))</f>
        <v>415.91544298418842</v>
      </c>
      <c r="BJ174" s="59">
        <f t="shared" si="146"/>
        <v>422.79312683312583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0.69974538922400609</v>
      </c>
      <c r="BQ174" s="21">
        <f>EXP(-LN(2)/25)*BQ173+(1-EXP(-LN(2)/25))/(LN(2)/25)*Calculateur!BL174*Calculateur!BN174*VLOOKUP('Données projet'!$B$11,Paramètres!$A$1:$I$89,3,0)*0.475*44/12</f>
        <v>0.77726297973630065</v>
      </c>
      <c r="BR174" s="21">
        <f>EXP(-LN(2)/2)*BR173+(1-EXP(-LN(2)/2))/(LN(2)/2)*BL174*BO174*VLOOKUP('Données projet'!$B$11,Paramètres!$A$1:$I$89,3,0)*0.475*44/12</f>
        <v>2.1844574573697283E-20</v>
      </c>
      <c r="BS174" s="22">
        <f t="shared" si="169"/>
        <v>1.4770083689603068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25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152.94239999999991</v>
      </c>
      <c r="D175" s="11">
        <f t="shared" si="140"/>
        <v>39.246498705676842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1483.5634286052243</v>
      </c>
      <c r="H175" s="67">
        <f t="shared" si="110"/>
        <v>628.06233191238698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-2.2737367544323206E-13</v>
      </c>
      <c r="O175" s="13">
        <f>N175*VLOOKUP('Données projet'!$B$9,Paramètres!$A$1:$I$89,3,0)*VLOOKUP('Données projet'!$B$9,Paramètres!$A$1:$I$89,5,0)</f>
        <v>-1.6671037883497774E-13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284.62668108124626</v>
      </c>
      <c r="T175" s="59">
        <f t="shared" si="142"/>
        <v>333.70864452711021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0.17587155829288187</v>
      </c>
      <c r="AA175" s="21">
        <f>EXP(-LN(2)/25)*AA174+(1-EXP(-LN(2)/25))/(LN(2)/25)*Calculateur!V175*Calculateur!X175*VLOOKUP('Données projet'!$B$9,Paramètres!$A$1:$I$89,3,0)*0.475*44/12</f>
        <v>0.37052835553926983</v>
      </c>
      <c r="AB175" s="21">
        <f>EXP(-LN(2)/2)*AB174+(1-EXP(-LN(2)/2))/(LN(2)/2)*V175*Y175*VLOOKUP('Données projet'!$B$9,Paramètres!$A$1:$I$89,3,0)*0.475*44/12</f>
        <v>1.1267648467264694E-20</v>
      </c>
      <c r="AC175" s="22">
        <f t="shared" si="163"/>
        <v>0.5463999138321517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-3.4106051316484809E-13</v>
      </c>
      <c r="AJ175" s="13">
        <f>AI175*VLOOKUP('Données projet'!$B$10,Paramètres!$A$1:$I$89,3,0)*VLOOKUP('Données projet'!$B$10,Paramètres!$A$1:$I$89,5,0)</f>
        <v>-3.0859155231155454E-13</v>
      </c>
      <c r="AK175" s="13" t="e">
        <f t="shared" si="164"/>
        <v>#NUM!</v>
      </c>
      <c r="AL175" s="20" t="e">
        <f t="shared" si="165"/>
        <v>#NUM!</v>
      </c>
      <c r="AM175" s="59" t="e">
        <f t="shared" si="113"/>
        <v>#NUM!</v>
      </c>
      <c r="AN175" s="59">
        <f ca="1">AVERAGE(OFFSET($AM$3,0,0,'Données projet'!$E$10+1,1))-AVERAGE(OFFSET($H$3,0,0,'Données projet'!$E$10+1,1))</f>
        <v>318.40875902853116</v>
      </c>
      <c r="AO175" s="59">
        <f t="shared" si="144"/>
        <v>234.87694492493506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0.14468865788634247</v>
      </c>
      <c r="AV175" s="21">
        <f>EXP(-LN(2)/25)*AV174+(1-EXP(-LN(2)/25))/(LN(2)/25)*Calculateur!AQ175*Calculateur!AS175*VLOOKUP('Données projet'!$B$10,Paramètres!$A$1:$I$89,3,0)*0.475*44/12</f>
        <v>0.22007323261039938</v>
      </c>
      <c r="AW175" s="21">
        <f>EXP(-LN(2)/2)*AW174+(1-EXP(-LN(2)/2))/(LN(2)/2)*AQ175*AT175*VLOOKUP('Données projet'!$B$10,Paramètres!$A$1:$I$89,3,0)*0.475*44/12</f>
        <v>9.1281931854680387E-21</v>
      </c>
      <c r="AX175" s="21">
        <f t="shared" si="166"/>
        <v>0.36476189049674185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-1.2505552149377763E-12</v>
      </c>
      <c r="BE175" s="13">
        <f>BD175*VLOOKUP('Données projet'!$B$11,Paramètres!$A$1:$I$89,3,0)*VLOOKUP('Données projet'!$B$11,Paramètres!$A$1:$I$89,5,0)</f>
        <v>-6.9906036515021697E-13</v>
      </c>
      <c r="BF175" s="13" t="e">
        <f t="shared" si="167"/>
        <v>#NUM!</v>
      </c>
      <c r="BG175" s="20" t="e">
        <f t="shared" si="168"/>
        <v>#NUM!</v>
      </c>
      <c r="BH175" s="59" t="e">
        <f t="shared" si="116"/>
        <v>#NUM!</v>
      </c>
      <c r="BI175" s="59">
        <f ca="1">AVERAGE(OFFSET($BH$3,0,0,'Données projet'!$E$11+1,1))-AVERAGE(OFFSET($H$3,0,0,'Données projet'!$E$11+1,1))</f>
        <v>415.91544298418842</v>
      </c>
      <c r="BJ175" s="59">
        <f t="shared" si="146"/>
        <v>422.79312683312583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0.6860238089438675</v>
      </c>
      <c r="BQ175" s="21">
        <f>EXP(-LN(2)/25)*BQ174+(1-EXP(-LN(2)/25))/(LN(2)/25)*Calculateur!BL175*Calculateur!BN175*VLOOKUP('Données projet'!$B$11,Paramètres!$A$1:$I$89,3,0)*0.475*44/12</f>
        <v>0.75600868268092791</v>
      </c>
      <c r="BR175" s="21">
        <f>EXP(-LN(2)/2)*BR174+(1-EXP(-LN(2)/2))/(LN(2)/2)*BL175*BO175*VLOOKUP('Données projet'!$B$11,Paramètres!$A$1:$I$89,3,0)*0.475*44/12</f>
        <v>1.5446446813196584E-20</v>
      </c>
      <c r="BS175" s="22">
        <f t="shared" si="169"/>
        <v>1.4420324916247953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25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153.8315999999999</v>
      </c>
      <c r="D176" s="11">
        <f t="shared" si="140"/>
        <v>39.448048109333072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1491.9832485632724</v>
      </c>
      <c r="H176" s="67">
        <f t="shared" si="110"/>
        <v>629.96205379042158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-2.2737367544323206E-13</v>
      </c>
      <c r="O176" s="13">
        <f>N176*VLOOKUP('Données projet'!$B$9,Paramètres!$A$1:$I$89,3,0)*VLOOKUP('Données projet'!$B$9,Paramètres!$A$1:$I$89,5,0)</f>
        <v>-1.6671037883497774E-13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284.62668108124626</v>
      </c>
      <c r="T176" s="59">
        <f t="shared" si="142"/>
        <v>333.70864452711021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0.17242282430581687</v>
      </c>
      <c r="AA176" s="21">
        <f>EXP(-LN(2)/25)*AA175+(1-EXP(-LN(2)/25))/(LN(2)/25)*Calculateur!V176*Calculateur!X176*VLOOKUP('Données projet'!$B$9,Paramètres!$A$1:$I$89,3,0)*0.475*44/12</f>
        <v>0.3603962381718091</v>
      </c>
      <c r="AB176" s="21">
        <f>EXP(-LN(2)/2)*AB175+(1-EXP(-LN(2)/2))/(LN(2)/2)*V176*Y176*VLOOKUP('Données projet'!$B$9,Paramètres!$A$1:$I$89,3,0)*0.475*44/12</f>
        <v>7.9674306392290731E-21</v>
      </c>
      <c r="AC176" s="22">
        <f t="shared" si="163"/>
        <v>0.532819062477626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-3.4106051316484809E-13</v>
      </c>
      <c r="AJ176" s="13">
        <f>AI176*VLOOKUP('Données projet'!$B$10,Paramètres!$A$1:$I$89,3,0)*VLOOKUP('Données projet'!$B$10,Paramètres!$A$1:$I$89,5,0)</f>
        <v>-3.0859155231155454E-13</v>
      </c>
      <c r="AK176" s="13" t="e">
        <f t="shared" si="164"/>
        <v>#NUM!</v>
      </c>
      <c r="AL176" s="20" t="e">
        <f t="shared" si="165"/>
        <v>#NUM!</v>
      </c>
      <c r="AM176" s="59" t="e">
        <f t="shared" si="113"/>
        <v>#NUM!</v>
      </c>
      <c r="AN176" s="59">
        <f ca="1">AVERAGE(OFFSET($AM$3,0,0,'Données projet'!$E$10+1,1))-AVERAGE(OFFSET($H$3,0,0,'Données projet'!$E$10+1,1))</f>
        <v>318.40875902853116</v>
      </c>
      <c r="AO176" s="59">
        <f t="shared" si="144"/>
        <v>234.87694492493506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0.14185140155655851</v>
      </c>
      <c r="AV176" s="21">
        <f>EXP(-LN(2)/25)*AV175+(1-EXP(-LN(2)/25))/(LN(2)/25)*Calculateur!AQ176*Calculateur!AS176*VLOOKUP('Données projet'!$B$10,Paramètres!$A$1:$I$89,3,0)*0.475*44/12</f>
        <v>0.21405531849151968</v>
      </c>
      <c r="AW176" s="21">
        <f>EXP(-LN(2)/2)*AW175+(1-EXP(-LN(2)/2))/(LN(2)/2)*AQ176*AT176*VLOOKUP('Données projet'!$B$10,Paramètres!$A$1:$I$89,3,0)*0.475*44/12</f>
        <v>6.4546073014252828E-21</v>
      </c>
      <c r="AX176" s="21">
        <f t="shared" si="166"/>
        <v>0.35590672004807822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-1.2505552149377763E-12</v>
      </c>
      <c r="BE176" s="13">
        <f>BD176*VLOOKUP('Données projet'!$B$11,Paramètres!$A$1:$I$89,3,0)*VLOOKUP('Données projet'!$B$11,Paramètres!$A$1:$I$89,5,0)</f>
        <v>-6.9906036515021697E-13</v>
      </c>
      <c r="BF176" s="13" t="e">
        <f t="shared" si="167"/>
        <v>#NUM!</v>
      </c>
      <c r="BG176" s="20" t="e">
        <f t="shared" si="168"/>
        <v>#NUM!</v>
      </c>
      <c r="BH176" s="59" t="e">
        <f t="shared" si="116"/>
        <v>#NUM!</v>
      </c>
      <c r="BI176" s="59">
        <f ca="1">AVERAGE(OFFSET($BH$3,0,0,'Données projet'!$E$11+1,1))-AVERAGE(OFFSET($H$3,0,0,'Données projet'!$E$11+1,1))</f>
        <v>415.91544298418842</v>
      </c>
      <c r="BJ176" s="59">
        <f t="shared" si="146"/>
        <v>422.79312683312583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0.67257130048368485</v>
      </c>
      <c r="BQ176" s="21">
        <f>EXP(-LN(2)/25)*BQ175+(1-EXP(-LN(2)/25))/(LN(2)/25)*Calculateur!BL176*Calculateur!BN176*VLOOKUP('Données projet'!$B$11,Paramètres!$A$1:$I$89,3,0)*0.475*44/12</f>
        <v>0.73533558549624922</v>
      </c>
      <c r="BR176" s="21">
        <f>EXP(-LN(2)/2)*BR175+(1-EXP(-LN(2)/2))/(LN(2)/2)*BL176*BO176*VLOOKUP('Données projet'!$B$11,Paramètres!$A$1:$I$89,3,0)*0.475*44/12</f>
        <v>1.0922287286848641E-20</v>
      </c>
      <c r="BS176" s="22">
        <f t="shared" si="169"/>
        <v>1.407906885979934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25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154.72079999999988</v>
      </c>
      <c r="D177" s="11">
        <f t="shared" si="140"/>
        <v>39.649461948838557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1500.4020220612092</v>
      </c>
      <c r="H177" s="67">
        <f t="shared" si="110"/>
        <v>631.86153956089356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-2.2737367544323206E-13</v>
      </c>
      <c r="O177" s="13">
        <f>N177*VLOOKUP('Données projet'!$B$9,Paramètres!$A$1:$I$89,3,0)*VLOOKUP('Données projet'!$B$9,Paramètres!$A$1:$I$89,5,0)</f>
        <v>-1.6671037883497774E-13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284.62668108124626</v>
      </c>
      <c r="T177" s="59">
        <f t="shared" si="142"/>
        <v>333.70864452711021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0.16904171788871819</v>
      </c>
      <c r="AA177" s="21">
        <f>EXP(-LN(2)/25)*AA176+(1-EXP(-LN(2)/25))/(LN(2)/25)*Calculateur!V177*Calculateur!X177*VLOOKUP('Données projet'!$B$9,Paramètres!$A$1:$I$89,3,0)*0.475*44/12</f>
        <v>0.35054118408658652</v>
      </c>
      <c r="AB177" s="21">
        <f>EXP(-LN(2)/2)*AB176+(1-EXP(-LN(2)/2))/(LN(2)/2)*V177*Y177*VLOOKUP('Données projet'!$B$9,Paramètres!$A$1:$I$89,3,0)*0.475*44/12</f>
        <v>5.6338242336323468E-21</v>
      </c>
      <c r="AC177" s="22">
        <f t="shared" si="163"/>
        <v>0.51958290197530466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-3.4106051316484809E-13</v>
      </c>
      <c r="AJ177" s="13">
        <f>AI177*VLOOKUP('Données projet'!$B$10,Paramètres!$A$1:$I$89,3,0)*VLOOKUP('Données projet'!$B$10,Paramètres!$A$1:$I$89,5,0)</f>
        <v>-3.0859155231155454E-13</v>
      </c>
      <c r="AK177" s="13" t="e">
        <f t="shared" si="164"/>
        <v>#NUM!</v>
      </c>
      <c r="AL177" s="20" t="e">
        <f t="shared" si="165"/>
        <v>#NUM!</v>
      </c>
      <c r="AM177" s="59" t="e">
        <f t="shared" si="113"/>
        <v>#NUM!</v>
      </c>
      <c r="AN177" s="59">
        <f ca="1">AVERAGE(OFFSET($AM$3,0,0,'Données projet'!$E$10+1,1))-AVERAGE(OFFSET($H$3,0,0,'Données projet'!$E$10+1,1))</f>
        <v>318.40875902853116</v>
      </c>
      <c r="AO177" s="59">
        <f t="shared" si="144"/>
        <v>234.87694492493506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0.13906978209284612</v>
      </c>
      <c r="AV177" s="21">
        <f>EXP(-LN(2)/25)*AV176+(1-EXP(-LN(2)/25))/(LN(2)/25)*Calculateur!AQ177*Calculateur!AS177*VLOOKUP('Données projet'!$B$10,Paramètres!$A$1:$I$89,3,0)*0.475*44/12</f>
        <v>0.20820196455068909</v>
      </c>
      <c r="AW177" s="21">
        <f>EXP(-LN(2)/2)*AW176+(1-EXP(-LN(2)/2))/(LN(2)/2)*AQ177*AT177*VLOOKUP('Données projet'!$B$10,Paramètres!$A$1:$I$89,3,0)*0.475*44/12</f>
        <v>4.5640965927340194E-21</v>
      </c>
      <c r="AX177" s="21">
        <f t="shared" si="166"/>
        <v>0.34727174664353522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-1.2505552149377763E-12</v>
      </c>
      <c r="BE177" s="13">
        <f>BD177*VLOOKUP('Données projet'!$B$11,Paramètres!$A$1:$I$89,3,0)*VLOOKUP('Données projet'!$B$11,Paramètres!$A$1:$I$89,5,0)</f>
        <v>-6.9906036515021697E-13</v>
      </c>
      <c r="BF177" s="13" t="e">
        <f t="shared" si="167"/>
        <v>#NUM!</v>
      </c>
      <c r="BG177" s="20" t="e">
        <f t="shared" si="168"/>
        <v>#NUM!</v>
      </c>
      <c r="BH177" s="59" t="e">
        <f t="shared" si="116"/>
        <v>#NUM!</v>
      </c>
      <c r="BI177" s="59">
        <f ca="1">AVERAGE(OFFSET($BH$3,0,0,'Données projet'!$E$11+1,1))-AVERAGE(OFFSET($H$3,0,0,'Données projet'!$E$11+1,1))</f>
        <v>415.91544298418842</v>
      </c>
      <c r="BJ177" s="59">
        <f t="shared" si="146"/>
        <v>422.79312683312583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0.65938258750918644</v>
      </c>
      <c r="BQ177" s="21">
        <f>EXP(-LN(2)/25)*BQ176+(1-EXP(-LN(2)/25))/(LN(2)/25)*Calculateur!BL177*Calculateur!BN177*VLOOKUP('Données projet'!$B$11,Paramètres!$A$1:$I$89,3,0)*0.475*44/12</f>
        <v>0.71522779524123647</v>
      </c>
      <c r="BR177" s="21">
        <f>EXP(-LN(2)/2)*BR176+(1-EXP(-LN(2)/2))/(LN(2)/2)*BL177*BO177*VLOOKUP('Données projet'!$B$11,Paramètres!$A$1:$I$89,3,0)*0.475*44/12</f>
        <v>7.7232234065982919E-21</v>
      </c>
      <c r="BS177" s="22">
        <f t="shared" si="169"/>
        <v>1.374610382750423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25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155.60999999999987</v>
      </c>
      <c r="D178" s="11">
        <f t="shared" si="140"/>
        <v>39.850741093704151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1508.8197558110487</v>
      </c>
      <c r="H178" s="67">
        <f t="shared" si="110"/>
        <v>633.76079073820119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-2.2737367544323206E-13</v>
      </c>
      <c r="O178" s="13">
        <f>N178*VLOOKUP('Données projet'!$B$9,Paramètres!$A$1:$I$89,3,0)*VLOOKUP('Données projet'!$B$9,Paramètres!$A$1:$I$89,5,0)</f>
        <v>-1.6671037883497774E-13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284.62668108124626</v>
      </c>
      <c r="T178" s="59">
        <f t="shared" si="142"/>
        <v>333.70864452711021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0.16572691290618755</v>
      </c>
      <c r="AA178" s="21">
        <f>EXP(-LN(2)/25)*AA177+(1-EXP(-LN(2)/25))/(LN(2)/25)*Calculateur!V178*Calculateur!X178*VLOOKUP('Données projet'!$B$9,Paramètres!$A$1:$I$89,3,0)*0.475*44/12</f>
        <v>0.34095561697357912</v>
      </c>
      <c r="AB178" s="21">
        <f>EXP(-LN(2)/2)*AB177+(1-EXP(-LN(2)/2))/(LN(2)/2)*V178*Y178*VLOOKUP('Données projet'!$B$9,Paramètres!$A$1:$I$89,3,0)*0.475*44/12</f>
        <v>3.9837153196145366E-21</v>
      </c>
      <c r="AC178" s="22">
        <f t="shared" si="163"/>
        <v>0.5066825298797667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-3.4106051316484809E-13</v>
      </c>
      <c r="AJ178" s="13">
        <f>AI178*VLOOKUP('Données projet'!$B$10,Paramètres!$A$1:$I$89,3,0)*VLOOKUP('Données projet'!$B$10,Paramètres!$A$1:$I$89,5,0)</f>
        <v>-3.0859155231155454E-13</v>
      </c>
      <c r="AK178" s="13" t="e">
        <f t="shared" si="164"/>
        <v>#NUM!</v>
      </c>
      <c r="AL178" s="20" t="e">
        <f t="shared" si="165"/>
        <v>#NUM!</v>
      </c>
      <c r="AM178" s="59" t="e">
        <f t="shared" si="113"/>
        <v>#NUM!</v>
      </c>
      <c r="AN178" s="59">
        <f ca="1">AVERAGE(OFFSET($AM$3,0,0,'Données projet'!$E$10+1,1))-AVERAGE(OFFSET($H$3,0,0,'Données projet'!$E$10+1,1))</f>
        <v>318.40875902853116</v>
      </c>
      <c r="AO178" s="59">
        <f t="shared" si="144"/>
        <v>234.87694492493506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0.13634270849019681</v>
      </c>
      <c r="AV178" s="21">
        <f>EXP(-LN(2)/25)*AV177+(1-EXP(-LN(2)/25))/(LN(2)/25)*Calculateur!AQ178*Calculateur!AS178*VLOOKUP('Données projet'!$B$10,Paramètres!$A$1:$I$89,3,0)*0.475*44/12</f>
        <v>0.20250867088118504</v>
      </c>
      <c r="AW178" s="21">
        <f>EXP(-LN(2)/2)*AW177+(1-EXP(-LN(2)/2))/(LN(2)/2)*AQ178*AT178*VLOOKUP('Données projet'!$B$10,Paramètres!$A$1:$I$89,3,0)*0.475*44/12</f>
        <v>3.2273036507126414E-21</v>
      </c>
      <c r="AX178" s="21">
        <f t="shared" si="166"/>
        <v>0.33885137937138188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-1.2505552149377763E-12</v>
      </c>
      <c r="BE178" s="13">
        <f>BD178*VLOOKUP('Données projet'!$B$11,Paramètres!$A$1:$I$89,3,0)*VLOOKUP('Données projet'!$B$11,Paramètres!$A$1:$I$89,5,0)</f>
        <v>-6.9906036515021697E-13</v>
      </c>
      <c r="BF178" s="13" t="e">
        <f t="shared" si="167"/>
        <v>#NUM!</v>
      </c>
      <c r="BG178" s="20" t="e">
        <f t="shared" si="168"/>
        <v>#NUM!</v>
      </c>
      <c r="BH178" s="59" t="e">
        <f t="shared" si="116"/>
        <v>#NUM!</v>
      </c>
      <c r="BI178" s="59">
        <f ca="1">AVERAGE(OFFSET($BH$3,0,0,'Données projet'!$E$11+1,1))-AVERAGE(OFFSET($H$3,0,0,'Données projet'!$E$11+1,1))</f>
        <v>415.91544298418842</v>
      </c>
      <c r="BJ178" s="59">
        <f t="shared" si="146"/>
        <v>422.79312683312583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0.64645249715179731</v>
      </c>
      <c r="BQ178" s="21">
        <f>EXP(-LN(2)/25)*BQ177+(1-EXP(-LN(2)/25))/(LN(2)/25)*Calculateur!BL178*Calculateur!BN178*VLOOKUP('Données projet'!$B$11,Paramètres!$A$1:$I$89,3,0)*0.475*44/12</f>
        <v>0.69566985356816979</v>
      </c>
      <c r="BR178" s="21">
        <f>EXP(-LN(2)/2)*BR177+(1-EXP(-LN(2)/2))/(LN(2)/2)*BL178*BO178*VLOOKUP('Données projet'!$B$11,Paramètres!$A$1:$I$89,3,0)*0.475*44/12</f>
        <v>5.4611436434243206E-21</v>
      </c>
      <c r="BS178" s="22">
        <f t="shared" si="169"/>
        <v>1.3421223507199671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25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156.49919999999986</v>
      </c>
      <c r="D179" s="11">
        <f t="shared" si="140"/>
        <v>40.051886402928353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1517.2364564436564</v>
      </c>
      <c r="H179" s="67">
        <f t="shared" si="110"/>
        <v>635.65980881843325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-2.2737367544323206E-13</v>
      </c>
      <c r="O179" s="13">
        <f>N179*VLOOKUP('Données projet'!$B$9,Paramètres!$A$1:$I$89,3,0)*VLOOKUP('Données projet'!$B$9,Paramètres!$A$1:$I$89,5,0)</f>
        <v>-1.6671037883497774E-13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284.62668108124626</v>
      </c>
      <c r="T179" s="59">
        <f t="shared" si="142"/>
        <v>333.70864452711021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0.16247710922753292</v>
      </c>
      <c r="AA179" s="21">
        <f>EXP(-LN(2)/25)*AA178+(1-EXP(-LN(2)/25))/(LN(2)/25)*Calculateur!V179*Calculateur!X179*VLOOKUP('Données projet'!$B$9,Paramètres!$A$1:$I$89,3,0)*0.475*44/12</f>
        <v>0.33163216769735998</v>
      </c>
      <c r="AB179" s="21">
        <f>EXP(-LN(2)/2)*AB178+(1-EXP(-LN(2)/2))/(LN(2)/2)*V179*Y179*VLOOKUP('Données projet'!$B$9,Paramètres!$A$1:$I$89,3,0)*0.475*44/12</f>
        <v>2.8169121168161734E-21</v>
      </c>
      <c r="AC179" s="22">
        <f t="shared" si="163"/>
        <v>0.49410927692489293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-3.4106051316484809E-13</v>
      </c>
      <c r="AJ179" s="13">
        <f>AI179*VLOOKUP('Données projet'!$B$10,Paramètres!$A$1:$I$89,3,0)*VLOOKUP('Données projet'!$B$10,Paramètres!$A$1:$I$89,5,0)</f>
        <v>-3.0859155231155454E-13</v>
      </c>
      <c r="AK179" s="13" t="e">
        <f t="shared" si="164"/>
        <v>#NUM!</v>
      </c>
      <c r="AL179" s="20" t="e">
        <f t="shared" si="165"/>
        <v>#NUM!</v>
      </c>
      <c r="AM179" s="59" t="e">
        <f t="shared" si="113"/>
        <v>#NUM!</v>
      </c>
      <c r="AN179" s="59">
        <f ca="1">AVERAGE(OFFSET($AM$3,0,0,'Données projet'!$E$10+1,1))-AVERAGE(OFFSET($H$3,0,0,'Données projet'!$E$10+1,1))</f>
        <v>318.40875902853116</v>
      </c>
      <c r="AO179" s="59">
        <f t="shared" si="144"/>
        <v>234.87694492493506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0.13366911113754479</v>
      </c>
      <c r="AV179" s="21">
        <f>EXP(-LN(2)/25)*AV178+(1-EXP(-LN(2)/25))/(LN(2)/25)*Calculateur!AQ179*Calculateur!AS179*VLOOKUP('Données projet'!$B$10,Paramètres!$A$1:$I$89,3,0)*0.475*44/12</f>
        <v>0.19697106062647088</v>
      </c>
      <c r="AW179" s="21">
        <f>EXP(-LN(2)/2)*AW178+(1-EXP(-LN(2)/2))/(LN(2)/2)*AQ179*AT179*VLOOKUP('Données projet'!$B$10,Paramètres!$A$1:$I$89,3,0)*0.475*44/12</f>
        <v>2.2820482963670097E-21</v>
      </c>
      <c r="AX179" s="21">
        <f t="shared" si="166"/>
        <v>0.33064017176401567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-1.2505552149377763E-12</v>
      </c>
      <c r="BE179" s="13">
        <f>BD179*VLOOKUP('Données projet'!$B$11,Paramètres!$A$1:$I$89,3,0)*VLOOKUP('Données projet'!$B$11,Paramètres!$A$1:$I$89,5,0)</f>
        <v>-6.9906036515021697E-13</v>
      </c>
      <c r="BF179" s="13" t="e">
        <f t="shared" si="167"/>
        <v>#NUM!</v>
      </c>
      <c r="BG179" s="20" t="e">
        <f t="shared" si="168"/>
        <v>#NUM!</v>
      </c>
      <c r="BH179" s="59" t="e">
        <f t="shared" si="116"/>
        <v>#NUM!</v>
      </c>
      <c r="BI179" s="59">
        <f ca="1">AVERAGE(OFFSET($BH$3,0,0,'Données projet'!$E$11+1,1))-AVERAGE(OFFSET($H$3,0,0,'Données projet'!$E$11+1,1))</f>
        <v>415.91544298418842</v>
      </c>
      <c r="BJ179" s="59">
        <f t="shared" si="146"/>
        <v>422.79312683312583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0.63377595797974018</v>
      </c>
      <c r="BQ179" s="21">
        <f>EXP(-LN(2)/25)*BQ178+(1-EXP(-LN(2)/25))/(LN(2)/25)*Calculateur!BL179*Calculateur!BN179*VLOOKUP('Données projet'!$B$11,Paramètres!$A$1:$I$89,3,0)*0.475*44/12</f>
        <v>0.67664672483866062</v>
      </c>
      <c r="BR179" s="21">
        <f>EXP(-LN(2)/2)*BR178+(1-EXP(-LN(2)/2))/(LN(2)/2)*BL179*BO179*VLOOKUP('Données projet'!$B$11,Paramètres!$A$1:$I$89,3,0)*0.475*44/12</f>
        <v>3.861611703299146E-21</v>
      </c>
      <c r="BS179" s="22">
        <f t="shared" si="169"/>
        <v>1.3104226828184009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25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157.38839999999985</v>
      </c>
      <c r="D180" s="11">
        <f t="shared" si="140"/>
        <v>40.252898725183421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1525.6521305101869</v>
      </c>
      <c r="H180" s="67">
        <f t="shared" si="110"/>
        <v>637.55859527969415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-2.2737367544323206E-13</v>
      </c>
      <c r="O180" s="13">
        <f>N180*VLOOKUP('Données projet'!$B$9,Paramètres!$A$1:$I$89,3,0)*VLOOKUP('Données projet'!$B$9,Paramètres!$A$1:$I$89,5,0)</f>
        <v>-1.6671037883497774E-13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284.62668108124626</v>
      </c>
      <c r="T180" s="59">
        <f t="shared" si="142"/>
        <v>333.70864452711021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0.15929103221683219</v>
      </c>
      <c r="AA180" s="21">
        <f>EXP(-LN(2)/25)*AA179+(1-EXP(-LN(2)/25))/(LN(2)/25)*Calculateur!V180*Calculateur!X180*VLOOKUP('Données projet'!$B$9,Paramètres!$A$1:$I$89,3,0)*0.475*44/12</f>
        <v>0.32256366863189795</v>
      </c>
      <c r="AB180" s="21">
        <f>EXP(-LN(2)/2)*AB179+(1-EXP(-LN(2)/2))/(LN(2)/2)*V180*Y180*VLOOKUP('Données projet'!$B$9,Paramètres!$A$1:$I$89,3,0)*0.475*44/12</f>
        <v>1.9918576598072683E-21</v>
      </c>
      <c r="AC180" s="22">
        <f t="shared" si="163"/>
        <v>0.48185470084873017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-3.4106051316484809E-13</v>
      </c>
      <c r="AJ180" s="13">
        <f>AI180*VLOOKUP('Données projet'!$B$10,Paramètres!$A$1:$I$89,3,0)*VLOOKUP('Données projet'!$B$10,Paramètres!$A$1:$I$89,5,0)</f>
        <v>-3.0859155231155454E-13</v>
      </c>
      <c r="AK180" s="13" t="e">
        <f t="shared" si="164"/>
        <v>#NUM!</v>
      </c>
      <c r="AL180" s="20" t="e">
        <f t="shared" si="165"/>
        <v>#NUM!</v>
      </c>
      <c r="AM180" s="59" t="e">
        <f t="shared" si="113"/>
        <v>#NUM!</v>
      </c>
      <c r="AN180" s="59">
        <f ca="1">AVERAGE(OFFSET($AM$3,0,0,'Données projet'!$E$10+1,1))-AVERAGE(OFFSET($H$3,0,0,'Données projet'!$E$10+1,1))</f>
        <v>318.40875902853116</v>
      </c>
      <c r="AO180" s="59">
        <f t="shared" si="144"/>
        <v>234.87694492493506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0.13104794139824491</v>
      </c>
      <c r="AV180" s="21">
        <f>EXP(-LN(2)/25)*AV179+(1-EXP(-LN(2)/25))/(LN(2)/25)*Calculateur!AQ180*Calculateur!AS180*VLOOKUP('Données projet'!$B$10,Paramètres!$A$1:$I$89,3,0)*0.475*44/12</f>
        <v>0.19158487661538215</v>
      </c>
      <c r="AW180" s="21">
        <f>EXP(-LN(2)/2)*AW179+(1-EXP(-LN(2)/2))/(LN(2)/2)*AQ180*AT180*VLOOKUP('Données projet'!$B$10,Paramètres!$A$1:$I$89,3,0)*0.475*44/12</f>
        <v>1.6136518253563207E-21</v>
      </c>
      <c r="AX180" s="21">
        <f t="shared" si="166"/>
        <v>0.32263281801362709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-1.2505552149377763E-12</v>
      </c>
      <c r="BE180" s="13">
        <f>BD180*VLOOKUP('Données projet'!$B$11,Paramètres!$A$1:$I$89,3,0)*VLOOKUP('Données projet'!$B$11,Paramètres!$A$1:$I$89,5,0)</f>
        <v>-6.9906036515021697E-13</v>
      </c>
      <c r="BF180" s="13" t="e">
        <f t="shared" si="167"/>
        <v>#NUM!</v>
      </c>
      <c r="BG180" s="20" t="e">
        <f t="shared" si="168"/>
        <v>#NUM!</v>
      </c>
      <c r="BH180" s="59" t="e">
        <f t="shared" si="116"/>
        <v>#NUM!</v>
      </c>
      <c r="BI180" s="59">
        <f ca="1">AVERAGE(OFFSET($BH$3,0,0,'Données projet'!$E$11+1,1))-AVERAGE(OFFSET($H$3,0,0,'Données projet'!$E$11+1,1))</f>
        <v>415.91544298418842</v>
      </c>
      <c r="BJ180" s="59">
        <f t="shared" si="146"/>
        <v>422.79312683312583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0.62134799800892171</v>
      </c>
      <c r="BQ180" s="21">
        <f>EXP(-LN(2)/25)*BQ179+(1-EXP(-LN(2)/25))/(LN(2)/25)*Calculateur!BL180*Calculateur!BN180*VLOOKUP('Données projet'!$B$11,Paramètres!$A$1:$I$89,3,0)*0.475*44/12</f>
        <v>0.65814378456464273</v>
      </c>
      <c r="BR180" s="21">
        <f>EXP(-LN(2)/2)*BR179+(1-EXP(-LN(2)/2))/(LN(2)/2)*BL180*BO180*VLOOKUP('Données projet'!$B$11,Paramètres!$A$1:$I$89,3,0)*0.475*44/12</f>
        <v>2.7305718217121603E-21</v>
      </c>
      <c r="BS180" s="22">
        <f t="shared" si="169"/>
        <v>1.2794917825735643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25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158.27759999999984</v>
      </c>
      <c r="D181" s="11">
        <f t="shared" si="140"/>
        <v>40.45377889899725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1534.0667844834863</v>
      </c>
      <c r="H181" s="67">
        <f t="shared" si="110"/>
        <v>639.4571515824199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-2.2737367544323206E-13</v>
      </c>
      <c r="O181" s="13">
        <f>N181*VLOOKUP('Données projet'!$B$9,Paramètres!$A$1:$I$89,3,0)*VLOOKUP('Données projet'!$B$9,Paramètres!$A$1:$I$89,5,0)</f>
        <v>-1.6671037883497774E-13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284.62668108124626</v>
      </c>
      <c r="T181" s="59">
        <f t="shared" si="142"/>
        <v>333.70864452711021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0.1561674322329962</v>
      </c>
      <c r="AA181" s="21">
        <f>EXP(-LN(2)/25)*AA180+(1-EXP(-LN(2)/25))/(LN(2)/25)*Calculateur!V181*Calculateur!X181*VLOOKUP('Données projet'!$B$9,Paramètres!$A$1:$I$89,3,0)*0.475*44/12</f>
        <v>0.3137431481502726</v>
      </c>
      <c r="AB181" s="21">
        <f>EXP(-LN(2)/2)*AB180+(1-EXP(-LN(2)/2))/(LN(2)/2)*V181*Y181*VLOOKUP('Données projet'!$B$9,Paramètres!$A$1:$I$89,3,0)*0.475*44/12</f>
        <v>1.4084560584080867E-21</v>
      </c>
      <c r="AC181" s="22">
        <f t="shared" si="163"/>
        <v>0.46991058038326883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-3.4106051316484809E-13</v>
      </c>
      <c r="AJ181" s="13">
        <f>AI181*VLOOKUP('Données projet'!$B$10,Paramètres!$A$1:$I$89,3,0)*VLOOKUP('Données projet'!$B$10,Paramètres!$A$1:$I$89,5,0)</f>
        <v>-3.0859155231155454E-13</v>
      </c>
      <c r="AK181" s="13" t="e">
        <f t="shared" si="164"/>
        <v>#NUM!</v>
      </c>
      <c r="AL181" s="20" t="e">
        <f t="shared" si="165"/>
        <v>#NUM!</v>
      </c>
      <c r="AM181" s="59" t="e">
        <f t="shared" si="113"/>
        <v>#NUM!</v>
      </c>
      <c r="AN181" s="59">
        <f ca="1">AVERAGE(OFFSET($AM$3,0,0,'Données projet'!$E$10+1,1))-AVERAGE(OFFSET($H$3,0,0,'Données projet'!$E$10+1,1))</f>
        <v>318.40875902853116</v>
      </c>
      <c r="AO181" s="59">
        <f t="shared" si="144"/>
        <v>234.87694492493506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0.12847817119877702</v>
      </c>
      <c r="AV181" s="21">
        <f>EXP(-LN(2)/25)*AV180+(1-EXP(-LN(2)/25))/(LN(2)/25)*Calculateur!AQ181*Calculateur!AS181*VLOOKUP('Données projet'!$B$10,Paramètres!$A$1:$I$89,3,0)*0.475*44/12</f>
        <v>0.18634597808932374</v>
      </c>
      <c r="AW181" s="21">
        <f>EXP(-LN(2)/2)*AW180+(1-EXP(-LN(2)/2))/(LN(2)/2)*AQ181*AT181*VLOOKUP('Données projet'!$B$10,Paramètres!$A$1:$I$89,3,0)*0.475*44/12</f>
        <v>1.1410241481835048E-21</v>
      </c>
      <c r="AX181" s="21">
        <f t="shared" si="166"/>
        <v>0.31482414928810076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-1.2505552149377763E-12</v>
      </c>
      <c r="BE181" s="13">
        <f>BD181*VLOOKUP('Données projet'!$B$11,Paramètres!$A$1:$I$89,3,0)*VLOOKUP('Données projet'!$B$11,Paramètres!$A$1:$I$89,5,0)</f>
        <v>-6.9906036515021697E-13</v>
      </c>
      <c r="BF181" s="13" t="e">
        <f t="shared" si="167"/>
        <v>#NUM!</v>
      </c>
      <c r="BG181" s="20" t="e">
        <f t="shared" si="168"/>
        <v>#NUM!</v>
      </c>
      <c r="BH181" s="59" t="e">
        <f t="shared" si="116"/>
        <v>#NUM!</v>
      </c>
      <c r="BI181" s="59">
        <f ca="1">AVERAGE(OFFSET($BH$3,0,0,'Données projet'!$E$11+1,1))-AVERAGE(OFFSET($H$3,0,0,'Données projet'!$E$11+1,1))</f>
        <v>415.91544298418842</v>
      </c>
      <c r="BJ181" s="59">
        <f t="shared" si="146"/>
        <v>422.79312683312583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0.60916374275282392</v>
      </c>
      <c r="BQ181" s="21">
        <f>EXP(-LN(2)/25)*BQ180+(1-EXP(-LN(2)/25))/(LN(2)/25)*Calculateur!BL181*Calculateur!BN181*VLOOKUP('Données projet'!$B$11,Paramètres!$A$1:$I$89,3,0)*0.475*44/12</f>
        <v>0.64014680816544511</v>
      </c>
      <c r="BR181" s="21">
        <f>EXP(-LN(2)/2)*BR180+(1-EXP(-LN(2)/2))/(LN(2)/2)*BL181*BO181*VLOOKUP('Données projet'!$B$11,Paramètres!$A$1:$I$89,3,0)*0.475*44/12</f>
        <v>1.930805851649573E-21</v>
      </c>
      <c r="BS181" s="22">
        <f t="shared" si="169"/>
        <v>1.2493105509182691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25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159.16679999999982</v>
      </c>
      <c r="D182" s="11">
        <f t="shared" si="140"/>
        <v>40.654527752930711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1542.4804247594639</v>
      </c>
      <c r="H182" s="67">
        <f t="shared" si="110"/>
        <v>641.35547916968733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-2.2737367544323206E-13</v>
      </c>
      <c r="O182" s="13">
        <f>N182*VLOOKUP('Données projet'!$B$9,Paramètres!$A$1:$I$89,3,0)*VLOOKUP('Données projet'!$B$9,Paramètres!$A$1:$I$89,5,0)</f>
        <v>-1.6671037883497774E-13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284.62668108124626</v>
      </c>
      <c r="T182" s="59">
        <f t="shared" si="142"/>
        <v>333.70864452711021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0.15310508413963539</v>
      </c>
      <c r="AA182" s="21">
        <f>EXP(-LN(2)/25)*AA181+(1-EXP(-LN(2)/25))/(LN(2)/25)*Calculateur!V182*Calculateur!X182*VLOOKUP('Données projet'!$B$9,Paramètres!$A$1:$I$89,3,0)*0.475*44/12</f>
        <v>0.3051638252650683</v>
      </c>
      <c r="AB182" s="21">
        <f>EXP(-LN(2)/2)*AB181+(1-EXP(-LN(2)/2))/(LN(2)/2)*V182*Y182*VLOOKUP('Données projet'!$B$9,Paramètres!$A$1:$I$89,3,0)*0.475*44/12</f>
        <v>9.9592882990363414E-22</v>
      </c>
      <c r="AC182" s="22">
        <f t="shared" si="163"/>
        <v>0.45826890940470366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-3.4106051316484809E-13</v>
      </c>
      <c r="AJ182" s="13">
        <f>AI182*VLOOKUP('Données projet'!$B$10,Paramètres!$A$1:$I$89,3,0)*VLOOKUP('Données projet'!$B$10,Paramètres!$A$1:$I$89,5,0)</f>
        <v>-3.0859155231155454E-13</v>
      </c>
      <c r="AK182" s="13" t="e">
        <f t="shared" si="164"/>
        <v>#NUM!</v>
      </c>
      <c r="AL182" s="20" t="e">
        <f t="shared" si="165"/>
        <v>#NUM!</v>
      </c>
      <c r="AM182" s="59" t="e">
        <f t="shared" si="113"/>
        <v>#NUM!</v>
      </c>
      <c r="AN182" s="59">
        <f ca="1">AVERAGE(OFFSET($AM$3,0,0,'Données projet'!$E$10+1,1))-AVERAGE(OFFSET($H$3,0,0,'Données projet'!$E$10+1,1))</f>
        <v>318.40875902853116</v>
      </c>
      <c r="AO182" s="59">
        <f t="shared" si="144"/>
        <v>234.87694492493506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0.12595879262551565</v>
      </c>
      <c r="AV182" s="21">
        <f>EXP(-LN(2)/25)*AV181+(1-EXP(-LN(2)/25))/(LN(2)/25)*Calculateur!AQ182*Calculateur!AS182*VLOOKUP('Données projet'!$B$10,Paramètres!$A$1:$I$89,3,0)*0.475*44/12</f>
        <v>0.18125033751896208</v>
      </c>
      <c r="AW182" s="21">
        <f>EXP(-LN(2)/2)*AW181+(1-EXP(-LN(2)/2))/(LN(2)/2)*AQ182*AT182*VLOOKUP('Données projet'!$B$10,Paramètres!$A$1:$I$89,3,0)*0.475*44/12</f>
        <v>8.0682591267816035E-22</v>
      </c>
      <c r="AX182" s="21">
        <f t="shared" si="166"/>
        <v>0.3072091301444777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-1.2505552149377763E-12</v>
      </c>
      <c r="BE182" s="13">
        <f>BD182*VLOOKUP('Données projet'!$B$11,Paramètres!$A$1:$I$89,3,0)*VLOOKUP('Données projet'!$B$11,Paramètres!$A$1:$I$89,5,0)</f>
        <v>-6.9906036515021697E-13</v>
      </c>
      <c r="BF182" s="13" t="e">
        <f t="shared" si="167"/>
        <v>#NUM!</v>
      </c>
      <c r="BG182" s="20" t="e">
        <f t="shared" si="168"/>
        <v>#NUM!</v>
      </c>
      <c r="BH182" s="59" t="e">
        <f t="shared" si="116"/>
        <v>#NUM!</v>
      </c>
      <c r="BI182" s="59">
        <f ca="1">AVERAGE(OFFSET($BH$3,0,0,'Données projet'!$E$11+1,1))-AVERAGE(OFFSET($H$3,0,0,'Données projet'!$E$11+1,1))</f>
        <v>415.91544298418842</v>
      </c>
      <c r="BJ182" s="59">
        <f t="shared" si="146"/>
        <v>422.79312683312583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0.5972184133106363</v>
      </c>
      <c r="BQ182" s="21">
        <f>EXP(-LN(2)/25)*BQ181+(1-EXP(-LN(2)/25))/(LN(2)/25)*Calculateur!BL182*Calculateur!BN182*VLOOKUP('Données projet'!$B$11,Paramètres!$A$1:$I$89,3,0)*0.475*44/12</f>
        <v>0.62264196003230343</v>
      </c>
      <c r="BR182" s="21">
        <f>EXP(-LN(2)/2)*BR181+(1-EXP(-LN(2)/2))/(LN(2)/2)*BL182*BO182*VLOOKUP('Données projet'!$B$11,Paramètres!$A$1:$I$89,3,0)*0.475*44/12</f>
        <v>1.3652859108560802E-21</v>
      </c>
      <c r="BS182" s="22">
        <f t="shared" si="169"/>
        <v>1.2198603733429398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25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160.05599999999981</v>
      </c>
      <c r="D183" s="11">
        <f t="shared" si="140"/>
        <v>40.855146105751388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1550.8930576584305</v>
      </c>
      <c r="H183" s="67">
        <f t="shared" si="110"/>
        <v>643.2535794675166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-2.2737367544323206E-13</v>
      </c>
      <c r="O183" s="13">
        <f>N183*VLOOKUP('Données projet'!$B$9,Paramètres!$A$1:$I$89,3,0)*VLOOKUP('Données projet'!$B$9,Paramètres!$A$1:$I$89,5,0)</f>
        <v>-1.6671037883497774E-13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284.62668108124626</v>
      </c>
      <c r="T183" s="59">
        <f t="shared" si="142"/>
        <v>333.70864452711021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0.15010278682453748</v>
      </c>
      <c r="AA183" s="21">
        <f>EXP(-LN(2)/25)*AA182+(1-EXP(-LN(2)/25))/(LN(2)/25)*Calculateur!V183*Calculateur!X183*VLOOKUP('Données projet'!$B$9,Paramètres!$A$1:$I$89,3,0)*0.475*44/12</f>
        <v>0.29681910441532688</v>
      </c>
      <c r="AB183" s="21">
        <f>EXP(-LN(2)/2)*AB182+(1-EXP(-LN(2)/2))/(LN(2)/2)*V183*Y183*VLOOKUP('Données projet'!$B$9,Paramètres!$A$1:$I$89,3,0)*0.475*44/12</f>
        <v>7.0422802920404335E-22</v>
      </c>
      <c r="AC183" s="22">
        <f t="shared" si="163"/>
        <v>0.44692189123986437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-3.4106051316484809E-13</v>
      </c>
      <c r="AJ183" s="13">
        <f>AI183*VLOOKUP('Données projet'!$B$10,Paramètres!$A$1:$I$89,3,0)*VLOOKUP('Données projet'!$B$10,Paramètres!$A$1:$I$89,5,0)</f>
        <v>-3.0859155231155454E-13</v>
      </c>
      <c r="AK183" s="13" t="e">
        <f t="shared" si="164"/>
        <v>#NUM!</v>
      </c>
      <c r="AL183" s="20" t="e">
        <f t="shared" si="165"/>
        <v>#NUM!</v>
      </c>
      <c r="AM183" s="59" t="e">
        <f t="shared" si="113"/>
        <v>#NUM!</v>
      </c>
      <c r="AN183" s="59">
        <f ca="1">AVERAGE(OFFSET($AM$3,0,0,'Données projet'!$E$10+1,1))-AVERAGE(OFFSET($H$3,0,0,'Données projet'!$E$10+1,1))</f>
        <v>318.40875902853116</v>
      </c>
      <c r="AO183" s="59">
        <f t="shared" si="144"/>
        <v>234.87694492493506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0.12348881752940673</v>
      </c>
      <c r="AV183" s="21">
        <f>EXP(-LN(2)/25)*AV182+(1-EXP(-LN(2)/25))/(LN(2)/25)*Calculateur!AQ183*Calculateur!AS183*VLOOKUP('Données projet'!$B$10,Paramètres!$A$1:$I$89,3,0)*0.475*44/12</f>
        <v>0.17629403750796507</v>
      </c>
      <c r="AW183" s="21">
        <f>EXP(-LN(2)/2)*AW182+(1-EXP(-LN(2)/2))/(LN(2)/2)*AQ183*AT183*VLOOKUP('Données projet'!$B$10,Paramètres!$A$1:$I$89,3,0)*0.475*44/12</f>
        <v>5.7051207409175242E-22</v>
      </c>
      <c r="AX183" s="21">
        <f t="shared" si="166"/>
        <v>0.29978285503737179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-1.2505552149377763E-12</v>
      </c>
      <c r="BE183" s="13">
        <f>BD183*VLOOKUP('Données projet'!$B$11,Paramètres!$A$1:$I$89,3,0)*VLOOKUP('Données projet'!$B$11,Paramètres!$A$1:$I$89,5,0)</f>
        <v>-6.9906036515021697E-13</v>
      </c>
      <c r="BF183" s="13" t="e">
        <f t="shared" si="167"/>
        <v>#NUM!</v>
      </c>
      <c r="BG183" s="20" t="e">
        <f t="shared" si="168"/>
        <v>#NUM!</v>
      </c>
      <c r="BH183" s="59" t="e">
        <f t="shared" si="116"/>
        <v>#NUM!</v>
      </c>
      <c r="BI183" s="59">
        <f ca="1">AVERAGE(OFFSET($BH$3,0,0,'Données projet'!$E$11+1,1))-AVERAGE(OFFSET($H$3,0,0,'Données projet'!$E$11+1,1))</f>
        <v>415.91544298418842</v>
      </c>
      <c r="BJ183" s="59">
        <f t="shared" si="146"/>
        <v>422.79312683312583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0.58550732449287846</v>
      </c>
      <c r="BQ183" s="21">
        <f>EXP(-LN(2)/25)*BQ182+(1-EXP(-LN(2)/25))/(LN(2)/25)*Calculateur!BL183*Calculateur!BN183*VLOOKUP('Données projet'!$B$11,Paramètres!$A$1:$I$89,3,0)*0.475*44/12</f>
        <v>0.60561578289190243</v>
      </c>
      <c r="BR183" s="21">
        <f>EXP(-LN(2)/2)*BR182+(1-EXP(-LN(2)/2))/(LN(2)/2)*BL183*BO183*VLOOKUP('Données projet'!$B$11,Paramètres!$A$1:$I$89,3,0)*0.475*44/12</f>
        <v>9.6540292582478649E-22</v>
      </c>
      <c r="BS183" s="22">
        <f t="shared" si="169"/>
        <v>1.1911231073847808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25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160.9451999999998</v>
      </c>
      <c r="D184" s="11">
        <f t="shared" si="140"/>
        <v>41.055634766602871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1559.3046894264069</v>
      </c>
      <c r="H184" s="67">
        <f t="shared" si="110"/>
        <v>645.15145388516635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-2.2737367544323206E-13</v>
      </c>
      <c r="O184" s="13">
        <f>N184*VLOOKUP('Données projet'!$B$9,Paramètres!$A$1:$I$89,3,0)*VLOOKUP('Données projet'!$B$9,Paramètres!$A$1:$I$89,5,0)</f>
        <v>-1.6671037883497774E-13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284.62668108124626</v>
      </c>
      <c r="T184" s="59">
        <f t="shared" si="142"/>
        <v>333.70864452711021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0.14715936272856808</v>
      </c>
      <c r="AA184" s="21">
        <f>EXP(-LN(2)/25)*AA183+(1-EXP(-LN(2)/25))/(LN(2)/25)*Calculateur!V184*Calculateur!X184*VLOOKUP('Données projet'!$B$9,Paramètres!$A$1:$I$89,3,0)*0.475*44/12</f>
        <v>0.28870257039605146</v>
      </c>
      <c r="AB184" s="21">
        <f>EXP(-LN(2)/2)*AB183+(1-EXP(-LN(2)/2))/(LN(2)/2)*V184*Y184*VLOOKUP('Données projet'!$B$9,Paramètres!$A$1:$I$89,3,0)*0.475*44/12</f>
        <v>4.9796441495181707E-22</v>
      </c>
      <c r="AC184" s="22">
        <f t="shared" si="163"/>
        <v>0.43586193312461952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-3.4106051316484809E-13</v>
      </c>
      <c r="AJ184" s="13">
        <f>AI184*VLOOKUP('Données projet'!$B$10,Paramètres!$A$1:$I$89,3,0)*VLOOKUP('Données projet'!$B$10,Paramètres!$A$1:$I$89,5,0)</f>
        <v>-3.0859155231155454E-13</v>
      </c>
      <c r="AK184" s="13" t="e">
        <f t="shared" si="164"/>
        <v>#NUM!</v>
      </c>
      <c r="AL184" s="20" t="e">
        <f t="shared" si="165"/>
        <v>#NUM!</v>
      </c>
      <c r="AM184" s="59" t="e">
        <f t="shared" si="113"/>
        <v>#NUM!</v>
      </c>
      <c r="AN184" s="59">
        <f ca="1">AVERAGE(OFFSET($AM$3,0,0,'Données projet'!$E$10+1,1))-AVERAGE(OFFSET($H$3,0,0,'Données projet'!$E$10+1,1))</f>
        <v>318.40875902853116</v>
      </c>
      <c r="AO184" s="59">
        <f t="shared" si="144"/>
        <v>234.87694492493506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0.12106727713839645</v>
      </c>
      <c r="AV184" s="21">
        <f>EXP(-LN(2)/25)*AV183+(1-EXP(-LN(2)/25))/(LN(2)/25)*Calculateur!AQ184*Calculateur!AS184*VLOOKUP('Données projet'!$B$10,Paramètres!$A$1:$I$89,3,0)*0.475*44/12</f>
        <v>0.17147326778140926</v>
      </c>
      <c r="AW184" s="21">
        <f>EXP(-LN(2)/2)*AW183+(1-EXP(-LN(2)/2))/(LN(2)/2)*AQ184*AT184*VLOOKUP('Données projet'!$B$10,Paramètres!$A$1:$I$89,3,0)*0.475*44/12</f>
        <v>4.0341295633908017E-22</v>
      </c>
      <c r="AX184" s="21">
        <f t="shared" si="166"/>
        <v>0.29254054491980569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-1.2505552149377763E-12</v>
      </c>
      <c r="BE184" s="13">
        <f>BD184*VLOOKUP('Données projet'!$B$11,Paramètres!$A$1:$I$89,3,0)*VLOOKUP('Données projet'!$B$11,Paramètres!$A$1:$I$89,5,0)</f>
        <v>-6.9906036515021697E-13</v>
      </c>
      <c r="BF184" s="13" t="e">
        <f t="shared" si="167"/>
        <v>#NUM!</v>
      </c>
      <c r="BG184" s="20" t="e">
        <f t="shared" si="168"/>
        <v>#NUM!</v>
      </c>
      <c r="BH184" s="59" t="e">
        <f t="shared" si="116"/>
        <v>#NUM!</v>
      </c>
      <c r="BI184" s="59">
        <f ca="1">AVERAGE(OFFSET($BH$3,0,0,'Données projet'!$E$11+1,1))-AVERAGE(OFFSET($H$3,0,0,'Données projet'!$E$11+1,1))</f>
        <v>415.91544298418842</v>
      </c>
      <c r="BJ184" s="59">
        <f t="shared" si="146"/>
        <v>422.79312683312583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0.57402588298377799</v>
      </c>
      <c r="BQ184" s="21">
        <f>EXP(-LN(2)/25)*BQ183+(1-EXP(-LN(2)/25))/(LN(2)/25)*Calculateur!BL184*Calculateur!BN184*VLOOKUP('Données projet'!$B$11,Paramètres!$A$1:$I$89,3,0)*0.475*44/12</f>
        <v>0.58905518746077346</v>
      </c>
      <c r="BR184" s="21">
        <f>EXP(-LN(2)/2)*BR183+(1-EXP(-LN(2)/2))/(LN(2)/2)*BL184*BO184*VLOOKUP('Données projet'!$B$11,Paramètres!$A$1:$I$89,3,0)*0.475*44/12</f>
        <v>6.8264295542804008E-22</v>
      </c>
      <c r="BS184" s="22">
        <f t="shared" si="169"/>
        <v>1.1630810704445516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25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161.83439999999979</v>
      </c>
      <c r="D185" s="11">
        <f t="shared" si="140"/>
        <v>41.255994535170444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1567.7153262364018</v>
      </c>
      <c r="H185" s="67">
        <f t="shared" si="110"/>
        <v>647.0491038154214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-2.2737367544323206E-13</v>
      </c>
      <c r="O185" s="13">
        <f>N185*VLOOKUP('Données projet'!$B$9,Paramètres!$A$1:$I$89,3,0)*VLOOKUP('Données projet'!$B$9,Paramètres!$A$1:$I$89,5,0)</f>
        <v>-1.6671037883497774E-13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284.62668108124626</v>
      </c>
      <c r="T185" s="59">
        <f t="shared" si="142"/>
        <v>333.70864452711021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0.14427365738380923</v>
      </c>
      <c r="AA185" s="21">
        <f>EXP(-LN(2)/25)*AA184+(1-EXP(-LN(2)/25))/(LN(2)/25)*Calculateur!V185*Calculateur!X185*VLOOKUP('Données projet'!$B$9,Paramètres!$A$1:$I$89,3,0)*0.475*44/12</f>
        <v>0.28080798342636309</v>
      </c>
      <c r="AB185" s="21">
        <f>EXP(-LN(2)/2)*AB184+(1-EXP(-LN(2)/2))/(LN(2)/2)*V185*Y185*VLOOKUP('Données projet'!$B$9,Paramètres!$A$1:$I$89,3,0)*0.475*44/12</f>
        <v>3.5211401460202168E-22</v>
      </c>
      <c r="AC185" s="22">
        <f t="shared" si="163"/>
        <v>0.4250816408101723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-3.4106051316484809E-13</v>
      </c>
      <c r="AJ185" s="13">
        <f>AI185*VLOOKUP('Données projet'!$B$10,Paramètres!$A$1:$I$89,3,0)*VLOOKUP('Données projet'!$B$10,Paramètres!$A$1:$I$89,5,0)</f>
        <v>-3.0859155231155454E-13</v>
      </c>
      <c r="AK185" s="13" t="e">
        <f t="shared" si="164"/>
        <v>#NUM!</v>
      </c>
      <c r="AL185" s="20" t="e">
        <f t="shared" si="165"/>
        <v>#NUM!</v>
      </c>
      <c r="AM185" s="59" t="e">
        <f t="shared" si="113"/>
        <v>#NUM!</v>
      </c>
      <c r="AN185" s="59">
        <f ca="1">AVERAGE(OFFSET($AM$3,0,0,'Données projet'!$E$10+1,1))-AVERAGE(OFFSET($H$3,0,0,'Données projet'!$E$10+1,1))</f>
        <v>318.40875902853116</v>
      </c>
      <c r="AO185" s="59">
        <f t="shared" si="144"/>
        <v>234.87694492493506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0.11869322167746009</v>
      </c>
      <c r="AV185" s="21">
        <f>EXP(-LN(2)/25)*AV184+(1-EXP(-LN(2)/25))/(LN(2)/25)*Calculateur!AQ185*Calculateur!AS185*VLOOKUP('Données projet'!$B$10,Paramètres!$A$1:$I$89,3,0)*0.475*44/12</f>
        <v>0.16678432225653939</v>
      </c>
      <c r="AW185" s="21">
        <f>EXP(-LN(2)/2)*AW184+(1-EXP(-LN(2)/2))/(LN(2)/2)*AQ185*AT185*VLOOKUP('Données projet'!$B$10,Paramètres!$A$1:$I$89,3,0)*0.475*44/12</f>
        <v>2.8525603704587621E-22</v>
      </c>
      <c r="AX185" s="21">
        <f t="shared" si="166"/>
        <v>0.28547754393399949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-1.2505552149377763E-12</v>
      </c>
      <c r="BE185" s="13">
        <f>BD185*VLOOKUP('Données projet'!$B$11,Paramètres!$A$1:$I$89,3,0)*VLOOKUP('Données projet'!$B$11,Paramètres!$A$1:$I$89,5,0)</f>
        <v>-6.9906036515021697E-13</v>
      </c>
      <c r="BF185" s="13" t="e">
        <f t="shared" si="167"/>
        <v>#NUM!</v>
      </c>
      <c r="BG185" s="20" t="e">
        <f t="shared" si="168"/>
        <v>#NUM!</v>
      </c>
      <c r="BH185" s="59" t="e">
        <f t="shared" si="116"/>
        <v>#NUM!</v>
      </c>
      <c r="BI185" s="59">
        <f ca="1">AVERAGE(OFFSET($BH$3,0,0,'Données projet'!$E$11+1,1))-AVERAGE(OFFSET($H$3,0,0,'Données projet'!$E$11+1,1))</f>
        <v>415.91544298418842</v>
      </c>
      <c r="BJ185" s="59">
        <f t="shared" si="146"/>
        <v>422.79312683312583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0.56276958553968315</v>
      </c>
      <c r="BQ185" s="21">
        <f>EXP(-LN(2)/25)*BQ184+(1-EXP(-LN(2)/25))/(LN(2)/25)*Calculateur!BL185*Calculateur!BN185*VLOOKUP('Données projet'!$B$11,Paramètres!$A$1:$I$89,3,0)*0.475*44/12</f>
        <v>0.57294744238259265</v>
      </c>
      <c r="BR185" s="21">
        <f>EXP(-LN(2)/2)*BR184+(1-EXP(-LN(2)/2))/(LN(2)/2)*BL185*BO185*VLOOKUP('Données projet'!$B$11,Paramètres!$A$1:$I$89,3,0)*0.475*44/12</f>
        <v>4.8270146291239325E-22</v>
      </c>
      <c r="BS185" s="22">
        <f t="shared" si="169"/>
        <v>1.1357170279222757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25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162.72359999999978</v>
      </c>
      <c r="D186" s="11">
        <f t="shared" si="140"/>
        <v>41.456226201843137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1576.1249741896645</v>
      </c>
      <c r="H186" s="67">
        <f t="shared" si="110"/>
        <v>648.94653063487635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-2.2737367544323206E-13</v>
      </c>
      <c r="O186" s="13">
        <f>N186*VLOOKUP('Données projet'!$B$9,Paramètres!$A$1:$I$89,3,0)*VLOOKUP('Données projet'!$B$9,Paramètres!$A$1:$I$89,5,0)</f>
        <v>-1.6671037883497774E-13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284.62668108124626</v>
      </c>
      <c r="T186" s="59">
        <f t="shared" si="142"/>
        <v>333.70864452711021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0.14144453896075462</v>
      </c>
      <c r="AA186" s="21">
        <f>EXP(-LN(2)/25)*AA185+(1-EXP(-LN(2)/25))/(LN(2)/25)*Calculateur!V186*Calculateur!X186*VLOOKUP('Données projet'!$B$9,Paramètres!$A$1:$I$89,3,0)*0.475*44/12</f>
        <v>0.27312927435251916</v>
      </c>
      <c r="AB186" s="21">
        <f>EXP(-LN(2)/2)*AB185+(1-EXP(-LN(2)/2))/(LN(2)/2)*V186*Y186*VLOOKUP('Données projet'!$B$9,Paramètres!$A$1:$I$89,3,0)*0.475*44/12</f>
        <v>2.4898220747590854E-22</v>
      </c>
      <c r="AC186" s="22">
        <f t="shared" si="163"/>
        <v>0.41457381331327381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-3.4106051316484809E-13</v>
      </c>
      <c r="AJ186" s="13">
        <f>AI186*VLOOKUP('Données projet'!$B$10,Paramètres!$A$1:$I$89,3,0)*VLOOKUP('Données projet'!$B$10,Paramètres!$A$1:$I$89,5,0)</f>
        <v>-3.0859155231155454E-13</v>
      </c>
      <c r="AK186" s="13" t="e">
        <f t="shared" si="164"/>
        <v>#NUM!</v>
      </c>
      <c r="AL186" s="20" t="e">
        <f t="shared" si="165"/>
        <v>#NUM!</v>
      </c>
      <c r="AM186" s="59" t="e">
        <f t="shared" si="113"/>
        <v>#NUM!</v>
      </c>
      <c r="AN186" s="59">
        <f ca="1">AVERAGE(OFFSET($AM$3,0,0,'Données projet'!$E$10+1,1))-AVERAGE(OFFSET($H$3,0,0,'Données projet'!$E$10+1,1))</f>
        <v>318.40875902853116</v>
      </c>
      <c r="AO186" s="59">
        <f t="shared" si="144"/>
        <v>234.87694492493506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0.11636571999608183</v>
      </c>
      <c r="AV186" s="21">
        <f>EXP(-LN(2)/25)*AV185+(1-EXP(-LN(2)/25))/(LN(2)/25)*Calculateur!AQ186*Calculateur!AS186*VLOOKUP('Données projet'!$B$10,Paramètres!$A$1:$I$89,3,0)*0.475*44/12</f>
        <v>0.162223596193628</v>
      </c>
      <c r="AW186" s="21">
        <f>EXP(-LN(2)/2)*AW185+(1-EXP(-LN(2)/2))/(LN(2)/2)*AQ186*AT186*VLOOKUP('Données projet'!$B$10,Paramètres!$A$1:$I$89,3,0)*0.475*44/12</f>
        <v>2.0170647816954009E-22</v>
      </c>
      <c r="AX186" s="21">
        <f t="shared" si="166"/>
        <v>0.27858931618970983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-1.2505552149377763E-12</v>
      </c>
      <c r="BE186" s="13">
        <f>BD186*VLOOKUP('Données projet'!$B$11,Paramètres!$A$1:$I$89,3,0)*VLOOKUP('Données projet'!$B$11,Paramètres!$A$1:$I$89,5,0)</f>
        <v>-6.9906036515021697E-13</v>
      </c>
      <c r="BF186" s="13" t="e">
        <f t="shared" si="167"/>
        <v>#NUM!</v>
      </c>
      <c r="BG186" s="20" t="e">
        <f t="shared" si="168"/>
        <v>#NUM!</v>
      </c>
      <c r="BH186" s="59" t="e">
        <f t="shared" si="116"/>
        <v>#NUM!</v>
      </c>
      <c r="BI186" s="59">
        <f ca="1">AVERAGE(OFFSET($BH$3,0,0,'Données projet'!$E$11+1,1))-AVERAGE(OFFSET($H$3,0,0,'Données projet'!$E$11+1,1))</f>
        <v>415.91544298418842</v>
      </c>
      <c r="BJ186" s="59">
        <f t="shared" si="146"/>
        <v>422.79312683312583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0.55173401722280346</v>
      </c>
      <c r="BQ186" s="21">
        <f>EXP(-LN(2)/25)*BQ185+(1-EXP(-LN(2)/25))/(LN(2)/25)*Calculateur!BL186*Calculateur!BN186*VLOOKUP('Données projet'!$B$11,Paramètres!$A$1:$I$89,3,0)*0.475*44/12</f>
        <v>0.5572801644406441</v>
      </c>
      <c r="BR186" s="21">
        <f>EXP(-LN(2)/2)*BR185+(1-EXP(-LN(2)/2))/(LN(2)/2)*BL186*BO186*VLOOKUP('Données projet'!$B$11,Paramètres!$A$1:$I$89,3,0)*0.475*44/12</f>
        <v>3.4132147771402004E-22</v>
      </c>
      <c r="BS186" s="22">
        <f t="shared" si="169"/>
        <v>1.1090141816634476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25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163.61279999999977</v>
      </c>
      <c r="D187" s="11">
        <f t="shared" si="140"/>
        <v>41.656330547871768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1584.533639316903</v>
      </c>
      <c r="H187" s="67">
        <f t="shared" si="110"/>
        <v>650.84373570420951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-2.2737367544323206E-13</v>
      </c>
      <c r="O187" s="13">
        <f>N187*VLOOKUP('Données projet'!$B$9,Paramètres!$A$1:$I$89,3,0)*VLOOKUP('Données projet'!$B$9,Paramètres!$A$1:$I$89,5,0)</f>
        <v>-1.6671037883497774E-13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284.62668108124626</v>
      </c>
      <c r="T187" s="59">
        <f t="shared" si="142"/>
        <v>333.70864452711021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0.13867089782438427</v>
      </c>
      <c r="AA187" s="21">
        <f>EXP(-LN(2)/25)*AA186+(1-EXP(-LN(2)/25))/(LN(2)/25)*Calculateur!V187*Calculateur!X187*VLOOKUP('Données projet'!$B$9,Paramètres!$A$1:$I$89,3,0)*0.475*44/12</f>
        <v>0.2656605399821052</v>
      </c>
      <c r="AB187" s="21">
        <f>EXP(-LN(2)/2)*AB186+(1-EXP(-LN(2)/2))/(LN(2)/2)*V187*Y187*VLOOKUP('Données projet'!$B$9,Paramètres!$A$1:$I$89,3,0)*0.475*44/12</f>
        <v>1.7605700730101084E-22</v>
      </c>
      <c r="AC187" s="22">
        <f t="shared" si="163"/>
        <v>0.4043314378064895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-3.4106051316484809E-13</v>
      </c>
      <c r="AJ187" s="13">
        <f>AI187*VLOOKUP('Données projet'!$B$10,Paramètres!$A$1:$I$89,3,0)*VLOOKUP('Données projet'!$B$10,Paramètres!$A$1:$I$89,5,0)</f>
        <v>-3.0859155231155454E-13</v>
      </c>
      <c r="AK187" s="13" t="e">
        <f t="shared" si="164"/>
        <v>#NUM!</v>
      </c>
      <c r="AL187" s="20" t="e">
        <f t="shared" si="165"/>
        <v>#NUM!</v>
      </c>
      <c r="AM187" s="59" t="e">
        <f t="shared" si="113"/>
        <v>#NUM!</v>
      </c>
      <c r="AN187" s="59">
        <f ca="1">AVERAGE(OFFSET($AM$3,0,0,'Données projet'!$E$10+1,1))-AVERAGE(OFFSET($H$3,0,0,'Données projet'!$E$10+1,1))</f>
        <v>318.40875902853116</v>
      </c>
      <c r="AO187" s="59">
        <f t="shared" si="144"/>
        <v>234.87694492493506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0.11408385920303957</v>
      </c>
      <c r="AV187" s="21">
        <f>EXP(-LN(2)/25)*AV186+(1-EXP(-LN(2)/25))/(LN(2)/25)*Calculateur!AQ187*Calculateur!AS187*VLOOKUP('Données projet'!$B$10,Paramètres!$A$1:$I$89,3,0)*0.475*44/12</f>
        <v>0.15778758342474508</v>
      </c>
      <c r="AW187" s="21">
        <f>EXP(-LN(2)/2)*AW186+(1-EXP(-LN(2)/2))/(LN(2)/2)*AQ187*AT187*VLOOKUP('Données projet'!$B$10,Paramètres!$A$1:$I$89,3,0)*0.475*44/12</f>
        <v>1.4262801852293811E-22</v>
      </c>
      <c r="AX187" s="21">
        <f t="shared" si="166"/>
        <v>0.27187144262778462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-1.2505552149377763E-12</v>
      </c>
      <c r="BE187" s="13">
        <f>BD187*VLOOKUP('Données projet'!$B$11,Paramètres!$A$1:$I$89,3,0)*VLOOKUP('Données projet'!$B$11,Paramètres!$A$1:$I$89,5,0)</f>
        <v>-6.9906036515021697E-13</v>
      </c>
      <c r="BF187" s="13" t="e">
        <f t="shared" si="167"/>
        <v>#NUM!</v>
      </c>
      <c r="BG187" s="20" t="e">
        <f t="shared" si="168"/>
        <v>#NUM!</v>
      </c>
      <c r="BH187" s="59" t="e">
        <f t="shared" si="116"/>
        <v>#NUM!</v>
      </c>
      <c r="BI187" s="59">
        <f ca="1">AVERAGE(OFFSET($BH$3,0,0,'Données projet'!$E$11+1,1))-AVERAGE(OFFSET($H$3,0,0,'Données projet'!$E$11+1,1))</f>
        <v>415.91544298418842</v>
      </c>
      <c r="BJ187" s="59">
        <f t="shared" si="146"/>
        <v>422.79312683312583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0.54091484966958581</v>
      </c>
      <c r="BQ187" s="21">
        <f>EXP(-LN(2)/25)*BQ186+(1-EXP(-LN(2)/25))/(LN(2)/25)*Calculateur!BL187*Calculateur!BN187*VLOOKUP('Données projet'!$B$11,Paramètres!$A$1:$I$89,3,0)*0.475*44/12</f>
        <v>0.54204130903792447</v>
      </c>
      <c r="BR187" s="21">
        <f>EXP(-LN(2)/2)*BR186+(1-EXP(-LN(2)/2))/(LN(2)/2)*BL187*BO187*VLOOKUP('Données projet'!$B$11,Paramètres!$A$1:$I$89,3,0)*0.475*44/12</f>
        <v>2.4135073145619662E-22</v>
      </c>
      <c r="BS187" s="22">
        <f t="shared" si="169"/>
        <v>1.0829561587075103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25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164.50199999999975</v>
      </c>
      <c r="D188" s="11">
        <f t="shared" si="140"/>
        <v>41.856308345523843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1592.9413275794805</v>
      </c>
      <c r="H188" s="67">
        <f t="shared" si="110"/>
        <v>652.74072036845359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-2.2737367544323206E-13</v>
      </c>
      <c r="O188" s="13">
        <f>N188*VLOOKUP('Données projet'!$B$9,Paramètres!$A$1:$I$89,3,0)*VLOOKUP('Données projet'!$B$9,Paramètres!$A$1:$I$89,5,0)</f>
        <v>-1.6671037883497774E-13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284.62668108124626</v>
      </c>
      <c r="T188" s="59">
        <f t="shared" si="142"/>
        <v>333.70864452711021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0.13595164609894408</v>
      </c>
      <c r="AA188" s="21">
        <f>EXP(-LN(2)/25)*AA187+(1-EXP(-LN(2)/25))/(LN(2)/25)*Calculateur!V188*Calculateur!X188*VLOOKUP('Données projet'!$B$9,Paramètres!$A$1:$I$89,3,0)*0.475*44/12</f>
        <v>0.25839603854581389</v>
      </c>
      <c r="AB188" s="21">
        <f>EXP(-LN(2)/2)*AB187+(1-EXP(-LN(2)/2))/(LN(2)/2)*V188*Y188*VLOOKUP('Données projet'!$B$9,Paramètres!$A$1:$I$89,3,0)*0.475*44/12</f>
        <v>1.2449110373795427E-22</v>
      </c>
      <c r="AC188" s="22">
        <f t="shared" si="163"/>
        <v>0.394347684644758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-3.4106051316484809E-13</v>
      </c>
      <c r="AJ188" s="13">
        <f>AI188*VLOOKUP('Données projet'!$B$10,Paramètres!$A$1:$I$89,3,0)*VLOOKUP('Données projet'!$B$10,Paramètres!$A$1:$I$89,5,0)</f>
        <v>-3.0859155231155454E-13</v>
      </c>
      <c r="AK188" s="13" t="e">
        <f t="shared" si="164"/>
        <v>#NUM!</v>
      </c>
      <c r="AL188" s="20" t="e">
        <f t="shared" si="165"/>
        <v>#NUM!</v>
      </c>
      <c r="AM188" s="59" t="e">
        <f t="shared" si="113"/>
        <v>#NUM!</v>
      </c>
      <c r="AN188" s="59">
        <f ca="1">AVERAGE(OFFSET($AM$3,0,0,'Données projet'!$E$10+1,1))-AVERAGE(OFFSET($H$3,0,0,'Données projet'!$E$10+1,1))</f>
        <v>318.40875902853116</v>
      </c>
      <c r="AO188" s="59">
        <f t="shared" si="144"/>
        <v>234.87694492493506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0.1118467443083512</v>
      </c>
      <c r="AV188" s="21">
        <f>EXP(-LN(2)/25)*AV187+(1-EXP(-LN(2)/25))/(LN(2)/25)*Calculateur!AQ188*Calculateur!AS188*VLOOKUP('Données projet'!$B$10,Paramètres!$A$1:$I$89,3,0)*0.475*44/12</f>
        <v>0.15347287365830703</v>
      </c>
      <c r="AW188" s="21">
        <f>EXP(-LN(2)/2)*AW187+(1-EXP(-LN(2)/2))/(LN(2)/2)*AQ188*AT188*VLOOKUP('Données projet'!$B$10,Paramètres!$A$1:$I$89,3,0)*0.475*44/12</f>
        <v>1.0085323908477004E-22</v>
      </c>
      <c r="AX188" s="21">
        <f t="shared" si="166"/>
        <v>0.26531961796665826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-1.2505552149377763E-12</v>
      </c>
      <c r="BE188" s="13">
        <f>BD188*VLOOKUP('Données projet'!$B$11,Paramètres!$A$1:$I$89,3,0)*VLOOKUP('Données projet'!$B$11,Paramètres!$A$1:$I$89,5,0)</f>
        <v>-6.9906036515021697E-13</v>
      </c>
      <c r="BF188" s="13" t="e">
        <f t="shared" si="167"/>
        <v>#NUM!</v>
      </c>
      <c r="BG188" s="20" t="e">
        <f t="shared" si="168"/>
        <v>#NUM!</v>
      </c>
      <c r="BH188" s="59" t="e">
        <f t="shared" si="116"/>
        <v>#NUM!</v>
      </c>
      <c r="BI188" s="59">
        <f ca="1">AVERAGE(OFFSET($BH$3,0,0,'Données projet'!$E$11+1,1))-AVERAGE(OFFSET($H$3,0,0,'Données projet'!$E$11+1,1))</f>
        <v>415.91544298418842</v>
      </c>
      <c r="BJ188" s="59">
        <f t="shared" si="146"/>
        <v>422.79312683312583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0.53030783939304604</v>
      </c>
      <c r="BQ188" s="21">
        <f>EXP(-LN(2)/25)*BQ187+(1-EXP(-LN(2)/25))/(LN(2)/25)*Calculateur!BL188*Calculateur!BN188*VLOOKUP('Données projet'!$B$11,Paramètres!$A$1:$I$89,3,0)*0.475*44/12</f>
        <v>0.52721916093756882</v>
      </c>
      <c r="BR188" s="21">
        <f>EXP(-LN(2)/2)*BR187+(1-EXP(-LN(2)/2))/(LN(2)/2)*BL188*BO188*VLOOKUP('Données projet'!$B$11,Paramètres!$A$1:$I$89,3,0)*0.475*44/12</f>
        <v>1.7066073885701002E-22</v>
      </c>
      <c r="BS188" s="22">
        <f t="shared" si="169"/>
        <v>1.057527000330615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25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165.39119999999974</v>
      </c>
      <c r="D189" s="11">
        <f t="shared" si="140"/>
        <v>42.056160358234798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1601.3480448705823</v>
      </c>
      <c r="H189" s="67">
        <f t="shared" si="110"/>
        <v>654.63748595725838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-2.2737367544323206E-13</v>
      </c>
      <c r="O189" s="13">
        <f>N189*VLOOKUP('Données projet'!$B$9,Paramètres!$A$1:$I$89,3,0)*VLOOKUP('Données projet'!$B$9,Paramètres!$A$1:$I$89,5,0)</f>
        <v>-1.6671037883497774E-13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284.62668108124626</v>
      </c>
      <c r="T189" s="59">
        <f t="shared" si="142"/>
        <v>333.70864452711021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0.13328571724126001</v>
      </c>
      <c r="AA189" s="21">
        <f>EXP(-LN(2)/25)*AA188+(1-EXP(-LN(2)/25))/(LN(2)/25)*Calculateur!V189*Calculateur!X189*VLOOKUP('Données projet'!$B$9,Paramètres!$A$1:$I$89,3,0)*0.475*44/12</f>
        <v>0.25133018528332152</v>
      </c>
      <c r="AB189" s="21">
        <f>EXP(-LN(2)/2)*AB188+(1-EXP(-LN(2)/2))/(LN(2)/2)*V189*Y189*VLOOKUP('Données projet'!$B$9,Paramètres!$A$1:$I$89,3,0)*0.475*44/12</f>
        <v>8.8028503650505419E-23</v>
      </c>
      <c r="AC189" s="22">
        <f t="shared" si="163"/>
        <v>0.38461590252458155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-3.4106051316484809E-13</v>
      </c>
      <c r="AJ189" s="13">
        <f>AI189*VLOOKUP('Données projet'!$B$10,Paramètres!$A$1:$I$89,3,0)*VLOOKUP('Données projet'!$B$10,Paramètres!$A$1:$I$89,5,0)</f>
        <v>-3.0859155231155454E-13</v>
      </c>
      <c r="AK189" s="13" t="e">
        <f t="shared" si="164"/>
        <v>#NUM!</v>
      </c>
      <c r="AL189" s="20" t="e">
        <f t="shared" si="165"/>
        <v>#NUM!</v>
      </c>
      <c r="AM189" s="59" t="e">
        <f t="shared" si="113"/>
        <v>#NUM!</v>
      </c>
      <c r="AN189" s="59">
        <f ca="1">AVERAGE(OFFSET($AM$3,0,0,'Données projet'!$E$10+1,1))-AVERAGE(OFFSET($H$3,0,0,'Données projet'!$E$10+1,1))</f>
        <v>318.40875902853116</v>
      </c>
      <c r="AO189" s="59">
        <f t="shared" si="144"/>
        <v>234.87694492493506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0.10965349787224232</v>
      </c>
      <c r="AV189" s="21">
        <f>EXP(-LN(2)/25)*AV188+(1-EXP(-LN(2)/25))/(LN(2)/25)*Calculateur!AQ189*Calculateur!AS189*VLOOKUP('Données projet'!$B$10,Paramètres!$A$1:$I$89,3,0)*0.475*44/12</f>
        <v>0.14927614985733295</v>
      </c>
      <c r="AW189" s="21">
        <f>EXP(-LN(2)/2)*AW188+(1-EXP(-LN(2)/2))/(LN(2)/2)*AQ189*AT189*VLOOKUP('Données projet'!$B$10,Paramètres!$A$1:$I$89,3,0)*0.475*44/12</f>
        <v>7.1314009261469053E-23</v>
      </c>
      <c r="AX189" s="21">
        <f t="shared" si="166"/>
        <v>0.25892964772957527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-1.2505552149377763E-12</v>
      </c>
      <c r="BE189" s="13">
        <f>BD189*VLOOKUP('Données projet'!$B$11,Paramètres!$A$1:$I$89,3,0)*VLOOKUP('Données projet'!$B$11,Paramètres!$A$1:$I$89,5,0)</f>
        <v>-6.9906036515021697E-13</v>
      </c>
      <c r="BF189" s="13" t="e">
        <f t="shared" si="167"/>
        <v>#NUM!</v>
      </c>
      <c r="BG189" s="20" t="e">
        <f t="shared" si="168"/>
        <v>#NUM!</v>
      </c>
      <c r="BH189" s="59" t="e">
        <f t="shared" si="116"/>
        <v>#NUM!</v>
      </c>
      <c r="BI189" s="59">
        <f ca="1">AVERAGE(OFFSET($BH$3,0,0,'Données projet'!$E$11+1,1))-AVERAGE(OFFSET($H$3,0,0,'Données projet'!$E$11+1,1))</f>
        <v>415.91544298418842</v>
      </c>
      <c r="BJ189" s="59">
        <f t="shared" si="146"/>
        <v>422.79312683312583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0.51990882611839184</v>
      </c>
      <c r="BQ189" s="21">
        <f>EXP(-LN(2)/25)*BQ188+(1-EXP(-LN(2)/25))/(LN(2)/25)*Calculateur!BL189*Calculateur!BN189*VLOOKUP('Données projet'!$B$11,Paramètres!$A$1:$I$89,3,0)*0.475*44/12</f>
        <v>0.51280232525648028</v>
      </c>
      <c r="BR189" s="21">
        <f>EXP(-LN(2)/2)*BR188+(1-EXP(-LN(2)/2))/(LN(2)/2)*BL189*BO189*VLOOKUP('Données projet'!$B$11,Paramètres!$A$1:$I$89,3,0)*0.475*44/12</f>
        <v>1.2067536572809831E-22</v>
      </c>
      <c r="BS189" s="22">
        <f t="shared" si="169"/>
        <v>1.0327111513748721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25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166.28039999999973</v>
      </c>
      <c r="D190" s="11">
        <f t="shared" si="140"/>
        <v>42.255887340755834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1609.7537970163587</v>
      </c>
      <c r="H190" s="67">
        <f t="shared" si="110"/>
        <v>656.53403378514918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-2.2737367544323206E-13</v>
      </c>
      <c r="O190" s="13">
        <f>N190*VLOOKUP('Données projet'!$B$9,Paramètres!$A$1:$I$89,3,0)*VLOOKUP('Données projet'!$B$9,Paramètres!$A$1:$I$89,5,0)</f>
        <v>-1.6671037883497774E-13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284.62668108124626</v>
      </c>
      <c r="T190" s="59">
        <f t="shared" si="142"/>
        <v>333.70864452711021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0.13067206562241909</v>
      </c>
      <c r="AA190" s="21">
        <f>EXP(-LN(2)/25)*AA189+(1-EXP(-LN(2)/25))/(LN(2)/25)*Calculateur!V190*Calculateur!X190*VLOOKUP('Données projet'!$B$9,Paramètres!$A$1:$I$89,3,0)*0.475*44/12</f>
        <v>0.24445754814986906</v>
      </c>
      <c r="AB190" s="21">
        <f>EXP(-LN(2)/2)*AB189+(1-EXP(-LN(2)/2))/(LN(2)/2)*V190*Y190*VLOOKUP('Données projet'!$B$9,Paramètres!$A$1:$I$89,3,0)*0.475*44/12</f>
        <v>6.2245551868977134E-23</v>
      </c>
      <c r="AC190" s="22">
        <f t="shared" si="163"/>
        <v>0.37512961377228815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-3.4106051316484809E-13</v>
      </c>
      <c r="AJ190" s="13">
        <f>AI190*VLOOKUP('Données projet'!$B$10,Paramètres!$A$1:$I$89,3,0)*VLOOKUP('Données projet'!$B$10,Paramètres!$A$1:$I$89,5,0)</f>
        <v>-3.0859155231155454E-13</v>
      </c>
      <c r="AK190" s="13" t="e">
        <f t="shared" si="164"/>
        <v>#NUM!</v>
      </c>
      <c r="AL190" s="20" t="e">
        <f t="shared" si="165"/>
        <v>#NUM!</v>
      </c>
      <c r="AM190" s="59" t="e">
        <f t="shared" si="113"/>
        <v>#NUM!</v>
      </c>
      <c r="AN190" s="59">
        <f ca="1">AVERAGE(OFFSET($AM$3,0,0,'Données projet'!$E$10+1,1))-AVERAGE(OFFSET($H$3,0,0,'Données projet'!$E$10+1,1))</f>
        <v>318.40875902853116</v>
      </c>
      <c r="AO190" s="59">
        <f t="shared" si="144"/>
        <v>234.87694492493506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0.1075032596609973</v>
      </c>
      <c r="AV190" s="21">
        <f>EXP(-LN(2)/25)*AV189+(1-EXP(-LN(2)/25))/(LN(2)/25)*Calculateur!AQ190*Calculateur!AS190*VLOOKUP('Données projet'!$B$10,Paramètres!$A$1:$I$89,3,0)*0.475*44/12</f>
        <v>0.14519418568939263</v>
      </c>
      <c r="AW190" s="21">
        <f>EXP(-LN(2)/2)*AW189+(1-EXP(-LN(2)/2))/(LN(2)/2)*AQ190*AT190*VLOOKUP('Données projet'!$B$10,Paramètres!$A$1:$I$89,3,0)*0.475*44/12</f>
        <v>5.0426619542385022E-23</v>
      </c>
      <c r="AX190" s="21">
        <f t="shared" si="166"/>
        <v>0.25269744535038996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-1.2505552149377763E-12</v>
      </c>
      <c r="BE190" s="13">
        <f>BD190*VLOOKUP('Données projet'!$B$11,Paramètres!$A$1:$I$89,3,0)*VLOOKUP('Données projet'!$B$11,Paramètres!$A$1:$I$89,5,0)</f>
        <v>-6.9906036515021697E-13</v>
      </c>
      <c r="BF190" s="13" t="e">
        <f t="shared" si="167"/>
        <v>#NUM!</v>
      </c>
      <c r="BG190" s="20" t="e">
        <f t="shared" si="168"/>
        <v>#NUM!</v>
      </c>
      <c r="BH190" s="59" t="e">
        <f t="shared" si="116"/>
        <v>#NUM!</v>
      </c>
      <c r="BI190" s="59">
        <f ca="1">AVERAGE(OFFSET($BH$3,0,0,'Données projet'!$E$11+1,1))-AVERAGE(OFFSET($H$3,0,0,'Données projet'!$E$11+1,1))</f>
        <v>415.91544298418842</v>
      </c>
      <c r="BJ190" s="59">
        <f t="shared" si="146"/>
        <v>422.79312683312583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0.50971373115128182</v>
      </c>
      <c r="BQ190" s="21">
        <f>EXP(-LN(2)/25)*BQ189+(1-EXP(-LN(2)/25))/(LN(2)/25)*Calculateur!BL190*Calculateur!BN190*VLOOKUP('Données projet'!$B$11,Paramètres!$A$1:$I$89,3,0)*0.475*44/12</f>
        <v>0.49877971870523957</v>
      </c>
      <c r="BR190" s="21">
        <f>EXP(-LN(2)/2)*BR189+(1-EXP(-LN(2)/2))/(LN(2)/2)*BL190*BO190*VLOOKUP('Données projet'!$B$11,Paramètres!$A$1:$I$89,3,0)*0.475*44/12</f>
        <v>8.533036942850501E-23</v>
      </c>
      <c r="BS190" s="22">
        <f t="shared" si="169"/>
        <v>1.0084934498565215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25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167.16959999999972</v>
      </c>
      <c r="D191" s="11">
        <f t="shared" si="140"/>
        <v>42.455490039298816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1618.1585897770412</v>
      </c>
      <c r="H191" s="67">
        <f t="shared" si="110"/>
        <v>658.43036515177823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-2.2737367544323206E-13</v>
      </c>
      <c r="O191" s="13">
        <f>N191*VLOOKUP('Données projet'!$B$9,Paramètres!$A$1:$I$89,3,0)*VLOOKUP('Données projet'!$B$9,Paramètres!$A$1:$I$89,5,0)</f>
        <v>-1.6671037883497774E-13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284.62668108124626</v>
      </c>
      <c r="T191" s="59">
        <f t="shared" si="142"/>
        <v>333.70864452711021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0.12810966611765356</v>
      </c>
      <c r="AA191" s="21">
        <f>EXP(-LN(2)/25)*AA190+(1-EXP(-LN(2)/25))/(LN(2)/25)*Calculateur!V191*Calculateur!X191*VLOOKUP('Données projet'!$B$9,Paramètres!$A$1:$I$89,3,0)*0.475*44/12</f>
        <v>0.23777284364024714</v>
      </c>
      <c r="AB191" s="21">
        <f>EXP(-LN(2)/2)*AB190+(1-EXP(-LN(2)/2))/(LN(2)/2)*V191*Y191*VLOOKUP('Données projet'!$B$9,Paramètres!$A$1:$I$89,3,0)*0.475*44/12</f>
        <v>4.401425182525271E-23</v>
      </c>
      <c r="AC191" s="22">
        <f t="shared" si="163"/>
        <v>0.36588250975790071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-3.4106051316484809E-13</v>
      </c>
      <c r="AJ191" s="13">
        <f>AI191*VLOOKUP('Données projet'!$B$10,Paramètres!$A$1:$I$89,3,0)*VLOOKUP('Données projet'!$B$10,Paramètres!$A$1:$I$89,5,0)</f>
        <v>-3.0859155231155454E-13</v>
      </c>
      <c r="AK191" s="13" t="e">
        <f t="shared" si="164"/>
        <v>#NUM!</v>
      </c>
      <c r="AL191" s="20" t="e">
        <f t="shared" si="165"/>
        <v>#NUM!</v>
      </c>
      <c r="AM191" s="59" t="e">
        <f t="shared" si="113"/>
        <v>#NUM!</v>
      </c>
      <c r="AN191" s="59">
        <f ca="1">AVERAGE(OFFSET($AM$3,0,0,'Données projet'!$E$10+1,1))-AVERAGE(OFFSET($H$3,0,0,'Données projet'!$E$10+1,1))</f>
        <v>318.40875902853116</v>
      </c>
      <c r="AO191" s="59">
        <f t="shared" si="144"/>
        <v>234.87694492493506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0.10539518630955899</v>
      </c>
      <c r="AV191" s="21">
        <f>EXP(-LN(2)/25)*AV190+(1-EXP(-LN(2)/25))/(LN(2)/25)*Calculateur!AQ191*Calculateur!AS191*VLOOKUP('Données projet'!$B$10,Paramètres!$A$1:$I$89,3,0)*0.475*44/12</f>
        <v>0.1412238430462858</v>
      </c>
      <c r="AW191" s="21">
        <f>EXP(-LN(2)/2)*AW190+(1-EXP(-LN(2)/2))/(LN(2)/2)*AQ191*AT191*VLOOKUP('Données projet'!$B$10,Paramètres!$A$1:$I$89,3,0)*0.475*44/12</f>
        <v>3.5657004630734526E-23</v>
      </c>
      <c r="AX191" s="21">
        <f t="shared" si="166"/>
        <v>0.24661902935584479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-1.2505552149377763E-12</v>
      </c>
      <c r="BE191" s="13">
        <f>BD191*VLOOKUP('Données projet'!$B$11,Paramètres!$A$1:$I$89,3,0)*VLOOKUP('Données projet'!$B$11,Paramètres!$A$1:$I$89,5,0)</f>
        <v>-6.9906036515021697E-13</v>
      </c>
      <c r="BF191" s="13" t="e">
        <f t="shared" si="167"/>
        <v>#NUM!</v>
      </c>
      <c r="BG191" s="20" t="e">
        <f t="shared" si="168"/>
        <v>#NUM!</v>
      </c>
      <c r="BH191" s="59" t="e">
        <f t="shared" si="116"/>
        <v>#NUM!</v>
      </c>
      <c r="BI191" s="59">
        <f ca="1">AVERAGE(OFFSET($BH$3,0,0,'Données projet'!$E$11+1,1))-AVERAGE(OFFSET($H$3,0,0,'Données projet'!$E$11+1,1))</f>
        <v>415.91544298418842</v>
      </c>
      <c r="BJ191" s="59">
        <f t="shared" si="146"/>
        <v>422.79312683312583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0.49971855577808288</v>
      </c>
      <c r="BQ191" s="21">
        <f>EXP(-LN(2)/25)*BQ190+(1-EXP(-LN(2)/25))/(LN(2)/25)*Calculateur!BL191*Calculateur!BN191*VLOOKUP('Données projet'!$B$11,Paramètres!$A$1:$I$89,3,0)*0.475*44/12</f>
        <v>0.48514056106755937</v>
      </c>
      <c r="BR191" s="21">
        <f>EXP(-LN(2)/2)*BR190+(1-EXP(-LN(2)/2))/(LN(2)/2)*BL191*BO191*VLOOKUP('Données projet'!$B$11,Paramètres!$A$1:$I$89,3,0)*0.475*44/12</f>
        <v>6.0337682864049156E-23</v>
      </c>
      <c r="BS191" s="22">
        <f t="shared" si="169"/>
        <v>0.9848591168456422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25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168.05879999999971</v>
      </c>
      <c r="D192" s="11">
        <f t="shared" si="140"/>
        <v>42.65496919167748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1626.5624288480346</v>
      </c>
      <c r="H192" s="67">
        <f t="shared" si="110"/>
        <v>660.32648134217106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-2.2737367544323206E-13</v>
      </c>
      <c r="O192" s="13">
        <f>N192*VLOOKUP('Données projet'!$B$9,Paramètres!$A$1:$I$89,3,0)*VLOOKUP('Données projet'!$B$9,Paramètres!$A$1:$I$89,5,0)</f>
        <v>-1.6671037883497774E-13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284.62668108124626</v>
      </c>
      <c r="T192" s="59">
        <f t="shared" si="142"/>
        <v>333.70864452711021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0.12559751370426711</v>
      </c>
      <c r="AA192" s="21">
        <f>EXP(-LN(2)/25)*AA191+(1-EXP(-LN(2)/25))/(LN(2)/25)*Calculateur!V192*Calculateur!X192*VLOOKUP('Données projet'!$B$9,Paramètres!$A$1:$I$89,3,0)*0.475*44/12</f>
        <v>0.23127093272697419</v>
      </c>
      <c r="AB192" s="21">
        <f>EXP(-LN(2)/2)*AB191+(1-EXP(-LN(2)/2))/(LN(2)/2)*V192*Y192*VLOOKUP('Données projet'!$B$9,Paramètres!$A$1:$I$89,3,0)*0.475*44/12</f>
        <v>3.1122775934488567E-23</v>
      </c>
      <c r="AC192" s="22">
        <f t="shared" si="163"/>
        <v>0.35686844643124127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-3.4106051316484809E-13</v>
      </c>
      <c r="AJ192" s="13">
        <f>AI192*VLOOKUP('Données projet'!$B$10,Paramètres!$A$1:$I$89,3,0)*VLOOKUP('Données projet'!$B$10,Paramètres!$A$1:$I$89,5,0)</f>
        <v>-3.0859155231155454E-13</v>
      </c>
      <c r="AK192" s="13" t="e">
        <f t="shared" si="164"/>
        <v>#NUM!</v>
      </c>
      <c r="AL192" s="20" t="e">
        <f t="shared" si="165"/>
        <v>#NUM!</v>
      </c>
      <c r="AM192" s="59" t="e">
        <f t="shared" si="113"/>
        <v>#NUM!</v>
      </c>
      <c r="AN192" s="59">
        <f ca="1">AVERAGE(OFFSET($AM$3,0,0,'Données projet'!$E$10+1,1))-AVERAGE(OFFSET($H$3,0,0,'Données projet'!$E$10+1,1))</f>
        <v>318.40875902853116</v>
      </c>
      <c r="AO192" s="59">
        <f t="shared" si="144"/>
        <v>234.87694492493506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0.1033284509907446</v>
      </c>
      <c r="AV192" s="21">
        <f>EXP(-LN(2)/25)*AV191+(1-EXP(-LN(2)/25))/(LN(2)/25)*Calculateur!AQ192*Calculateur!AS192*VLOOKUP('Données projet'!$B$10,Paramètres!$A$1:$I$89,3,0)*0.475*44/12</f>
        <v>0.13736206963154599</v>
      </c>
      <c r="AW192" s="21">
        <f>EXP(-LN(2)/2)*AW191+(1-EXP(-LN(2)/2))/(LN(2)/2)*AQ192*AT192*VLOOKUP('Données projet'!$B$10,Paramètres!$A$1:$I$89,3,0)*0.475*44/12</f>
        <v>2.5213309771192511E-23</v>
      </c>
      <c r="AX192" s="21">
        <f t="shared" si="166"/>
        <v>0.24069052062229057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-1.2505552149377763E-12</v>
      </c>
      <c r="BE192" s="13">
        <f>BD192*VLOOKUP('Données projet'!$B$11,Paramètres!$A$1:$I$89,3,0)*VLOOKUP('Données projet'!$B$11,Paramètres!$A$1:$I$89,5,0)</f>
        <v>-6.9906036515021697E-13</v>
      </c>
      <c r="BF192" s="13" t="e">
        <f t="shared" si="167"/>
        <v>#NUM!</v>
      </c>
      <c r="BG192" s="20" t="e">
        <f t="shared" si="168"/>
        <v>#NUM!</v>
      </c>
      <c r="BH192" s="59" t="e">
        <f t="shared" si="116"/>
        <v>#NUM!</v>
      </c>
      <c r="BI192" s="59">
        <f ca="1">AVERAGE(OFFSET($BH$3,0,0,'Données projet'!$E$11+1,1))-AVERAGE(OFFSET($H$3,0,0,'Données projet'!$E$11+1,1))</f>
        <v>415.91544298418842</v>
      </c>
      <c r="BJ192" s="59">
        <f t="shared" si="146"/>
        <v>422.79312683312583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0.48991937969749738</v>
      </c>
      <c r="BQ192" s="21">
        <f>EXP(-LN(2)/25)*BQ191+(1-EXP(-LN(2)/25))/(LN(2)/25)*Calculateur!BL192*Calculateur!BN192*VLOOKUP('Données projet'!$B$11,Paramètres!$A$1:$I$89,3,0)*0.475*44/12</f>
        <v>0.47187436691273366</v>
      </c>
      <c r="BR192" s="21">
        <f>EXP(-LN(2)/2)*BR191+(1-EXP(-LN(2)/2))/(LN(2)/2)*BL192*BO192*VLOOKUP('Données projet'!$B$11,Paramètres!$A$1:$I$89,3,0)*0.475*44/12</f>
        <v>4.2665184714252505E-23</v>
      </c>
      <c r="BS192" s="22">
        <f t="shared" si="169"/>
        <v>0.96179374661023109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25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168.94799999999969</v>
      </c>
      <c r="D193" s="11">
        <f t="shared" si="140"/>
        <v>42.8543255274462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1634.965319860986</v>
      </c>
      <c r="H193" s="67">
        <f t="shared" si="110"/>
        <v>662.22238362696817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-2.2737367544323206E-13</v>
      </c>
      <c r="O193" s="13">
        <f>N193*VLOOKUP('Données projet'!$B$9,Paramètres!$A$1:$I$89,3,0)*VLOOKUP('Données projet'!$B$9,Paramètres!$A$1:$I$89,5,0)</f>
        <v>-1.6671037883497774E-13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284.62668108124626</v>
      </c>
      <c r="T193" s="59">
        <f t="shared" si="142"/>
        <v>333.70864452711021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0.12313462306744549</v>
      </c>
      <c r="AA193" s="21">
        <f>EXP(-LN(2)/25)*AA192+(1-EXP(-LN(2)/25))/(LN(2)/25)*Calculateur!V193*Calculateur!X193*VLOOKUP('Données projet'!$B$9,Paramètres!$A$1:$I$89,3,0)*0.475*44/12</f>
        <v>0.22494681690954529</v>
      </c>
      <c r="AB193" s="21">
        <f>EXP(-LN(2)/2)*AB192+(1-EXP(-LN(2)/2))/(LN(2)/2)*V193*Y193*VLOOKUP('Données projet'!$B$9,Paramètres!$A$1:$I$89,3,0)*0.475*44/12</f>
        <v>2.2007125912626355E-23</v>
      </c>
      <c r="AC193" s="22">
        <f t="shared" si="163"/>
        <v>0.34808143997699081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-3.4106051316484809E-13</v>
      </c>
      <c r="AJ193" s="13">
        <f>AI193*VLOOKUP('Données projet'!$B$10,Paramètres!$A$1:$I$89,3,0)*VLOOKUP('Données projet'!$B$10,Paramètres!$A$1:$I$89,5,0)</f>
        <v>-3.0859155231155454E-13</v>
      </c>
      <c r="AK193" s="13" t="e">
        <f t="shared" si="164"/>
        <v>#NUM!</v>
      </c>
      <c r="AL193" s="20" t="e">
        <f t="shared" si="165"/>
        <v>#NUM!</v>
      </c>
      <c r="AM193" s="59" t="e">
        <f t="shared" si="113"/>
        <v>#NUM!</v>
      </c>
      <c r="AN193" s="59">
        <f ca="1">AVERAGE(OFFSET($AM$3,0,0,'Données projet'!$E$10+1,1))-AVERAGE(OFFSET($H$3,0,0,'Données projet'!$E$10+1,1))</f>
        <v>318.40875902853116</v>
      </c>
      <c r="AO193" s="59">
        <f t="shared" si="144"/>
        <v>234.87694492493506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0.10130224309094808</v>
      </c>
      <c r="AV193" s="21">
        <f>EXP(-LN(2)/25)*AV192+(1-EXP(-LN(2)/25))/(LN(2)/25)*Calculateur!AQ193*Calculateur!AS193*VLOOKUP('Données projet'!$B$10,Paramètres!$A$1:$I$89,3,0)*0.475*44/12</f>
        <v>0.13360589661391406</v>
      </c>
      <c r="AW193" s="21">
        <f>EXP(-LN(2)/2)*AW192+(1-EXP(-LN(2)/2))/(LN(2)/2)*AQ193*AT193*VLOOKUP('Données projet'!$B$10,Paramètres!$A$1:$I$89,3,0)*0.475*44/12</f>
        <v>1.7828502315367263E-23</v>
      </c>
      <c r="AX193" s="21">
        <f t="shared" si="166"/>
        <v>0.23490813970486213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-1.2505552149377763E-12</v>
      </c>
      <c r="BE193" s="13">
        <f>BD193*VLOOKUP('Données projet'!$B$11,Paramètres!$A$1:$I$89,3,0)*VLOOKUP('Données projet'!$B$11,Paramètres!$A$1:$I$89,5,0)</f>
        <v>-6.9906036515021697E-13</v>
      </c>
      <c r="BF193" s="13" t="e">
        <f t="shared" si="167"/>
        <v>#NUM!</v>
      </c>
      <c r="BG193" s="20" t="e">
        <f t="shared" si="168"/>
        <v>#NUM!</v>
      </c>
      <c r="BH193" s="59" t="e">
        <f t="shared" si="116"/>
        <v>#NUM!</v>
      </c>
      <c r="BI193" s="59">
        <f ca="1">AVERAGE(OFFSET($BH$3,0,0,'Données projet'!$E$11+1,1))-AVERAGE(OFFSET($H$3,0,0,'Données projet'!$E$11+1,1))</f>
        <v>415.91544298418842</v>
      </c>
      <c r="BJ193" s="59">
        <f t="shared" si="146"/>
        <v>422.79312683312583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0.48031235948294493</v>
      </c>
      <c r="BQ193" s="21">
        <f>EXP(-LN(2)/25)*BQ192+(1-EXP(-LN(2)/25))/(LN(2)/25)*Calculateur!BL193*Calculateur!BN193*VLOOKUP('Données projet'!$B$11,Paramètres!$A$1:$I$89,3,0)*0.475*44/12</f>
        <v>0.45897093753471047</v>
      </c>
      <c r="BR193" s="21">
        <f>EXP(-LN(2)/2)*BR192+(1-EXP(-LN(2)/2))/(LN(2)/2)*BL193*BO193*VLOOKUP('Données projet'!$B$11,Paramètres!$A$1:$I$89,3,0)*0.475*44/12</f>
        <v>3.0168841432024578E-23</v>
      </c>
      <c r="BS193" s="22">
        <f t="shared" si="169"/>
        <v>0.93928329701765545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25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169.83719999999968</v>
      </c>
      <c r="D194" s="11">
        <f t="shared" si="140"/>
        <v>43.053559768035143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1643.3672683848301</v>
      </c>
      <c r="H194" s="67">
        <f t="shared" si="110"/>
        <v>664.11807326266057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-2.2737367544323206E-13</v>
      </c>
      <c r="O194" s="13">
        <f>N194*VLOOKUP('Données projet'!$B$9,Paramètres!$A$1:$I$89,3,0)*VLOOKUP('Données projet'!$B$9,Paramètres!$A$1:$I$89,5,0)</f>
        <v>-1.6671037883497774E-13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284.62668108124626</v>
      </c>
      <c r="T194" s="59">
        <f t="shared" si="142"/>
        <v>333.70864452711021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0.12072002821379699</v>
      </c>
      <c r="AA194" s="21">
        <f>EXP(-LN(2)/25)*AA193+(1-EXP(-LN(2)/25))/(LN(2)/25)*Calculateur!V194*Calculateur!X194*VLOOKUP('Données projet'!$B$9,Paramètres!$A$1:$I$89,3,0)*0.475*44/12</f>
        <v>0.21879563437171479</v>
      </c>
      <c r="AB194" s="21">
        <f>EXP(-LN(2)/2)*AB193+(1-EXP(-LN(2)/2))/(LN(2)/2)*V194*Y194*VLOOKUP('Données projet'!$B$9,Paramètres!$A$1:$I$89,3,0)*0.475*44/12</f>
        <v>1.5561387967244283E-23</v>
      </c>
      <c r="AC194" s="22">
        <f t="shared" si="163"/>
        <v>0.3395156625855118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-3.4106051316484809E-13</v>
      </c>
      <c r="AJ194" s="13">
        <f>AI194*VLOOKUP('Données projet'!$B$10,Paramètres!$A$1:$I$89,3,0)*VLOOKUP('Données projet'!$B$10,Paramètres!$A$1:$I$89,5,0)</f>
        <v>-3.0859155231155454E-13</v>
      </c>
      <c r="AK194" s="13" t="e">
        <f t="shared" si="164"/>
        <v>#NUM!</v>
      </c>
      <c r="AL194" s="20" t="e">
        <f t="shared" si="165"/>
        <v>#NUM!</v>
      </c>
      <c r="AM194" s="59" t="e">
        <f t="shared" si="113"/>
        <v>#NUM!</v>
      </c>
      <c r="AN194" s="59">
        <f ca="1">AVERAGE(OFFSET($AM$3,0,0,'Données projet'!$E$10+1,1))-AVERAGE(OFFSET($H$3,0,0,'Données projet'!$E$10+1,1))</f>
        <v>318.40875902853116</v>
      </c>
      <c r="AO194" s="59">
        <f t="shared" si="144"/>
        <v>234.87694492493506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9.9315767892201798E-2</v>
      </c>
      <c r="AV194" s="21">
        <f>EXP(-LN(2)/25)*AV193+(1-EXP(-LN(2)/25))/(LN(2)/25)*Calculateur!AQ194*Calculateur!AS194*VLOOKUP('Données projet'!$B$10,Paramètres!$A$1:$I$89,3,0)*0.475*44/12</f>
        <v>0.12995243634497783</v>
      </c>
      <c r="AW194" s="21">
        <f>EXP(-LN(2)/2)*AW193+(1-EXP(-LN(2)/2))/(LN(2)/2)*AQ194*AT194*VLOOKUP('Données projet'!$B$10,Paramètres!$A$1:$I$89,3,0)*0.475*44/12</f>
        <v>1.2606654885596255E-23</v>
      </c>
      <c r="AX194" s="21">
        <f t="shared" si="166"/>
        <v>0.22926820423717964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-1.2505552149377763E-12</v>
      </c>
      <c r="BE194" s="13">
        <f>BD194*VLOOKUP('Données projet'!$B$11,Paramètres!$A$1:$I$89,3,0)*VLOOKUP('Données projet'!$B$11,Paramètres!$A$1:$I$89,5,0)</f>
        <v>-6.9906036515021697E-13</v>
      </c>
      <c r="BF194" s="13" t="e">
        <f t="shared" si="167"/>
        <v>#NUM!</v>
      </c>
      <c r="BG194" s="20" t="e">
        <f t="shared" si="168"/>
        <v>#NUM!</v>
      </c>
      <c r="BH194" s="59" t="e">
        <f t="shared" si="116"/>
        <v>#NUM!</v>
      </c>
      <c r="BI194" s="59">
        <f ca="1">AVERAGE(OFFSET($BH$3,0,0,'Données projet'!$E$11+1,1))-AVERAGE(OFFSET($H$3,0,0,'Données projet'!$E$11+1,1))</f>
        <v>415.91544298418842</v>
      </c>
      <c r="BJ194" s="59">
        <f t="shared" si="146"/>
        <v>422.79312683312583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0.47089372707509608</v>
      </c>
      <c r="BQ194" s="21">
        <f>EXP(-LN(2)/25)*BQ193+(1-EXP(-LN(2)/25))/(LN(2)/25)*Calculateur!BL194*Calculateur!BN194*VLOOKUP('Données projet'!$B$11,Paramètres!$A$1:$I$89,3,0)*0.475*44/12</f>
        <v>0.44642035311159117</v>
      </c>
      <c r="BR194" s="21">
        <f>EXP(-LN(2)/2)*BR193+(1-EXP(-LN(2)/2))/(LN(2)/2)*BL194*BO194*VLOOKUP('Données projet'!$B$11,Paramètres!$A$1:$I$89,3,0)*0.475*44/12</f>
        <v>2.1332592357126253E-23</v>
      </c>
      <c r="BS194" s="22">
        <f t="shared" si="169"/>
        <v>0.91731408018668725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25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170.72639999999967</v>
      </c>
      <c r="D195" s="11">
        <f t="shared" si="140"/>
        <v>43.252672626882983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1651.7682799268139</v>
      </c>
      <c r="H195" s="67">
        <f t="shared" si="110"/>
        <v>666.01355149182064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-2.2737367544323206E-13</v>
      </c>
      <c r="O195" s="13">
        <f>N195*VLOOKUP('Données projet'!$B$9,Paramètres!$A$1:$I$89,3,0)*VLOOKUP('Données projet'!$B$9,Paramètres!$A$1:$I$89,5,0)</f>
        <v>-1.6671037883497774E-13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284.62668108124626</v>
      </c>
      <c r="T195" s="59">
        <f t="shared" si="142"/>
        <v>333.70864452711021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0.11835278209247109</v>
      </c>
      <c r="AA195" s="21">
        <f>EXP(-LN(2)/25)*AA194+(1-EXP(-LN(2)/25))/(LN(2)/25)*Calculateur!V195*Calculateur!X195*VLOOKUP('Données projet'!$B$9,Paramètres!$A$1:$I$89,3,0)*0.475*44/12</f>
        <v>0.2128126562438579</v>
      </c>
      <c r="AB195" s="21">
        <f>EXP(-LN(2)/2)*AB194+(1-EXP(-LN(2)/2))/(LN(2)/2)*V195*Y195*VLOOKUP('Données projet'!$B$9,Paramètres!$A$1:$I$89,3,0)*0.475*44/12</f>
        <v>1.1003562956313177E-23</v>
      </c>
      <c r="AC195" s="22">
        <f t="shared" si="163"/>
        <v>0.331165438336329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-3.4106051316484809E-13</v>
      </c>
      <c r="AJ195" s="13">
        <f>AI195*VLOOKUP('Données projet'!$B$10,Paramètres!$A$1:$I$89,3,0)*VLOOKUP('Données projet'!$B$10,Paramètres!$A$1:$I$89,5,0)</f>
        <v>-3.0859155231155454E-13</v>
      </c>
      <c r="AK195" s="13" t="e">
        <f t="shared" si="164"/>
        <v>#NUM!</v>
      </c>
      <c r="AL195" s="20" t="e">
        <f t="shared" si="165"/>
        <v>#NUM!</v>
      </c>
      <c r="AM195" s="59" t="e">
        <f t="shared" si="113"/>
        <v>#NUM!</v>
      </c>
      <c r="AN195" s="59">
        <f ca="1">AVERAGE(OFFSET($AM$3,0,0,'Données projet'!$E$10+1,1))-AVERAGE(OFFSET($H$3,0,0,'Données projet'!$E$10+1,1))</f>
        <v>318.40875902853116</v>
      </c>
      <c r="AO195" s="59">
        <f t="shared" si="144"/>
        <v>234.87694492493506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9.7368246260472691E-2</v>
      </c>
      <c r="AV195" s="21">
        <f>EXP(-LN(2)/25)*AV194+(1-EXP(-LN(2)/25))/(LN(2)/25)*Calculateur!AQ195*Calculateur!AS195*VLOOKUP('Données projet'!$B$10,Paramètres!$A$1:$I$89,3,0)*0.475*44/12</f>
        <v>0.12639888013922279</v>
      </c>
      <c r="AW195" s="21">
        <f>EXP(-LN(2)/2)*AW194+(1-EXP(-LN(2)/2))/(LN(2)/2)*AQ195*AT195*VLOOKUP('Données projet'!$B$10,Paramètres!$A$1:$I$89,3,0)*0.475*44/12</f>
        <v>8.9142511576836316E-24</v>
      </c>
      <c r="AX195" s="21">
        <f t="shared" si="166"/>
        <v>0.22376712639969548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-1.2505552149377763E-12</v>
      </c>
      <c r="BE195" s="13">
        <f>BD195*VLOOKUP('Données projet'!$B$11,Paramètres!$A$1:$I$89,3,0)*VLOOKUP('Données projet'!$B$11,Paramètres!$A$1:$I$89,5,0)</f>
        <v>-6.9906036515021697E-13</v>
      </c>
      <c r="BF195" s="13" t="e">
        <f t="shared" si="167"/>
        <v>#NUM!</v>
      </c>
      <c r="BG195" s="20" t="e">
        <f t="shared" si="168"/>
        <v>#NUM!</v>
      </c>
      <c r="BH195" s="59" t="e">
        <f t="shared" si="116"/>
        <v>#NUM!</v>
      </c>
      <c r="BI195" s="59">
        <f ca="1">AVERAGE(OFFSET($BH$3,0,0,'Données projet'!$E$11+1,1))-AVERAGE(OFFSET($H$3,0,0,'Données projet'!$E$11+1,1))</f>
        <v>415.91544298418842</v>
      </c>
      <c r="BJ195" s="59">
        <f t="shared" si="146"/>
        <v>422.79312683312583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0.46165978830396665</v>
      </c>
      <c r="BQ195" s="21">
        <f>EXP(-LN(2)/25)*BQ194+(1-EXP(-LN(2)/25))/(LN(2)/25)*Calculateur!BL195*Calculateur!BN195*VLOOKUP('Données projet'!$B$11,Paramètres!$A$1:$I$89,3,0)*0.475*44/12</f>
        <v>0.43421296507952867</v>
      </c>
      <c r="BR195" s="21">
        <f>EXP(-LN(2)/2)*BR194+(1-EXP(-LN(2)/2))/(LN(2)/2)*BL195*BO195*VLOOKUP('Données projet'!$B$11,Paramètres!$A$1:$I$89,3,0)*0.475*44/12</f>
        <v>1.5084420716012289E-23</v>
      </c>
      <c r="BS195" s="22">
        <f t="shared" si="169"/>
        <v>0.89587275338349537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25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171.61559999999966</v>
      </c>
      <c r="D196" s="11">
        <f t="shared" si="140"/>
        <v>43.451664809566452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1660.1683599334929</v>
      </c>
      <c r="H196" s="67">
        <f t="shared" ref="H196:H203" si="192">(B196+E196+F196)*44/12+(C196+D196)*0.475*44/12</f>
        <v>667.90881954332758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-2.2737367544323206E-13</v>
      </c>
      <c r="O196" s="13">
        <f>N196*VLOOKUP('Données projet'!$B$9,Paramètres!$A$1:$I$89,3,0)*VLOOKUP('Données projet'!$B$9,Paramètres!$A$1:$I$89,5,0)</f>
        <v>-1.6671037883497774E-13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284.62668108124626</v>
      </c>
      <c r="T196" s="59">
        <f t="shared" si="142"/>
        <v>333.70864452711021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0.11603195622370682</v>
      </c>
      <c r="AA196" s="21">
        <f>EXP(-LN(2)/25)*AA195+(1-EXP(-LN(2)/25))/(LN(2)/25)*Calculateur!V196*Calculateur!X196*VLOOKUP('Données projet'!$B$9,Paramètres!$A$1:$I$89,3,0)*0.475*44/12</f>
        <v>0.20699328296753841</v>
      </c>
      <c r="AB196" s="21">
        <f>EXP(-LN(2)/2)*AB195+(1-EXP(-LN(2)/2))/(LN(2)/2)*V196*Y196*VLOOKUP('Données projet'!$B$9,Paramètres!$A$1:$I$89,3,0)*0.475*44/12</f>
        <v>7.7806939836221417E-24</v>
      </c>
      <c r="AC196" s="22">
        <f t="shared" si="163"/>
        <v>0.32302523919124526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-3.4106051316484809E-13</v>
      </c>
      <c r="AJ196" s="13">
        <f>AI196*VLOOKUP('Données projet'!$B$10,Paramètres!$A$1:$I$89,3,0)*VLOOKUP('Données projet'!$B$10,Paramètres!$A$1:$I$89,5,0)</f>
        <v>-3.0859155231155454E-13</v>
      </c>
      <c r="AK196" s="13" t="e">
        <f t="shared" si="164"/>
        <v>#NUM!</v>
      </c>
      <c r="AL196" s="20" t="e">
        <f t="shared" si="165"/>
        <v>#NUM!</v>
      </c>
      <c r="AM196" s="59" t="e">
        <f t="shared" ref="AM196:AM203" si="193">AL196+(AD196+AE196)*44/12</f>
        <v>#NUM!</v>
      </c>
      <c r="AN196" s="59">
        <f ca="1">AVERAGE(OFFSET($AM$3,0,0,'Données projet'!$E$10+1,1))-AVERAGE(OFFSET($H$3,0,0,'Données projet'!$E$10+1,1))</f>
        <v>318.40875902853116</v>
      </c>
      <c r="AO196" s="59">
        <f t="shared" si="144"/>
        <v>234.87694492493506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9.545891434007088E-2</v>
      </c>
      <c r="AV196" s="21">
        <f>EXP(-LN(2)/25)*AV195+(1-EXP(-LN(2)/25))/(LN(2)/25)*Calculateur!AQ196*Calculateur!AS196*VLOOKUP('Données projet'!$B$10,Paramètres!$A$1:$I$89,3,0)*0.475*44/12</f>
        <v>0.12294249611478753</v>
      </c>
      <c r="AW196" s="21">
        <f>EXP(-LN(2)/2)*AW195+(1-EXP(-LN(2)/2))/(LN(2)/2)*AQ196*AT196*VLOOKUP('Données projet'!$B$10,Paramètres!$A$1:$I$89,3,0)*0.475*44/12</f>
        <v>6.3033274427981277E-24</v>
      </c>
      <c r="AX196" s="21">
        <f t="shared" si="166"/>
        <v>0.21840141045485839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-1.2505552149377763E-12</v>
      </c>
      <c r="BE196" s="13">
        <f>BD196*VLOOKUP('Données projet'!$B$11,Paramètres!$A$1:$I$89,3,0)*VLOOKUP('Données projet'!$B$11,Paramètres!$A$1:$I$89,5,0)</f>
        <v>-6.9906036515021697E-13</v>
      </c>
      <c r="BF196" s="13" t="e">
        <f t="shared" si="167"/>
        <v>#NUM!</v>
      </c>
      <c r="BG196" s="20" t="e">
        <f t="shared" si="168"/>
        <v>#NUM!</v>
      </c>
      <c r="BH196" s="59" t="e">
        <f t="shared" ref="BH196:BH203" si="194">BG196+(AY196+AZ196)*44/12</f>
        <v>#NUM!</v>
      </c>
      <c r="BI196" s="59">
        <f ca="1">AVERAGE(OFFSET($BH$3,0,0,'Données projet'!$E$11+1,1))-AVERAGE(OFFSET($H$3,0,0,'Données projet'!$E$11+1,1))</f>
        <v>415.91544298418842</v>
      </c>
      <c r="BJ196" s="59">
        <f t="shared" si="146"/>
        <v>422.79312683312583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0.45260692143999254</v>
      </c>
      <c r="BQ196" s="21">
        <f>EXP(-LN(2)/25)*BQ195+(1-EXP(-LN(2)/25))/(LN(2)/25)*Calculateur!BL196*Calculateur!BN196*VLOOKUP('Données projet'!$B$11,Paramètres!$A$1:$I$89,3,0)*0.475*44/12</f>
        <v>0.42233938871516152</v>
      </c>
      <c r="BR196" s="21">
        <f>EXP(-LN(2)/2)*BR195+(1-EXP(-LN(2)/2))/(LN(2)/2)*BL196*BO196*VLOOKUP('Données projet'!$B$11,Paramètres!$A$1:$I$89,3,0)*0.475*44/12</f>
        <v>1.0666296178563126E-23</v>
      </c>
      <c r="BS196" s="22">
        <f t="shared" si="169"/>
        <v>0.87494631015515401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25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172.50479999999965</v>
      </c>
      <c r="D197" s="11">
        <f t="shared" ref="D197:D203" si="202">IFERROR(EXP(-1.0587+0.8836*LN(C197)+0.284),0)</f>
        <v>43.650537013927277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1668.5675137917167</v>
      </c>
      <c r="H197" s="67">
        <f t="shared" si="192"/>
        <v>669.80387863258932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-2.2737367544323206E-13</v>
      </c>
      <c r="O197" s="13">
        <f>N197*VLOOKUP('Données projet'!$B$9,Paramètres!$A$1:$I$89,3,0)*VLOOKUP('Données projet'!$B$9,Paramètres!$A$1:$I$89,5,0)</f>
        <v>-1.6671037883497774E-13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284.62668108124626</v>
      </c>
      <c r="T197" s="59">
        <f t="shared" ref="T197:T203" si="204">$T$3</f>
        <v>333.70864452711021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0.11375664033466502</v>
      </c>
      <c r="AA197" s="21">
        <f>EXP(-LN(2)/25)*AA196+(1-EXP(-LN(2)/25))/(LN(2)/25)*Calculateur!V197*Calculateur!X197*VLOOKUP('Données projet'!$B$9,Paramètres!$A$1:$I$89,3,0)*0.475*44/12</f>
        <v>0.20133304075948741</v>
      </c>
      <c r="AB197" s="21">
        <f>EXP(-LN(2)/2)*AB196+(1-EXP(-LN(2)/2))/(LN(2)/2)*V197*Y197*VLOOKUP('Données projet'!$B$9,Paramètres!$A$1:$I$89,3,0)*0.475*44/12</f>
        <v>5.5017814781565887E-24</v>
      </c>
      <c r="AC197" s="22">
        <f t="shared" si="163"/>
        <v>0.31508968109415242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-3.4106051316484809E-13</v>
      </c>
      <c r="AJ197" s="13">
        <f>AI197*VLOOKUP('Données projet'!$B$10,Paramètres!$A$1:$I$89,3,0)*VLOOKUP('Données projet'!$B$10,Paramètres!$A$1:$I$89,5,0)</f>
        <v>-3.0859155231155454E-13</v>
      </c>
      <c r="AK197" s="13" t="e">
        <f t="shared" si="164"/>
        <v>#NUM!</v>
      </c>
      <c r="AL197" s="20" t="e">
        <f t="shared" si="165"/>
        <v>#NUM!</v>
      </c>
      <c r="AM197" s="59" t="e">
        <f t="shared" si="193"/>
        <v>#NUM!</v>
      </c>
      <c r="AN197" s="59">
        <f ca="1">AVERAGE(OFFSET($AM$3,0,0,'Données projet'!$E$10+1,1))-AVERAGE(OFFSET($H$3,0,0,'Données projet'!$E$10+1,1))</f>
        <v>318.40875902853116</v>
      </c>
      <c r="AO197" s="59">
        <f t="shared" ref="AO197:AO203" si="205">$AO$3</f>
        <v>234.87694492493506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9.3587023254050675E-2</v>
      </c>
      <c r="AV197" s="21">
        <f>EXP(-LN(2)/25)*AV196+(1-EXP(-LN(2)/25))/(LN(2)/25)*Calculateur!AQ197*Calculateur!AS197*VLOOKUP('Données projet'!$B$10,Paramètres!$A$1:$I$89,3,0)*0.475*44/12</f>
        <v>0.11958062709326378</v>
      </c>
      <c r="AW197" s="21">
        <f>EXP(-LN(2)/2)*AW196+(1-EXP(-LN(2)/2))/(LN(2)/2)*AQ197*AT197*VLOOKUP('Données projet'!$B$10,Paramètres!$A$1:$I$89,3,0)*0.475*44/12</f>
        <v>4.4571255788418158E-24</v>
      </c>
      <c r="AX197" s="21">
        <f t="shared" si="166"/>
        <v>0.21316765034731444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-1.2505552149377763E-12</v>
      </c>
      <c r="BE197" s="13">
        <f>BD197*VLOOKUP('Données projet'!$B$11,Paramètres!$A$1:$I$89,3,0)*VLOOKUP('Données projet'!$B$11,Paramètres!$A$1:$I$89,5,0)</f>
        <v>-6.9906036515021697E-13</v>
      </c>
      <c r="BF197" s="13" t="e">
        <f t="shared" si="167"/>
        <v>#NUM!</v>
      </c>
      <c r="BG197" s="20" t="e">
        <f t="shared" si="168"/>
        <v>#NUM!</v>
      </c>
      <c r="BH197" s="59" t="e">
        <f t="shared" si="194"/>
        <v>#NUM!</v>
      </c>
      <c r="BI197" s="59">
        <f ca="1">AVERAGE(OFFSET($BH$3,0,0,'Données projet'!$E$11+1,1))-AVERAGE(OFFSET($H$3,0,0,'Données projet'!$E$11+1,1))</f>
        <v>415.91544298418842</v>
      </c>
      <c r="BJ197" s="59">
        <f t="shared" ref="BJ197:BJ203" si="206">$BJ$3</f>
        <v>422.79312683312583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0.44373157577351741</v>
      </c>
      <c r="BQ197" s="21">
        <f>EXP(-LN(2)/25)*BQ196+(1-EXP(-LN(2)/25))/(LN(2)/25)*Calculateur!BL197*Calculateur!BN197*VLOOKUP('Données projet'!$B$11,Paramètres!$A$1:$I$89,3,0)*0.475*44/12</f>
        <v>0.41079049592088224</v>
      </c>
      <c r="BR197" s="21">
        <f>EXP(-LN(2)/2)*BR196+(1-EXP(-LN(2)/2))/(LN(2)/2)*BL197*BO197*VLOOKUP('Données projet'!$B$11,Paramètres!$A$1:$I$89,3,0)*0.475*44/12</f>
        <v>7.5422103580061445E-24</v>
      </c>
      <c r="BS197" s="22">
        <f t="shared" si="169"/>
        <v>0.85452207169439964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25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173.39399999999964</v>
      </c>
      <c r="D198" s="11">
        <f t="shared" si="202"/>
        <v>43.849289930196555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1676.9657468295848</v>
      </c>
      <c r="H198" s="67">
        <f t="shared" si="192"/>
        <v>671.69872996175832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-2.2737367544323206E-13</v>
      </c>
      <c r="O198" s="13">
        <f>N198*VLOOKUP('Données projet'!$B$9,Paramètres!$A$1:$I$89,3,0)*VLOOKUP('Données projet'!$B$9,Paramètres!$A$1:$I$89,5,0)</f>
        <v>-1.6671037883497774E-13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284.62668108124626</v>
      </c>
      <c r="T198" s="59">
        <f t="shared" si="204"/>
        <v>333.70864452711021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0.11152594200240168</v>
      </c>
      <c r="AA198" s="21">
        <f>EXP(-LN(2)/25)*AA197+(1-EXP(-LN(2)/25))/(LN(2)/25)*Calculateur!V198*Calculateur!X198*VLOOKUP('Données projet'!$B$9,Paramètres!$A$1:$I$89,3,0)*0.475*44/12</f>
        <v>0.19582757817227475</v>
      </c>
      <c r="AB198" s="21">
        <f>EXP(-LN(2)/2)*AB197+(1-EXP(-LN(2)/2))/(LN(2)/2)*V198*Y198*VLOOKUP('Données projet'!$B$9,Paramètres!$A$1:$I$89,3,0)*0.475*44/12</f>
        <v>3.8903469918110709E-24</v>
      </c>
      <c r="AC198" s="22">
        <f t="shared" si="163"/>
        <v>0.30735352017467643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-3.4106051316484809E-13</v>
      </c>
      <c r="AJ198" s="13">
        <f>AI198*VLOOKUP('Données projet'!$B$10,Paramètres!$A$1:$I$89,3,0)*VLOOKUP('Données projet'!$B$10,Paramètres!$A$1:$I$89,5,0)</f>
        <v>-3.0859155231155454E-13</v>
      </c>
      <c r="AK198" s="13" t="e">
        <f t="shared" si="164"/>
        <v>#NUM!</v>
      </c>
      <c r="AL198" s="20" t="e">
        <f t="shared" si="165"/>
        <v>#NUM!</v>
      </c>
      <c r="AM198" s="59" t="e">
        <f t="shared" si="193"/>
        <v>#NUM!</v>
      </c>
      <c r="AN198" s="59">
        <f ca="1">AVERAGE(OFFSET($AM$3,0,0,'Données projet'!$E$10+1,1))-AVERAGE(OFFSET($H$3,0,0,'Données projet'!$E$10+1,1))</f>
        <v>318.40875902853116</v>
      </c>
      <c r="AO198" s="59">
        <f t="shared" si="205"/>
        <v>234.87694492493506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9.17518388104865E-2</v>
      </c>
      <c r="AV198" s="21">
        <f>EXP(-LN(2)/25)*AV197+(1-EXP(-LN(2)/25))/(LN(2)/25)*Calculateur!AQ198*Calculateur!AS198*VLOOKUP('Données projet'!$B$10,Paramètres!$A$1:$I$89,3,0)*0.475*44/12</f>
        <v>0.11631068855692661</v>
      </c>
      <c r="AW198" s="21">
        <f>EXP(-LN(2)/2)*AW197+(1-EXP(-LN(2)/2))/(LN(2)/2)*AQ198*AT198*VLOOKUP('Données projet'!$B$10,Paramètres!$A$1:$I$89,3,0)*0.475*44/12</f>
        <v>3.1516637213990639E-24</v>
      </c>
      <c r="AX198" s="21">
        <f t="shared" si="166"/>
        <v>0.2080625273674131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-1.2505552149377763E-12</v>
      </c>
      <c r="BE198" s="13">
        <f>BD198*VLOOKUP('Données projet'!$B$11,Paramètres!$A$1:$I$89,3,0)*VLOOKUP('Données projet'!$B$11,Paramètres!$A$1:$I$89,5,0)</f>
        <v>-6.9906036515021697E-13</v>
      </c>
      <c r="BF198" s="13" t="e">
        <f t="shared" si="167"/>
        <v>#NUM!</v>
      </c>
      <c r="BG198" s="20" t="e">
        <f t="shared" si="168"/>
        <v>#NUM!</v>
      </c>
      <c r="BH198" s="59" t="e">
        <f t="shared" si="194"/>
        <v>#NUM!</v>
      </c>
      <c r="BI198" s="59">
        <f ca="1">AVERAGE(OFFSET($BH$3,0,0,'Données projet'!$E$11+1,1))-AVERAGE(OFFSET($H$3,0,0,'Données projet'!$E$11+1,1))</f>
        <v>415.91544298418842</v>
      </c>
      <c r="BJ198" s="59">
        <f t="shared" si="206"/>
        <v>422.79312683312583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0.43503027022213553</v>
      </c>
      <c r="BQ198" s="21">
        <f>EXP(-LN(2)/25)*BQ197+(1-EXP(-LN(2)/25))/(LN(2)/25)*Calculateur!BL198*Calculateur!BN198*VLOOKUP('Données projet'!$B$11,Paramètres!$A$1:$I$89,3,0)*0.475*44/12</f>
        <v>0.39955740820739238</v>
      </c>
      <c r="BR198" s="21">
        <f>EXP(-LN(2)/2)*BR197+(1-EXP(-LN(2)/2))/(LN(2)/2)*BL198*BO198*VLOOKUP('Données projet'!$B$11,Paramètres!$A$1:$I$89,3,0)*0.475*44/12</f>
        <v>5.3331480892815631E-24</v>
      </c>
      <c r="BS198" s="22">
        <f t="shared" si="169"/>
        <v>0.83458767842952786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25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174.28319999999962</v>
      </c>
      <c r="D199" s="11">
        <f t="shared" si="202"/>
        <v>44.047924241116036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1685.3630643173844</v>
      </c>
      <c r="H199" s="67">
        <f t="shared" si="192"/>
        <v>673.59337471994309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-2.2737367544323206E-13</v>
      </c>
      <c r="O199" s="13">
        <f>N199*VLOOKUP('Données projet'!$B$9,Paramètres!$A$1:$I$89,3,0)*VLOOKUP('Données projet'!$B$9,Paramètres!$A$1:$I$89,5,0)</f>
        <v>-1.6671037883497774E-13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284.62668108124626</v>
      </c>
      <c r="T199" s="59">
        <f t="shared" si="204"/>
        <v>333.70864452711021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0.10933898630384238</v>
      </c>
      <c r="AA199" s="21">
        <f>EXP(-LN(2)/25)*AA198+(1-EXP(-LN(2)/25))/(LN(2)/25)*Calculateur!V199*Calculateur!X199*VLOOKUP('Données projet'!$B$9,Paramètres!$A$1:$I$89,3,0)*0.475*44/12</f>
        <v>0.19047266274902913</v>
      </c>
      <c r="AB199" s="21">
        <f>EXP(-LN(2)/2)*AB198+(1-EXP(-LN(2)/2))/(LN(2)/2)*V199*Y199*VLOOKUP('Données projet'!$B$9,Paramètres!$A$1:$I$89,3,0)*0.475*44/12</f>
        <v>2.7508907390782943E-24</v>
      </c>
      <c r="AC199" s="22">
        <f t="shared" si="163"/>
        <v>0.2998116490528715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-3.4106051316484809E-13</v>
      </c>
      <c r="AJ199" s="13">
        <f>AI199*VLOOKUP('Données projet'!$B$10,Paramètres!$A$1:$I$89,3,0)*VLOOKUP('Données projet'!$B$10,Paramètres!$A$1:$I$89,5,0)</f>
        <v>-3.0859155231155454E-13</v>
      </c>
      <c r="AK199" s="13" t="e">
        <f t="shared" si="164"/>
        <v>#NUM!</v>
      </c>
      <c r="AL199" s="20" t="e">
        <f t="shared" si="165"/>
        <v>#NUM!</v>
      </c>
      <c r="AM199" s="59" t="e">
        <f t="shared" si="193"/>
        <v>#NUM!</v>
      </c>
      <c r="AN199" s="59">
        <f ca="1">AVERAGE(OFFSET($AM$3,0,0,'Données projet'!$E$10+1,1))-AVERAGE(OFFSET($H$3,0,0,'Données projet'!$E$10+1,1))</f>
        <v>318.40875902853116</v>
      </c>
      <c r="AO199" s="59">
        <f t="shared" si="205"/>
        <v>234.87694492493506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8.9952641214508633E-2</v>
      </c>
      <c r="AV199" s="21">
        <f>EXP(-LN(2)/25)*AV198+(1-EXP(-LN(2)/25))/(LN(2)/25)*Calculateur!AQ199*Calculateur!AS199*VLOOKUP('Données projet'!$B$10,Paramètres!$A$1:$I$89,3,0)*0.475*44/12</f>
        <v>0.11313016666182417</v>
      </c>
      <c r="AW199" s="21">
        <f>EXP(-LN(2)/2)*AW198+(1-EXP(-LN(2)/2))/(LN(2)/2)*AQ199*AT199*VLOOKUP('Données projet'!$B$10,Paramètres!$A$1:$I$89,3,0)*0.475*44/12</f>
        <v>2.2285627894209079E-24</v>
      </c>
      <c r="AX199" s="21">
        <f t="shared" si="166"/>
        <v>0.20308280787633282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-1.2505552149377763E-12</v>
      </c>
      <c r="BE199" s="13">
        <f>BD199*VLOOKUP('Données projet'!$B$11,Paramètres!$A$1:$I$89,3,0)*VLOOKUP('Données projet'!$B$11,Paramètres!$A$1:$I$89,5,0)</f>
        <v>-6.9906036515021697E-13</v>
      </c>
      <c r="BF199" s="13" t="e">
        <f t="shared" si="167"/>
        <v>#NUM!</v>
      </c>
      <c r="BG199" s="20" t="e">
        <f t="shared" si="168"/>
        <v>#NUM!</v>
      </c>
      <c r="BH199" s="59" t="e">
        <f t="shared" si="194"/>
        <v>#NUM!</v>
      </c>
      <c r="BI199" s="59">
        <f ca="1">AVERAGE(OFFSET($BH$3,0,0,'Données projet'!$E$11+1,1))-AVERAGE(OFFSET($H$3,0,0,'Données projet'!$E$11+1,1))</f>
        <v>415.91544298418842</v>
      </c>
      <c r="BJ199" s="59">
        <f t="shared" si="206"/>
        <v>422.79312683312583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0.42649959196534393</v>
      </c>
      <c r="BQ199" s="21">
        <f>EXP(-LN(2)/25)*BQ198+(1-EXP(-LN(2)/25))/(LN(2)/25)*Calculateur!BL199*Calculateur!BN199*VLOOKUP('Données projet'!$B$11,Paramètres!$A$1:$I$89,3,0)*0.475*44/12</f>
        <v>0.38863148986815033</v>
      </c>
      <c r="BR199" s="21">
        <f>EXP(-LN(2)/2)*BR198+(1-EXP(-LN(2)/2))/(LN(2)/2)*BL199*BO199*VLOOKUP('Données projet'!$B$11,Paramètres!$A$1:$I$89,3,0)*0.475*44/12</f>
        <v>3.7711051790030722E-24</v>
      </c>
      <c r="BS199" s="22">
        <f t="shared" si="169"/>
        <v>0.81513108183349425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25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175.17239999999961</v>
      </c>
      <c r="D200" s="11">
        <f t="shared" si="202"/>
        <v>44.246440622057428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1693.7594714685104</v>
      </c>
      <c r="H200" s="67">
        <f t="shared" si="192"/>
        <v>675.48781408341597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-2.2737367544323206E-13</v>
      </c>
      <c r="O200" s="13">
        <f>N200*VLOOKUP('Données projet'!$B$9,Paramètres!$A$1:$I$89,3,0)*VLOOKUP('Données projet'!$B$9,Paramètres!$A$1:$I$89,5,0)</f>
        <v>-1.6671037883497774E-13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284.62668108124626</v>
      </c>
      <c r="T200" s="59">
        <f t="shared" si="204"/>
        <v>333.70864452711021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0.10719491547262057</v>
      </c>
      <c r="AA200" s="21">
        <f>EXP(-LN(2)/25)*AA199+(1-EXP(-LN(2)/25))/(LN(2)/25)*Calculateur!V200*Calculateur!X200*VLOOKUP('Données projet'!$B$9,Paramètres!$A$1:$I$89,3,0)*0.475*44/12</f>
        <v>0.18526417776963491</v>
      </c>
      <c r="AB200" s="21">
        <f>EXP(-LN(2)/2)*AB199+(1-EXP(-LN(2)/2))/(LN(2)/2)*V200*Y200*VLOOKUP('Données projet'!$B$9,Paramètres!$A$1:$I$89,3,0)*0.475*44/12</f>
        <v>1.9451734959055354E-24</v>
      </c>
      <c r="AC200" s="22">
        <f t="shared" si="163"/>
        <v>0.2924590932422555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-3.4106051316484809E-13</v>
      </c>
      <c r="AJ200" s="13">
        <f>AI200*VLOOKUP('Données projet'!$B$10,Paramètres!$A$1:$I$89,3,0)*VLOOKUP('Données projet'!$B$10,Paramètres!$A$1:$I$89,5,0)</f>
        <v>-3.0859155231155454E-13</v>
      </c>
      <c r="AK200" s="13" t="e">
        <f t="shared" si="164"/>
        <v>#NUM!</v>
      </c>
      <c r="AL200" s="20" t="e">
        <f t="shared" si="165"/>
        <v>#NUM!</v>
      </c>
      <c r="AM200" s="59" t="e">
        <f t="shared" si="193"/>
        <v>#NUM!</v>
      </c>
      <c r="AN200" s="59">
        <f ca="1">AVERAGE(OFFSET($AM$3,0,0,'Données projet'!$E$10+1,1))-AVERAGE(OFFSET($H$3,0,0,'Données projet'!$E$10+1,1))</f>
        <v>318.40875902853116</v>
      </c>
      <c r="AO200" s="59">
        <f t="shared" si="205"/>
        <v>234.87694492493506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8.8188724785985717E-2</v>
      </c>
      <c r="AV200" s="21">
        <f>EXP(-LN(2)/25)*AV199+(1-EXP(-LN(2)/25))/(LN(2)/25)*Calculateur!AQ200*Calculateur!AS200*VLOOKUP('Données projet'!$B$10,Paramètres!$A$1:$I$89,3,0)*0.475*44/12</f>
        <v>0.11003661630519969</v>
      </c>
      <c r="AW200" s="21">
        <f>EXP(-LN(2)/2)*AW199+(1-EXP(-LN(2)/2))/(LN(2)/2)*AQ200*AT200*VLOOKUP('Données projet'!$B$10,Paramètres!$A$1:$I$89,3,0)*0.475*44/12</f>
        <v>1.5758318606995319E-24</v>
      </c>
      <c r="AX200" s="21">
        <f t="shared" si="166"/>
        <v>0.19822534109118539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-1.2505552149377763E-12</v>
      </c>
      <c r="BE200" s="13">
        <f>BD200*VLOOKUP('Données projet'!$B$11,Paramètres!$A$1:$I$89,3,0)*VLOOKUP('Données projet'!$B$11,Paramètres!$A$1:$I$89,5,0)</f>
        <v>-6.9906036515021697E-13</v>
      </c>
      <c r="BF200" s="13" t="e">
        <f t="shared" si="167"/>
        <v>#NUM!</v>
      </c>
      <c r="BG200" s="20" t="e">
        <f t="shared" si="168"/>
        <v>#NUM!</v>
      </c>
      <c r="BH200" s="59" t="e">
        <f t="shared" si="194"/>
        <v>#NUM!</v>
      </c>
      <c r="BI200" s="59">
        <f ca="1">AVERAGE(OFFSET($BH$3,0,0,'Données projet'!$E$11+1,1))-AVERAGE(OFFSET($H$3,0,0,'Données projet'!$E$11+1,1))</f>
        <v>415.91544298418842</v>
      </c>
      <c r="BJ200" s="59">
        <f t="shared" si="206"/>
        <v>422.79312683312583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0.41813619510596806</v>
      </c>
      <c r="BQ200" s="21">
        <f>EXP(-LN(2)/25)*BQ199+(1-EXP(-LN(2)/25))/(LN(2)/25)*Calculateur!BL200*Calculateur!BN200*VLOOKUP('Données projet'!$B$11,Paramètres!$A$1:$I$89,3,0)*0.475*44/12</f>
        <v>0.37800434134046396</v>
      </c>
      <c r="BR200" s="21">
        <f>EXP(-LN(2)/2)*BR199+(1-EXP(-LN(2)/2))/(LN(2)/2)*BL200*BO200*VLOOKUP('Données projet'!$B$11,Paramètres!$A$1:$I$89,3,0)*0.475*44/12</f>
        <v>2.6665740446407816E-24</v>
      </c>
      <c r="BS200" s="22">
        <f t="shared" si="169"/>
        <v>0.79614053644643201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25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176.0615999999996</v>
      </c>
      <c r="D201" s="11">
        <f t="shared" si="202"/>
        <v>44.44483974113885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1702.154973440367</v>
      </c>
      <c r="H201" s="67">
        <f t="shared" si="192"/>
        <v>677.3820492158161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-2.2737367544323206E-13</v>
      </c>
      <c r="O201" s="13">
        <f>N201*VLOOKUP('Données projet'!$B$9,Paramètres!$A$1:$I$89,3,0)*VLOOKUP('Données projet'!$B$9,Paramètres!$A$1:$I$89,5,0)</f>
        <v>-1.6671037883497774E-13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284.62668108124626</v>
      </c>
      <c r="T201" s="59">
        <f t="shared" si="204"/>
        <v>333.70864452711021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0.10509288856264494</v>
      </c>
      <c r="AA201" s="21">
        <f>EXP(-LN(2)/25)*AA200+(1-EXP(-LN(2)/25))/(LN(2)/25)*Calculateur!V201*Calculateur!X201*VLOOKUP('Données projet'!$B$9,Paramètres!$A$1:$I$89,3,0)*0.475*44/12</f>
        <v>0.18019811908590455</v>
      </c>
      <c r="AB201" s="21">
        <f>EXP(-LN(2)/2)*AB200+(1-EXP(-LN(2)/2))/(LN(2)/2)*V201*Y201*VLOOKUP('Données projet'!$B$9,Paramètres!$A$1:$I$89,3,0)*0.475*44/12</f>
        <v>1.3754453695391472E-24</v>
      </c>
      <c r="AC201" s="22">
        <f t="shared" si="163"/>
        <v>0.28529100764854948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-3.4106051316484809E-13</v>
      </c>
      <c r="AJ201" s="13">
        <f>AI201*VLOOKUP('Données projet'!$B$10,Paramètres!$A$1:$I$89,3,0)*VLOOKUP('Données projet'!$B$10,Paramètres!$A$1:$I$89,5,0)</f>
        <v>-3.0859155231155454E-13</v>
      </c>
      <c r="AK201" s="13" t="e">
        <f t="shared" si="164"/>
        <v>#NUM!</v>
      </c>
      <c r="AL201" s="20" t="e">
        <f t="shared" si="165"/>
        <v>#NUM!</v>
      </c>
      <c r="AM201" s="59" t="e">
        <f t="shared" si="193"/>
        <v>#NUM!</v>
      </c>
      <c r="AN201" s="59">
        <f ca="1">AVERAGE(OFFSET($AM$3,0,0,'Données projet'!$E$10+1,1))-AVERAGE(OFFSET($H$3,0,0,'Données projet'!$E$10+1,1))</f>
        <v>318.40875902853116</v>
      </c>
      <c r="AO201" s="59">
        <f t="shared" si="205"/>
        <v>234.87694492493506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8.6459397682743355E-2</v>
      </c>
      <c r="AV201" s="21">
        <f>EXP(-LN(2)/25)*AV200+(1-EXP(-LN(2)/25))/(LN(2)/25)*Calculateur!AQ201*Calculateur!AS201*VLOOKUP('Données projet'!$B$10,Paramètres!$A$1:$I$89,3,0)*0.475*44/12</f>
        <v>0.10702765924575984</v>
      </c>
      <c r="AW201" s="21">
        <f>EXP(-LN(2)/2)*AW200+(1-EXP(-LN(2)/2))/(LN(2)/2)*AQ201*AT201*VLOOKUP('Données projet'!$B$10,Paramètres!$A$1:$I$89,3,0)*0.475*44/12</f>
        <v>1.1142813947104539E-24</v>
      </c>
      <c r="AX201" s="21">
        <f t="shared" si="166"/>
        <v>0.19348705692850321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-1.2505552149377763E-12</v>
      </c>
      <c r="BE201" s="13">
        <f>BD201*VLOOKUP('Données projet'!$B$11,Paramètres!$A$1:$I$89,3,0)*VLOOKUP('Données projet'!$B$11,Paramètres!$A$1:$I$89,5,0)</f>
        <v>-6.9906036515021697E-13</v>
      </c>
      <c r="BF201" s="13" t="e">
        <f t="shared" si="167"/>
        <v>#NUM!</v>
      </c>
      <c r="BG201" s="20" t="e">
        <f t="shared" si="168"/>
        <v>#NUM!</v>
      </c>
      <c r="BH201" s="59" t="e">
        <f t="shared" si="194"/>
        <v>#NUM!</v>
      </c>
      <c r="BI201" s="59">
        <f ca="1">AVERAGE(OFFSET($BH$3,0,0,'Données projet'!$E$11+1,1))-AVERAGE(OFFSET($H$3,0,0,'Données projet'!$E$11+1,1))</f>
        <v>415.91544298418842</v>
      </c>
      <c r="BJ201" s="59">
        <f t="shared" si="206"/>
        <v>422.79312683312583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0.40993679935783611</v>
      </c>
      <c r="BQ201" s="21">
        <f>EXP(-LN(2)/25)*BQ200+(1-EXP(-LN(2)/25))/(LN(2)/25)*Calculateur!BL201*Calculateur!BN201*VLOOKUP('Données projet'!$B$11,Paramètres!$A$1:$I$89,3,0)*0.475*44/12</f>
        <v>0.36766779274812461</v>
      </c>
      <c r="BR201" s="21">
        <f>EXP(-LN(2)/2)*BR200+(1-EXP(-LN(2)/2))/(LN(2)/2)*BL201*BO201*VLOOKUP('Données projet'!$B$11,Paramètres!$A$1:$I$89,3,0)*0.475*44/12</f>
        <v>1.8855525895015361E-24</v>
      </c>
      <c r="BS201" s="22">
        <f t="shared" si="169"/>
        <v>0.77760459210596067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25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176.95079999999959</v>
      </c>
      <c r="D202" s="11">
        <f t="shared" si="202"/>
        <v>44.643122259339037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1710.5495753352454</v>
      </c>
      <c r="H202" s="67">
        <f t="shared" si="192"/>
        <v>679.27608126834809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-2.2737367544323206E-13</v>
      </c>
      <c r="O202" s="13">
        <f>N202*VLOOKUP('Données projet'!$B$9,Paramètres!$A$1:$I$89,3,0)*VLOOKUP('Données projet'!$B$9,Paramètres!$A$1:$I$89,5,0)</f>
        <v>-1.6671037883497774E-13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284.62668108124626</v>
      </c>
      <c r="T202" s="59">
        <f t="shared" si="204"/>
        <v>333.70864452711021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0.10303208111826412</v>
      </c>
      <c r="AA202" s="21">
        <f>EXP(-LN(2)/25)*AA201+(1-EXP(-LN(2)/25))/(LN(2)/25)*Calculateur!V202*Calculateur!X202*VLOOKUP('Données projet'!$B$9,Paramètres!$A$1:$I$89,3,0)*0.475*44/12</f>
        <v>0.17527059204329326</v>
      </c>
      <c r="AB202" s="21">
        <f>EXP(-LN(2)/2)*AB201+(1-EXP(-LN(2)/2))/(LN(2)/2)*V202*Y202*VLOOKUP('Données projet'!$B$9,Paramètres!$A$1:$I$89,3,0)*0.475*44/12</f>
        <v>9.7258674795276772E-25</v>
      </c>
      <c r="AC202" s="22">
        <f t="shared" si="163"/>
        <v>0.27830267316155738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-3.4106051316484809E-13</v>
      </c>
      <c r="AJ202" s="13">
        <f>AI202*VLOOKUP('Données projet'!$B$10,Paramètres!$A$1:$I$89,3,0)*VLOOKUP('Données projet'!$B$10,Paramètres!$A$1:$I$89,5,0)</f>
        <v>-3.0859155231155454E-13</v>
      </c>
      <c r="AK202" s="13" t="e">
        <f t="shared" si="164"/>
        <v>#NUM!</v>
      </c>
      <c r="AL202" s="20" t="e">
        <f t="shared" si="165"/>
        <v>#NUM!</v>
      </c>
      <c r="AM202" s="59" t="e">
        <f t="shared" si="193"/>
        <v>#NUM!</v>
      </c>
      <c r="AN202" s="59">
        <f ca="1">AVERAGE(OFFSET($AM$3,0,0,'Données projet'!$E$10+1,1))-AVERAGE(OFFSET($H$3,0,0,'Données projet'!$E$10+1,1))</f>
        <v>318.40875902853116</v>
      </c>
      <c r="AO202" s="59">
        <f t="shared" si="205"/>
        <v>234.87694492493506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8.47639816292102E-2</v>
      </c>
      <c r="AV202" s="21">
        <f>EXP(-LN(2)/25)*AV201+(1-EXP(-LN(2)/25))/(LN(2)/25)*Calculateur!AQ202*Calculateur!AS202*VLOOKUP('Données projet'!$B$10,Paramètres!$A$1:$I$89,3,0)*0.475*44/12</f>
        <v>0.10410098227534455</v>
      </c>
      <c r="AW202" s="21">
        <f>EXP(-LN(2)/2)*AW201+(1-EXP(-LN(2)/2))/(LN(2)/2)*AQ202*AT202*VLOOKUP('Données projet'!$B$10,Paramètres!$A$1:$I$89,3,0)*0.475*44/12</f>
        <v>7.8791593034976596E-25</v>
      </c>
      <c r="AX202" s="21">
        <f t="shared" si="166"/>
        <v>0.18886496390455476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-1.2505552149377763E-12</v>
      </c>
      <c r="BE202" s="13">
        <f>BD202*VLOOKUP('Données projet'!$B$11,Paramètres!$A$1:$I$89,3,0)*VLOOKUP('Données projet'!$B$11,Paramètres!$A$1:$I$89,5,0)</f>
        <v>-6.9906036515021697E-13</v>
      </c>
      <c r="BF202" s="13" t="e">
        <f t="shared" si="167"/>
        <v>#NUM!</v>
      </c>
      <c r="BG202" s="20" t="e">
        <f t="shared" si="168"/>
        <v>#NUM!</v>
      </c>
      <c r="BH202" s="59" t="e">
        <f t="shared" si="194"/>
        <v>#NUM!</v>
      </c>
      <c r="BI202" s="59">
        <f ca="1">AVERAGE(OFFSET($BH$3,0,0,'Données projet'!$E$11+1,1))-AVERAGE(OFFSET($H$3,0,0,'Données projet'!$E$11+1,1))</f>
        <v>415.91544298418842</v>
      </c>
      <c r="BJ202" s="59">
        <f t="shared" si="206"/>
        <v>422.79312683312583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0.40189818875918748</v>
      </c>
      <c r="BQ202" s="21">
        <f>EXP(-LN(2)/25)*BQ201+(1-EXP(-LN(2)/25))/(LN(2)/25)*Calculateur!BL202*Calculateur!BN202*VLOOKUP('Données projet'!$B$11,Paramètres!$A$1:$I$89,3,0)*0.475*44/12</f>
        <v>0.35761389762061824</v>
      </c>
      <c r="BR202" s="21">
        <f>EXP(-LN(2)/2)*BR201+(1-EXP(-LN(2)/2))/(LN(2)/2)*BL202*BO202*VLOOKUP('Données projet'!$B$11,Paramètres!$A$1:$I$89,3,0)*0.475*44/12</f>
        <v>1.3332870223203908E-24</v>
      </c>
      <c r="BS202" s="22">
        <f t="shared" si="169"/>
        <v>0.75951208637980572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.75" thickBot="1" x14ac:dyDescent="0.3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177.83999999999958</v>
      </c>
      <c r="D203" s="11">
        <f t="shared" si="202"/>
        <v>44.841288830609059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1718.9432822011897</v>
      </c>
      <c r="H203" s="67">
        <f t="shared" si="192"/>
        <v>681.16991137997661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-2.2737367544323206E-13</v>
      </c>
      <c r="O203" s="13">
        <f>N203*VLOOKUP('Données projet'!$B$9,Paramètres!$A$1:$I$89,3,0)*VLOOKUP('Données projet'!$B$9,Paramètres!$A$1:$I$89,5,0)</f>
        <v>-1.6671037883497774E-13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284.62668108124626</v>
      </c>
      <c r="T203" s="59">
        <f t="shared" si="204"/>
        <v>333.70864452711021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0.10101168485089917</v>
      </c>
      <c r="AA203" s="21">
        <f>EXP(-LN(2)/25)*AA202+(1-EXP(-LN(2)/25))/(LN(2)/25)*Calculateur!V203*Calculateur!X203*VLOOKUP('Données projet'!$B$9,Paramètres!$A$1:$I$89,3,0)*0.475*44/12</f>
        <v>0.17047780848678956</v>
      </c>
      <c r="AB203" s="21">
        <f>EXP(-LN(2)/2)*AB202+(1-EXP(-LN(2)/2))/(LN(2)/2)*V203*Y203*VLOOKUP('Données projet'!$B$9,Paramètres!$A$1:$I$89,3,0)*0.475*44/12</f>
        <v>6.8772268476957359E-25</v>
      </c>
      <c r="AC203" s="22">
        <f t="shared" si="163"/>
        <v>0.27148949333768874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-3.4106051316484809E-13</v>
      </c>
      <c r="AJ203" s="13">
        <f>AI203*VLOOKUP('Données projet'!$B$10,Paramètres!$A$1:$I$89,3,0)*VLOOKUP('Données projet'!$B$10,Paramètres!$A$1:$I$89,5,0)</f>
        <v>-3.0859155231155454E-13</v>
      </c>
      <c r="AK203" s="13" t="e">
        <f t="shared" si="164"/>
        <v>#NUM!</v>
      </c>
      <c r="AL203" s="20" t="e">
        <f t="shared" si="165"/>
        <v>#NUM!</v>
      </c>
      <c r="AM203" s="59" t="e">
        <f t="shared" si="193"/>
        <v>#NUM!</v>
      </c>
      <c r="AN203" s="59">
        <f ca="1">AVERAGE(OFFSET($AM$3,0,0,'Données projet'!$E$10+1,1))-AVERAGE(OFFSET($H$3,0,0,'Données projet'!$E$10+1,1))</f>
        <v>318.40875902853116</v>
      </c>
      <c r="AO203" s="59">
        <f t="shared" si="205"/>
        <v>234.87694492493506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8.3101811650385146E-2</v>
      </c>
      <c r="AV203" s="21">
        <f>EXP(-LN(2)/25)*AV202+(1-EXP(-LN(2)/25))/(LN(2)/25)*Calculateur!AQ203*Calculateur!AS203*VLOOKUP('Données projet'!$B$10,Paramètres!$A$1:$I$89,3,0)*0.475*44/12</f>
        <v>0.10125433544059252</v>
      </c>
      <c r="AW203" s="21">
        <f>EXP(-LN(2)/2)*AW202+(1-EXP(-LN(2)/2))/(LN(2)/2)*AQ203*AT203*VLOOKUP('Données projet'!$B$10,Paramètres!$A$1:$I$89,3,0)*0.475*44/12</f>
        <v>5.5714069735522697E-25</v>
      </c>
      <c r="AX203" s="21">
        <f t="shared" si="166"/>
        <v>0.18435614709097767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-1.2505552149377763E-12</v>
      </c>
      <c r="BE203" s="13">
        <f>BD203*VLOOKUP('Données projet'!$B$11,Paramètres!$A$1:$I$89,3,0)*VLOOKUP('Données projet'!$B$11,Paramètres!$A$1:$I$89,5,0)</f>
        <v>-6.9906036515021697E-13</v>
      </c>
      <c r="BF203" s="13" t="e">
        <f t="shared" si="167"/>
        <v>#NUM!</v>
      </c>
      <c r="BG203" s="20" t="e">
        <f t="shared" si="168"/>
        <v>#NUM!</v>
      </c>
      <c r="BH203" s="59" t="e">
        <f t="shared" si="194"/>
        <v>#NUM!</v>
      </c>
      <c r="BI203" s="59">
        <f ca="1">AVERAGE(OFFSET($BH$3,0,0,'Données projet'!$E$11+1,1))-AVERAGE(OFFSET($H$3,0,0,'Données projet'!$E$11+1,1))</f>
        <v>415.91544298418842</v>
      </c>
      <c r="BJ203" s="59">
        <f t="shared" si="206"/>
        <v>422.79312683312583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0.39401721041130999</v>
      </c>
      <c r="BQ203" s="21">
        <f>EXP(-LN(2)/25)*BQ202+(1-EXP(-LN(2)/25))/(LN(2)/25)*Calculateur!BL203*Calculateur!BN203*VLOOKUP('Données projet'!$B$11,Paramètres!$A$1:$I$89,3,0)*0.475*44/12</f>
        <v>0.3478349267840849</v>
      </c>
      <c r="BR203" s="21">
        <f>EXP(-LN(2)/2)*BR202+(1-EXP(-LN(2)/2))/(LN(2)/2)*BL203*BO203*VLOOKUP('Données projet'!$B$11,Paramètres!$A$1:$I$89,3,0)*0.475*44/12</f>
        <v>9.4277629475076806E-25</v>
      </c>
      <c r="BS203" s="22">
        <f t="shared" si="169"/>
        <v>0.74185213719539489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.75" thickBot="1" x14ac:dyDescent="0.3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.75" thickBot="1" x14ac:dyDescent="0.3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1.3423796509621049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1.2392705892426346</v>
      </c>
      <c r="BA205" s="82">
        <f>EXP(LN('Données projet'!B88)/'Données projet'!A88)</f>
        <v>1.3903891703159093</v>
      </c>
      <c r="BV205" s="82" t="e">
        <f>EXP(LN('Données projet'!B114)/'Données projet'!A114)</f>
        <v>#NUM!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RowHeight="15" x14ac:dyDescent="0.25"/>
  <cols>
    <col min="1" max="1" width="23.42578125" style="4" bestFit="1" customWidth="1"/>
    <col min="2" max="2" width="27.7109375" style="4" bestFit="1" customWidth="1"/>
    <col min="3" max="3" width="11.85546875" style="4" bestFit="1" customWidth="1"/>
    <col min="4" max="4" width="40" style="4" bestFit="1" customWidth="1"/>
    <col min="5" max="5" width="11.85546875" style="4" bestFit="1" customWidth="1"/>
    <col min="6" max="6" width="13.7109375" style="4" bestFit="1" customWidth="1"/>
    <col min="7" max="7" width="11.42578125" style="4" bestFit="1" customWidth="1"/>
    <col min="8" max="8" width="39" style="4" bestFit="1" customWidth="1"/>
    <col min="9" max="9" width="16.7109375" style="4" customWidth="1"/>
    <col min="10" max="14" width="11.42578125" style="4"/>
    <col min="15" max="15" width="23.42578125" style="4" bestFit="1" customWidth="1"/>
    <col min="16" max="16384" width="11.42578125" style="4"/>
  </cols>
  <sheetData>
    <row r="1" spans="1:16" ht="45.75" thickBot="1" x14ac:dyDescent="0.3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25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1" t="s">
        <v>238</v>
      </c>
      <c r="P2" s="121">
        <v>0</v>
      </c>
    </row>
    <row r="3" spans="1:16" ht="15.75" thickBot="1" x14ac:dyDescent="0.3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5.75" thickBot="1" x14ac:dyDescent="0.3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25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1" t="s">
        <v>237</v>
      </c>
      <c r="P5" s="121">
        <v>0</v>
      </c>
    </row>
    <row r="6" spans="1:16" x14ac:dyDescent="0.25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 x14ac:dyDescent="0.25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5.75" thickBot="1" x14ac:dyDescent="0.3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5.75" thickBot="1" x14ac:dyDescent="0.3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25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1" t="s">
        <v>236</v>
      </c>
      <c r="P10" s="121">
        <v>0</v>
      </c>
    </row>
    <row r="11" spans="1:16" ht="15.75" thickBot="1" x14ac:dyDescent="0.3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 x14ac:dyDescent="0.25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25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25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25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25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25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25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25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25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25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25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25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25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25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25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25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25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25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25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25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25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25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25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25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25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25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25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25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25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25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25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25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25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25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25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25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25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25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25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25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25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25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25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25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25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25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25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25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25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25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25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25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25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25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25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25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25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25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25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25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25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25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25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25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25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25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25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25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25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25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25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25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25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25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25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25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25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.75" thickBot="1" x14ac:dyDescent="0.3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25">
      <c r="A93" s="122" t="s">
        <v>208</v>
      </c>
    </row>
    <row r="94" spans="1:14" x14ac:dyDescent="0.25">
      <c r="A94" s="122" t="s">
        <v>209</v>
      </c>
    </row>
    <row r="95" spans="1:14" x14ac:dyDescent="0.25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zoomScale="90" zoomScaleNormal="90" workbookViewId="0">
      <selection activeCell="I8" sqref="I8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2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7" thickBot="1" x14ac:dyDescent="0.45">
      <c r="A2" s="272" t="s">
        <v>271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2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.75" thickBot="1" x14ac:dyDescent="0.3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5.75" thickBot="1" x14ac:dyDescent="0.3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25">
      <c r="A6" s="145" t="str">
        <f>IF('Données projet'!$B$9="","",'Données projet'!$B$9)</f>
        <v>Châtaignier</v>
      </c>
      <c r="B6" s="146">
        <f>'Données projet'!D9</f>
        <v>1.6640000000000001</v>
      </c>
      <c r="C6" s="147">
        <f ca="1">IF(OR('Données projet'!B9="",'Données projet'!C9="",'Données projet'!C9=0%),0,Calculateur!S3)</f>
        <v>284.62668108124626</v>
      </c>
      <c r="D6" s="147">
        <f>IF(OR('Données projet'!B9="",'Données projet'!C9="",'Données projet'!C9=0%),0,Calculateur!T3)</f>
        <v>333.70864452711021</v>
      </c>
      <c r="E6" s="147">
        <f ca="1">MIN(C6,D6)</f>
        <v>284.62668108124626</v>
      </c>
      <c r="F6" s="147">
        <f ca="1">E6*B6</f>
        <v>473.61879731919385</v>
      </c>
      <c r="G6" s="147">
        <f ca="1">F6*(100%-'Données projet'!$C$24)*(100%-'Données projet'!$C$25)*(100%-'Données projet'!$C$26)*(100%-'Données projet'!$C$27)</f>
        <v>426.25691758727447</v>
      </c>
      <c r="H6" s="148">
        <f>IF(OR('Données projet'!B9="",'Données projet'!C9="",'Données projet'!C9=0%),0,AVERAGE(Calculateur!$AC$3:$AC$33)*B6)</f>
        <v>9.3785901850474307</v>
      </c>
      <c r="I6" s="149">
        <f>H6*(100%-'Données projet'!$C$24)*(100%-'Données projet'!$C$25)*(100%-'Données projet'!$C$26)*(100%-'Données projet'!$C$27)</f>
        <v>8.4407311665426885</v>
      </c>
      <c r="J6" s="150">
        <f>IF(OR('Données projet'!B9="",'Données projet'!C9="",'Données projet'!C9=0%),0,SUM(Calculateur!$V$3:$V$33)*VLOOKUP('Données projet'!$B$9,Paramètres!$A$1:$I$89,9,0)*B6)</f>
        <v>72.800000000000011</v>
      </c>
      <c r="K6" s="151">
        <f>J6*(100%-'Données projet'!$C$24)*(100%-'Données projet'!$C$25)*(100%-'Données projet'!$C$26)*(100%-'Données projet'!$C$27)</f>
        <v>65.52000000000001</v>
      </c>
      <c r="L6" s="152">
        <f ca="1">G6+I6+K6</f>
        <v>500.21764875381712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25">
      <c r="A7" s="153" t="str">
        <f>IF('Données projet'!$B$10="","",'Données projet'!$B$10)</f>
        <v>Chêne sessile</v>
      </c>
      <c r="B7" s="154">
        <f>'Données projet'!D10</f>
        <v>1.6640000000000001</v>
      </c>
      <c r="C7" s="147">
        <f ca="1">IF(OR('Données projet'!B10="",'Données projet'!C10="",'Données projet'!C10=0%),0,Calculateur!AN3)</f>
        <v>318.40875902853116</v>
      </c>
      <c r="D7" s="147">
        <f>IF(OR('Données projet'!B10="",'Données projet'!C10="",'Données projet'!C10=0%),0,Calculateur!AO3)</f>
        <v>234.87694492493506</v>
      </c>
      <c r="E7" s="147">
        <f t="shared" ref="E7:E15" ca="1" si="0">MIN(C7,D7)</f>
        <v>234.87694492493506</v>
      </c>
      <c r="F7" s="147">
        <f t="shared" ref="F7:F15" ca="1" si="1">E7*B7</f>
        <v>390.83523635509198</v>
      </c>
      <c r="G7" s="147">
        <f ca="1">F7*(100%-'Données projet'!$C$24)*(100%-'Données projet'!$C$25)*(100%-'Données projet'!$C$26)*(100%-'Données projet'!$C$27)</f>
        <v>351.75171271958277</v>
      </c>
      <c r="H7" s="155">
        <f>IF(OR('Données projet'!B10="",'Données projet'!C10="",'Données projet'!C10=0%),0,AVERAGE(Calculateur!$AX$3:$AX$33)*B7)</f>
        <v>2.4246353645257765</v>
      </c>
      <c r="I7" s="149">
        <f>H7*(100%-'Données projet'!$C$24)*(100%-'Données projet'!$C$25)*(100%-'Données projet'!$C$26)*(100%-'Données projet'!$C$27)</f>
        <v>2.1821718280731988</v>
      </c>
      <c r="J7" s="150">
        <f>IF(OR('Données projet'!B10="",'Données projet'!C10="",'Données projet'!C10=0%),0,SUM(Calculateur!$AQ$3:$AQ$33)*VLOOKUP('Données projet'!$B$10,Paramètres!$A$1:$I$89,9,0)*B7)</f>
        <v>25.792000000000002</v>
      </c>
      <c r="K7" s="151">
        <f>J7*(100%-'Données projet'!$C$24)*(100%-'Données projet'!$C$25)*(100%-'Données projet'!$C$26)*(100%-'Données projet'!$C$27)</f>
        <v>23.212800000000001</v>
      </c>
      <c r="L7" s="152">
        <f t="shared" ref="L7:L15" ca="1" si="2">G7+I7+K7</f>
        <v>377.14668454765598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25">
      <c r="A8" s="153" t="str">
        <f>IF('Données projet'!$B$11="","",'Données projet'!$B$11)</f>
        <v>Douglas</v>
      </c>
      <c r="B8" s="154">
        <f>'Données projet'!D11</f>
        <v>3.0720000000000001</v>
      </c>
      <c r="C8" s="147">
        <f ca="1">IF(OR('Données projet'!B11="",'Données projet'!C11="",'Données projet'!C11=0%),0,Calculateur!BI3)</f>
        <v>415.91544298418842</v>
      </c>
      <c r="D8" s="147">
        <f>IF(OR('Données projet'!B11="",'Données projet'!C11="",'Données projet'!C11=0%),0,Calculateur!BJ3)</f>
        <v>422.79312683312583</v>
      </c>
      <c r="E8" s="147">
        <f t="shared" ca="1" si="0"/>
        <v>415.91544298418842</v>
      </c>
      <c r="F8" s="147">
        <f t="shared" ca="1" si="1"/>
        <v>1277.6922408474268</v>
      </c>
      <c r="G8" s="147">
        <f ca="1">F8*(100%-'Données projet'!$C$24)*(100%-'Données projet'!$C$25)*(100%-'Données projet'!$C$26)*(100%-'Données projet'!$C$27)</f>
        <v>1149.923016762684</v>
      </c>
      <c r="H8" s="155">
        <f>IF(OR('Données projet'!B11="",'Données projet'!C11="",'Données projet'!C11=0%),0,AVERAGE(Calculateur!$BS$3:$BS$33)*B8)</f>
        <v>37.911307670104833</v>
      </c>
      <c r="I8" s="149">
        <f>H8*(100%-'Données projet'!$C$24)*(100%-'Données projet'!$C$25)*(100%-'Données projet'!$C$26)*(100%-'Données projet'!$C$27)</f>
        <v>34.120176903094354</v>
      </c>
      <c r="J8" s="150">
        <f>IF(OR('Données projet'!B11="",'Données projet'!C11="",'Données projet'!C11=0%),0,SUM(Calculateur!$BL$3:$BL$33)*VLOOKUP('Données projet'!$B$11,Paramètres!$A$1:$I$89,9,0)*B8)</f>
        <v>322.31423999999998</v>
      </c>
      <c r="K8" s="151">
        <f>J8*(100%-'Données projet'!$C$24)*(100%-'Données projet'!$C$25)*(100%-'Données projet'!$C$26)*(100%-'Données projet'!$C$27)</f>
        <v>290.08281599999998</v>
      </c>
      <c r="L8" s="152">
        <f t="shared" ca="1" si="2"/>
        <v>1474.1260096657784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25">
      <c r="A9" s="153" t="str">
        <f>IF('Données projet'!$B$12="","",'Données projet'!$B$12)</f>
        <v/>
      </c>
      <c r="B9" s="154">
        <f>'Données projet'!D12</f>
        <v>0</v>
      </c>
      <c r="C9" s="147">
        <f>IF(OR('Données projet'!B12="",'Données projet'!C12="",'Données projet'!C12=0%),0,Calculateur!CD3)</f>
        <v>0</v>
      </c>
      <c r="D9" s="147">
        <f>IF(OR('Données projet'!B12="",'Données projet'!C12="",'Données projet'!C12=0%),0,Calculateur!CE3)</f>
        <v>0</v>
      </c>
      <c r="E9" s="147">
        <f t="shared" si="0"/>
        <v>0</v>
      </c>
      <c r="F9" s="147">
        <f t="shared" si="1"/>
        <v>0</v>
      </c>
      <c r="G9" s="147">
        <f>F9*(100%-'Données projet'!$C$24)*(100%-'Données projet'!$C$25)*(100%-'Données projet'!$C$26)*(100%-'Données projet'!$C$27)</f>
        <v>0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25">
      <c r="A10" s="153" t="str">
        <f>IF('Données projet'!$B$13="","",'Données projet'!$B$13)</f>
        <v/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25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25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25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25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.75" thickBot="1" x14ac:dyDescent="0.3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.75" thickBot="1" x14ac:dyDescent="0.3">
      <c r="A16" s="209"/>
      <c r="B16" s="213"/>
      <c r="C16" s="214"/>
      <c r="D16" s="23"/>
      <c r="E16" s="23"/>
      <c r="F16" s="165">
        <f t="shared" ref="F16:L16" ca="1" si="3">SUM(F6:F15)</f>
        <v>2142.1462745217127</v>
      </c>
      <c r="G16" s="166">
        <f t="shared" ca="1" si="3"/>
        <v>1927.9316470695412</v>
      </c>
      <c r="H16" s="167">
        <f t="shared" si="3"/>
        <v>49.714533219678039</v>
      </c>
      <c r="I16" s="167">
        <f t="shared" si="3"/>
        <v>44.743079897710246</v>
      </c>
      <c r="J16" s="168">
        <f t="shared" si="3"/>
        <v>420.90624000000003</v>
      </c>
      <c r="K16" s="168">
        <f t="shared" si="3"/>
        <v>378.81561599999998</v>
      </c>
      <c r="L16" s="169">
        <f t="shared" ca="1" si="3"/>
        <v>2351.4903429672513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25">
      <c r="A17" s="209"/>
      <c r="B17" s="213"/>
      <c r="C17" s="214"/>
      <c r="D17" s="23"/>
      <c r="E17" s="23"/>
      <c r="F17" s="284" t="s">
        <v>246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25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2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.75" thickBot="1" x14ac:dyDescent="0.3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.75" thickBot="1" x14ac:dyDescent="0.3">
      <c r="A21" s="170" t="str">
        <f>A6</f>
        <v>Châtaignier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2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2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2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2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2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2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2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2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2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2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2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2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2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2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2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2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.75" thickBot="1" x14ac:dyDescent="0.3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.75" thickBot="1" x14ac:dyDescent="0.3">
      <c r="A39" s="170" t="str">
        <f>A7</f>
        <v>Chêne sessile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2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2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2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2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2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2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2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2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2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2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2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2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2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2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2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2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.75" thickBot="1" x14ac:dyDescent="0.3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.75" thickBot="1" x14ac:dyDescent="0.3">
      <c r="A57" s="170" t="str">
        <f>A8</f>
        <v>Douglas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2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2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2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2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2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2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2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2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2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2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2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2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2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2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2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2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2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.75" thickBot="1" x14ac:dyDescent="0.3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.75" thickBot="1" x14ac:dyDescent="0.3">
      <c r="A76" s="170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2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2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2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2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2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2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2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2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2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2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2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2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2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2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2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2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.75" thickBot="1" x14ac:dyDescent="0.3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.75" thickBot="1" x14ac:dyDescent="0.3">
      <c r="A94" s="170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2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2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2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2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2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2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2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2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2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2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2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2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2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2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2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2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.75" thickBot="1" x14ac:dyDescent="0.3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.75" thickBot="1" x14ac:dyDescent="0.3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2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2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2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2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2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2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2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2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2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2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2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2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2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2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2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2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.75" thickBot="1" x14ac:dyDescent="0.3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.75" thickBot="1" x14ac:dyDescent="0.3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2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2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2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2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2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2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2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2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2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2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2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2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2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2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2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2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.75" thickBot="1" x14ac:dyDescent="0.3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.75" thickBot="1" x14ac:dyDescent="0.3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2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2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2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2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2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2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2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2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2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2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2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2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2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2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2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2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.75" thickBot="1" x14ac:dyDescent="0.3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.75" thickBot="1" x14ac:dyDescent="0.3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2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2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2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2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2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2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2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2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2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2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2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2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2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2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2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2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.75" thickBot="1" x14ac:dyDescent="0.3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.75" thickBot="1" x14ac:dyDescent="0.3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2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2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2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2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2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2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2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2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2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2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2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2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2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2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2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2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2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2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2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topLeftCell="N1" zoomScale="80" zoomScaleNormal="80" workbookViewId="0">
      <selection activeCell="I20" sqref="I20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1" customWidth="1"/>
    <col min="7" max="7" width="17.5703125" style="1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7" thickBot="1" x14ac:dyDescent="0.45">
      <c r="A2" s="4"/>
      <c r="B2" s="272" t="s">
        <v>272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25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25">
      <c r="A4" s="4"/>
      <c r="B4" s="4"/>
      <c r="C4" s="4"/>
      <c r="D4" s="4"/>
      <c r="E4" s="4"/>
      <c r="G4" s="4"/>
      <c r="H4" s="258" t="s">
        <v>315</v>
      </c>
      <c r="I4" s="258"/>
      <c r="K4" s="300" t="s">
        <v>253</v>
      </c>
      <c r="L4" s="301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2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.75" thickBot="1" x14ac:dyDescent="0.3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45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2" t="s">
        <v>310</v>
      </c>
      <c r="S7" s="293"/>
      <c r="T7" s="293"/>
      <c r="U7" s="293"/>
      <c r="V7" s="29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25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25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25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Châtaignier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-1915.16</v>
      </c>
      <c r="U10" s="178">
        <f>'Données projet'!D9</f>
        <v>1.6640000000000001</v>
      </c>
      <c r="V10" s="177">
        <f>U10*T10</f>
        <v>-3186.8262400000003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25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Chêne sessile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-2639</v>
      </c>
      <c r="U11" s="178">
        <f>'Données projet'!D10</f>
        <v>1.6640000000000001</v>
      </c>
      <c r="V11" s="177">
        <f t="shared" ref="V11" si="0">U11*T11</f>
        <v>-4391.2960000000003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25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Douglas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-3046.16</v>
      </c>
      <c r="U12" s="178">
        <f>'Données projet'!D11</f>
        <v>3.0720000000000001</v>
      </c>
      <c r="V12" s="177">
        <f t="shared" ref="V12:V19" si="1">U12*T12</f>
        <v>-9357.8035199999995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25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/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8">
        <f>'Données projet'!D12</f>
        <v>0</v>
      </c>
      <c r="V13" s="177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25">
      <c r="A14" s="46" t="s">
        <v>165</v>
      </c>
      <c r="B14" s="174" t="str">
        <f>IF('Données projet'!$B$9="","",'Données projet'!$B$9)</f>
        <v>Châtaignier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/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25">
      <c r="A15" s="4"/>
      <c r="B15" s="4"/>
      <c r="C15" s="4"/>
      <c r="D15" s="4"/>
      <c r="E15" s="4"/>
      <c r="F15" s="230"/>
      <c r="G15" s="303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25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303"/>
      <c r="H16" s="190"/>
      <c r="I16" s="191"/>
      <c r="J16" s="202"/>
      <c r="K16" s="208"/>
      <c r="L16" s="300" t="s">
        <v>254</v>
      </c>
      <c r="M16" s="301"/>
      <c r="N16" s="2">
        <v>80</v>
      </c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25">
      <c r="A17" s="49">
        <v>0</v>
      </c>
      <c r="B17" s="199" t="s">
        <v>132</v>
      </c>
      <c r="C17" s="198" t="s">
        <v>132</v>
      </c>
      <c r="D17" s="197" t="s">
        <v>132</v>
      </c>
      <c r="E17" s="193">
        <v>1915.16</v>
      </c>
      <c r="F17" s="230"/>
      <c r="G17" s="303"/>
      <c r="J17" s="202"/>
      <c r="K17" s="208"/>
      <c r="L17" s="260" t="s">
        <v>289</v>
      </c>
      <c r="M17" s="262"/>
      <c r="N17" s="175">
        <f>VLOOKUP(N16,Calculateur!$A$2:$H$153,3,0)/VLOOKUP('Scénario référence'!$G$15,Paramètres!A1:I89,3,0)/VLOOKUP('Scénario référence'!$G$15,Paramètres!A1:I89,5,0)</f>
        <v>80.000000000000114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25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303"/>
      <c r="J18" s="202"/>
      <c r="K18" s="208"/>
      <c r="L18" s="260" t="s">
        <v>255</v>
      </c>
      <c r="M18" s="262"/>
      <c r="N18" s="192">
        <v>30</v>
      </c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25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303"/>
      <c r="H19" s="212" t="s">
        <v>178</v>
      </c>
      <c r="I19" s="212" t="s">
        <v>287</v>
      </c>
      <c r="J19" s="93"/>
      <c r="K19" s="173"/>
      <c r="L19" s="300" t="s">
        <v>288</v>
      </c>
      <c r="M19" s="301"/>
      <c r="N19" s="179">
        <f>N17*N18</f>
        <v>2400.0000000000036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25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303"/>
      <c r="H20" s="190">
        <v>0</v>
      </c>
      <c r="I20" s="191">
        <f>775+1206.38</f>
        <v>1981.38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25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>
        <v>1</v>
      </c>
      <c r="I21" s="191">
        <v>490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25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>
        <v>2</v>
      </c>
      <c r="I22" s="191">
        <v>490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25">
      <c r="A23" s="180">
        <f>'Données projet'!A36</f>
        <v>10</v>
      </c>
      <c r="B23" s="181">
        <f>'Données projet'!D36</f>
        <v>7</v>
      </c>
      <c r="C23" s="193"/>
      <c r="D23" s="182">
        <f>B23*C23</f>
        <v>0</v>
      </c>
      <c r="E23" s="193"/>
      <c r="F23" s="230"/>
      <c r="H23" s="190">
        <v>3</v>
      </c>
      <c r="I23" s="191">
        <v>620</v>
      </c>
      <c r="K23" s="208"/>
      <c r="L23" s="302" t="s">
        <v>260</v>
      </c>
      <c r="M23" s="302"/>
      <c r="N23" s="302"/>
      <c r="O23" s="23"/>
      <c r="P23" s="23"/>
      <c r="Q23" s="234"/>
      <c r="R23" s="23"/>
      <c r="S23" s="36" t="s">
        <v>264</v>
      </c>
      <c r="T23" s="297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-38966.588749769347</v>
      </c>
      <c r="U23" s="297"/>
      <c r="V23" s="297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25">
      <c r="A24" s="180">
        <f>'Données projet'!A37</f>
        <v>20</v>
      </c>
      <c r="B24" s="181">
        <f>'Données projet'!D37</f>
        <v>84</v>
      </c>
      <c r="C24" s="193"/>
      <c r="D24" s="182">
        <f t="shared" ref="D24:D42" si="2">B24*C24</f>
        <v>0</v>
      </c>
      <c r="E24" s="193"/>
      <c r="F24" s="233"/>
      <c r="H24" s="190"/>
      <c r="I24" s="191"/>
      <c r="K24" s="208"/>
      <c r="O24" s="23"/>
      <c r="P24" s="23"/>
      <c r="Q24" s="234"/>
      <c r="R24" s="23"/>
      <c r="S24" s="36" t="s">
        <v>261</v>
      </c>
      <c r="T24" s="298">
        <f ca="1">'Scénario référence'!$B$8*$M$30*'Données projet'!$C$5+('Scénario référence'!B9+'Scénario référence'!B10+'Scénario référence'!F8+'Scénario référence'!F9)*$N$19/(1+M4)^N16*'Données projet'!$C$5</f>
        <v>454.03358603679817</v>
      </c>
      <c r="U24" s="298"/>
      <c r="V24" s="298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25">
      <c r="A25" s="180">
        <f>'Données projet'!A38</f>
        <v>30</v>
      </c>
      <c r="B25" s="181">
        <f>'Données projet'!D38</f>
        <v>84</v>
      </c>
      <c r="C25" s="193"/>
      <c r="D25" s="182">
        <f t="shared" si="2"/>
        <v>0</v>
      </c>
      <c r="E25" s="193"/>
      <c r="F25" s="233"/>
      <c r="H25" s="190"/>
      <c r="I25" s="191"/>
      <c r="K25" s="208"/>
      <c r="L25" s="130" t="s">
        <v>285</v>
      </c>
      <c r="M25" s="130"/>
      <c r="N25" s="130"/>
      <c r="O25" s="130"/>
      <c r="P25" s="192"/>
      <c r="Q25" s="234"/>
      <c r="R25" s="23"/>
      <c r="S25" s="186" t="s">
        <v>266</v>
      </c>
      <c r="T25" s="299">
        <f ca="1">T23-T24</f>
        <v>-39420.622335806147</v>
      </c>
      <c r="U25" s="299"/>
      <c r="V25" s="299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25">
      <c r="A26" s="180">
        <f>'Données projet'!A39</f>
        <v>40</v>
      </c>
      <c r="B26" s="181">
        <f>'Données projet'!D39</f>
        <v>82</v>
      </c>
      <c r="C26" s="193"/>
      <c r="D26" s="182">
        <f t="shared" si="2"/>
        <v>0</v>
      </c>
      <c r="E26" s="193"/>
      <c r="F26" s="233"/>
      <c r="G26" s="229"/>
      <c r="H26" s="190"/>
      <c r="I26" s="191"/>
      <c r="K26" s="208"/>
      <c r="L26" s="286" t="s">
        <v>258</v>
      </c>
      <c r="M26" s="287"/>
      <c r="N26" s="287"/>
      <c r="O26" s="287"/>
      <c r="P26" s="288"/>
      <c r="Q26" s="234"/>
      <c r="R26" s="23"/>
      <c r="S26" s="186" t="s">
        <v>265</v>
      </c>
      <c r="T26" s="296" t="str">
        <f ca="1">IF(T25&lt;0,"Votre projet est additionnel","Votre projet n'est pas additionnel")</f>
        <v>Votre projet est additionnel</v>
      </c>
      <c r="U26" s="296"/>
      <c r="V26" s="296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25">
      <c r="A27" s="180">
        <f>'Données projet'!A40</f>
        <v>50</v>
      </c>
      <c r="B27" s="181">
        <f>'Données projet'!D40</f>
        <v>47</v>
      </c>
      <c r="C27" s="193"/>
      <c r="D27" s="182">
        <f t="shared" si="2"/>
        <v>0</v>
      </c>
      <c r="E27" s="193"/>
      <c r="F27" s="233"/>
      <c r="G27" s="229"/>
      <c r="H27" s="190"/>
      <c r="I27" s="191"/>
      <c r="K27" s="208"/>
      <c r="L27" s="289"/>
      <c r="M27" s="290"/>
      <c r="N27" s="290"/>
      <c r="O27" s="290"/>
      <c r="P27" s="291"/>
      <c r="Q27" s="234"/>
      <c r="R27" s="23"/>
      <c r="S27" s="295" t="s">
        <v>267</v>
      </c>
      <c r="T27" s="295"/>
      <c r="U27" s="295"/>
      <c r="V27" s="295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25">
      <c r="A28" s="180">
        <f>'Données projet'!A41</f>
        <v>60</v>
      </c>
      <c r="B28" s="181">
        <f>'Données projet'!D41</f>
        <v>35</v>
      </c>
      <c r="C28" s="193"/>
      <c r="D28" s="182">
        <f t="shared" si="2"/>
        <v>0</v>
      </c>
      <c r="E28" s="193"/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25">
      <c r="A29" s="180">
        <f>'Données projet'!A42</f>
        <v>70</v>
      </c>
      <c r="B29" s="181">
        <f>'Données projet'!D42</f>
        <v>31</v>
      </c>
      <c r="C29" s="193"/>
      <c r="D29" s="182">
        <f t="shared" si="2"/>
        <v>0</v>
      </c>
      <c r="E29" s="193"/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25">
      <c r="A30" s="180">
        <f>'Données projet'!A43</f>
        <v>80</v>
      </c>
      <c r="B30" s="181">
        <f>'Données projet'!D43</f>
        <v>395</v>
      </c>
      <c r="C30" s="193"/>
      <c r="D30" s="182">
        <f t="shared" si="2"/>
        <v>0</v>
      </c>
      <c r="E30" s="193"/>
      <c r="F30" s="233"/>
      <c r="G30" s="203"/>
      <c r="H30" s="190"/>
      <c r="I30" s="191"/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25">
      <c r="A31" s="180">
        <f>'Données projet'!A44</f>
        <v>0</v>
      </c>
      <c r="B31" s="181">
        <f>'Données projet'!D44</f>
        <v>0</v>
      </c>
      <c r="C31" s="193"/>
      <c r="D31" s="182">
        <f t="shared" si="2"/>
        <v>0</v>
      </c>
      <c r="E31" s="193"/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25">
      <c r="A32" s="180">
        <f>'Données projet'!A45</f>
        <v>0</v>
      </c>
      <c r="B32" s="181">
        <f>'Données projet'!D45</f>
        <v>0</v>
      </c>
      <c r="C32" s="193"/>
      <c r="D32" s="182">
        <f t="shared" si="2"/>
        <v>0</v>
      </c>
      <c r="E32" s="193"/>
      <c r="F32" s="233"/>
      <c r="G32" s="203"/>
      <c r="H32" s="190"/>
      <c r="I32" s="191"/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25">
      <c r="A33" s="180">
        <f>'Données projet'!A46</f>
        <v>0</v>
      </c>
      <c r="B33" s="181">
        <f>'Données projet'!D46</f>
        <v>0</v>
      </c>
      <c r="C33" s="193"/>
      <c r="D33" s="182">
        <f t="shared" si="2"/>
        <v>0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25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25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25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25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25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25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25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25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25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25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25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25">
      <c r="A45" s="46" t="s">
        <v>166</v>
      </c>
      <c r="B45" s="174" t="str">
        <f>IF('Données projet'!$B$10="","",'Données projet'!$B$10)</f>
        <v>Chêne sessile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25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25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25">
      <c r="A48" s="49">
        <v>0</v>
      </c>
      <c r="B48" s="199" t="s">
        <v>132</v>
      </c>
      <c r="C48" s="198" t="s">
        <v>132</v>
      </c>
      <c r="D48" s="197" t="s">
        <v>132</v>
      </c>
      <c r="E48" s="193">
        <v>2639</v>
      </c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25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25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25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25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25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25">
      <c r="A54" s="180">
        <f>'Données projet'!A62</f>
        <v>20</v>
      </c>
      <c r="B54" s="181">
        <f>'Données projet'!D62</f>
        <v>6</v>
      </c>
      <c r="C54" s="191"/>
      <c r="D54" s="179">
        <f>B54*C54</f>
        <v>0</v>
      </c>
      <c r="E54" s="193"/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25">
      <c r="A55" s="180">
        <f>'Données projet'!A63</f>
        <v>30</v>
      </c>
      <c r="B55" s="181">
        <f>'Données projet'!D63</f>
        <v>56</v>
      </c>
      <c r="C55" s="191"/>
      <c r="D55" s="179">
        <f t="shared" ref="D55:D73" si="4">B55*C55</f>
        <v>0</v>
      </c>
      <c r="E55" s="193"/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25">
      <c r="A56" s="180">
        <f>'Données projet'!A64</f>
        <v>40</v>
      </c>
      <c r="B56" s="181">
        <f>'Données projet'!D64</f>
        <v>56</v>
      </c>
      <c r="C56" s="191"/>
      <c r="D56" s="179">
        <f t="shared" si="4"/>
        <v>0</v>
      </c>
      <c r="E56" s="193"/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25">
      <c r="A57" s="180">
        <f>'Données projet'!A65</f>
        <v>50</v>
      </c>
      <c r="B57" s="181">
        <f>'Données projet'!D65</f>
        <v>56</v>
      </c>
      <c r="C57" s="191"/>
      <c r="D57" s="179">
        <f t="shared" si="4"/>
        <v>0</v>
      </c>
      <c r="E57" s="193"/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25">
      <c r="A58" s="180">
        <f>'Données projet'!A66</f>
        <v>60</v>
      </c>
      <c r="B58" s="181">
        <f>'Données projet'!D66</f>
        <v>56</v>
      </c>
      <c r="C58" s="191"/>
      <c r="D58" s="179">
        <f t="shared" si="4"/>
        <v>0</v>
      </c>
      <c r="E58" s="193"/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25">
      <c r="A59" s="180">
        <f>'Données projet'!A67</f>
        <v>70</v>
      </c>
      <c r="B59" s="181">
        <f>'Données projet'!D67</f>
        <v>56</v>
      </c>
      <c r="C59" s="191"/>
      <c r="D59" s="179">
        <f t="shared" si="4"/>
        <v>0</v>
      </c>
      <c r="E59" s="193"/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25">
      <c r="A60" s="180">
        <f>'Données projet'!A68</f>
        <v>80</v>
      </c>
      <c r="B60" s="181">
        <f>'Données projet'!D68</f>
        <v>56</v>
      </c>
      <c r="C60" s="191"/>
      <c r="D60" s="179">
        <f t="shared" si="4"/>
        <v>0</v>
      </c>
      <c r="E60" s="193"/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25">
      <c r="A61" s="180">
        <f>'Données projet'!A69</f>
        <v>90</v>
      </c>
      <c r="B61" s="181">
        <f>'Données projet'!D69</f>
        <v>56</v>
      </c>
      <c r="C61" s="191"/>
      <c r="D61" s="179">
        <f t="shared" si="4"/>
        <v>0</v>
      </c>
      <c r="E61" s="193"/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25">
      <c r="A62" s="180">
        <f>'Données projet'!A70</f>
        <v>100</v>
      </c>
      <c r="B62" s="181">
        <f>'Données projet'!D70</f>
        <v>55</v>
      </c>
      <c r="C62" s="191"/>
      <c r="D62" s="179">
        <f t="shared" si="4"/>
        <v>0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25">
      <c r="A63" s="180">
        <f>'Données projet'!A71</f>
        <v>110</v>
      </c>
      <c r="B63" s="181">
        <f>'Données projet'!D71</f>
        <v>51</v>
      </c>
      <c r="C63" s="191"/>
      <c r="D63" s="179">
        <f t="shared" si="4"/>
        <v>0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25">
      <c r="A64" s="180">
        <f>'Données projet'!A72</f>
        <v>120</v>
      </c>
      <c r="B64" s="181">
        <f>'Données projet'!D72</f>
        <v>352</v>
      </c>
      <c r="C64" s="191"/>
      <c r="D64" s="179">
        <f t="shared" si="4"/>
        <v>0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25">
      <c r="A65" s="180">
        <f>'Données projet'!A73</f>
        <v>0</v>
      </c>
      <c r="B65" s="181">
        <f>'Données projet'!D73</f>
        <v>0</v>
      </c>
      <c r="C65" s="191"/>
      <c r="D65" s="179">
        <f t="shared" si="4"/>
        <v>0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25">
      <c r="A66" s="180">
        <f>'Données projet'!A74</f>
        <v>0</v>
      </c>
      <c r="B66" s="181">
        <f>'Données projet'!D74</f>
        <v>0</v>
      </c>
      <c r="C66" s="191"/>
      <c r="D66" s="179">
        <f t="shared" si="4"/>
        <v>0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25">
      <c r="A67" s="180">
        <f>'Données projet'!A75</f>
        <v>0</v>
      </c>
      <c r="B67" s="181">
        <f>'Données projet'!D75</f>
        <v>0</v>
      </c>
      <c r="C67" s="191"/>
      <c r="D67" s="179">
        <f t="shared" si="4"/>
        <v>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25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25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25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25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25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25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25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25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25">
      <c r="A76" s="46" t="s">
        <v>167</v>
      </c>
      <c r="B76" s="174" t="str">
        <f>IF('Données projet'!B11="","",'Données projet'!B11)</f>
        <v>Douglas</v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0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25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0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25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0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25">
      <c r="A79" s="49">
        <v>0</v>
      </c>
      <c r="B79" s="199" t="s">
        <v>132</v>
      </c>
      <c r="C79" s="198" t="s">
        <v>132</v>
      </c>
      <c r="D79" s="197" t="s">
        <v>132</v>
      </c>
      <c r="E79" s="193">
        <v>3046.16</v>
      </c>
      <c r="F79" s="231"/>
      <c r="G79" s="206"/>
      <c r="H79" s="190"/>
      <c r="I79" s="191"/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5"/>
        <v>0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25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5"/>
        <v>0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25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5"/>
        <v>0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25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5"/>
        <v>0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25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5"/>
        <v>0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25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5"/>
        <v>0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25">
      <c r="A85" s="180">
        <f>'Données projet'!A88</f>
        <v>10</v>
      </c>
      <c r="B85" s="181">
        <f>'Données projet'!D88</f>
        <v>0</v>
      </c>
      <c r="C85" s="191"/>
      <c r="D85" s="179">
        <f>B85*C85</f>
        <v>0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5"/>
        <v>0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25">
      <c r="A86" s="180">
        <f>'Données projet'!A89</f>
        <v>20</v>
      </c>
      <c r="B86" s="181">
        <f>'Données projet'!D89</f>
        <v>104</v>
      </c>
      <c r="C86" s="191"/>
      <c r="D86" s="179">
        <f t="shared" ref="D86:D104" si="6">B86*C86</f>
        <v>0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5"/>
        <v>0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25">
      <c r="A87" s="180">
        <f>'Données projet'!A90</f>
        <v>30</v>
      </c>
      <c r="B87" s="181">
        <f>'Données projet'!D90</f>
        <v>140</v>
      </c>
      <c r="C87" s="191"/>
      <c r="D87" s="179">
        <f t="shared" si="6"/>
        <v>0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5"/>
        <v>0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25">
      <c r="A88" s="180">
        <f>'Données projet'!A91</f>
        <v>40</v>
      </c>
      <c r="B88" s="181">
        <f>'Données projet'!D91</f>
        <v>140</v>
      </c>
      <c r="C88" s="191"/>
      <c r="D88" s="179">
        <f t="shared" si="6"/>
        <v>0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>
        <f>IF(O87+1&lt;=MIN('Données projet'!$E$9:$E$18),O87+1,"STOP")</f>
        <v>55</v>
      </c>
      <c r="P88" s="185">
        <f t="shared" si="5"/>
        <v>0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25">
      <c r="A89" s="180">
        <f>'Données projet'!A92</f>
        <v>50</v>
      </c>
      <c r="B89" s="181">
        <f>'Données projet'!D92</f>
        <v>129</v>
      </c>
      <c r="C89" s="191"/>
      <c r="D89" s="179">
        <f t="shared" si="6"/>
        <v>0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>
        <f>IF(O88+1&lt;=MIN('Données projet'!$E$9:$E$18),O88+1,"STOP")</f>
        <v>56</v>
      </c>
      <c r="P89" s="185">
        <f t="shared" si="5"/>
        <v>0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25">
      <c r="A90" s="180">
        <f>'Données projet'!A93</f>
        <v>60</v>
      </c>
      <c r="B90" s="181">
        <f>'Données projet'!D93</f>
        <v>96</v>
      </c>
      <c r="C90" s="191"/>
      <c r="D90" s="179">
        <f t="shared" si="6"/>
        <v>0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>
        <f>IF(O89+1&lt;=MIN('Données projet'!$E$9:$E$18),O89+1,"STOP")</f>
        <v>57</v>
      </c>
      <c r="P90" s="185">
        <f t="shared" si="5"/>
        <v>0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25">
      <c r="A91" s="180">
        <f>'Données projet'!A94</f>
        <v>70</v>
      </c>
      <c r="B91" s="181">
        <f>'Données projet'!D94</f>
        <v>80</v>
      </c>
      <c r="C91" s="191"/>
      <c r="D91" s="179">
        <f t="shared" si="6"/>
        <v>0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>
        <f>IF(O90+1&lt;=MIN('Données projet'!$E$9:$E$18),O90+1,"STOP")</f>
        <v>58</v>
      </c>
      <c r="P91" s="185">
        <f t="shared" si="5"/>
        <v>0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25">
      <c r="A92" s="180">
        <f>'Données projet'!A95</f>
        <v>80</v>
      </c>
      <c r="B92" s="181">
        <f>'Données projet'!D95</f>
        <v>790</v>
      </c>
      <c r="C92" s="191"/>
      <c r="D92" s="179">
        <f t="shared" si="6"/>
        <v>0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>
        <f>IF(O91+1&lt;=MIN('Données projet'!$E$9:$E$18),O91+1,"STOP")</f>
        <v>59</v>
      </c>
      <c r="P92" s="185">
        <f t="shared" si="5"/>
        <v>0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25">
      <c r="A93" s="180">
        <f>'Données projet'!A96</f>
        <v>0</v>
      </c>
      <c r="B93" s="181">
        <f>'Données projet'!D96</f>
        <v>0</v>
      </c>
      <c r="C93" s="191"/>
      <c r="D93" s="179">
        <f t="shared" si="6"/>
        <v>0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>
        <f>IF(O92+1&lt;=MIN('Données projet'!$E$9:$E$18),O92+1,"STOP")</f>
        <v>60</v>
      </c>
      <c r="P93" s="185">
        <f t="shared" si="5"/>
        <v>0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25">
      <c r="A94" s="180">
        <f>'Données projet'!A97</f>
        <v>0</v>
      </c>
      <c r="B94" s="181">
        <f>'Données projet'!D97</f>
        <v>0</v>
      </c>
      <c r="C94" s="191"/>
      <c r="D94" s="179">
        <f t="shared" si="6"/>
        <v>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>
        <f>IF(O93+1&lt;=MIN('Données projet'!$E$9:$E$18),O93+1,"STOP")</f>
        <v>61</v>
      </c>
      <c r="P94" s="185">
        <f t="shared" si="5"/>
        <v>0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25">
      <c r="A95" s="180">
        <f>'Données projet'!A98</f>
        <v>0</v>
      </c>
      <c r="B95" s="181">
        <f>'Données projet'!D98</f>
        <v>0</v>
      </c>
      <c r="C95" s="191"/>
      <c r="D95" s="179">
        <f t="shared" si="6"/>
        <v>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>
        <f>IF(O94+1&lt;=MIN('Données projet'!$E$9:$E$18),O94+1,"STOP")</f>
        <v>62</v>
      </c>
      <c r="P95" s="185">
        <f t="shared" si="5"/>
        <v>0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25">
      <c r="A96" s="180">
        <f>'Données projet'!A99</f>
        <v>0</v>
      </c>
      <c r="B96" s="181">
        <f>'Données projet'!D99</f>
        <v>0</v>
      </c>
      <c r="C96" s="191"/>
      <c r="D96" s="179">
        <f t="shared" si="6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>
        <f>IF(O95+1&lt;=MIN('Données projet'!$E$9:$E$18),O95+1,"STOP")</f>
        <v>63</v>
      </c>
      <c r="P96" s="185">
        <f t="shared" si="5"/>
        <v>0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25">
      <c r="A97" s="180">
        <f>'Données projet'!A100</f>
        <v>0</v>
      </c>
      <c r="B97" s="181">
        <f>'Données projet'!D100</f>
        <v>0</v>
      </c>
      <c r="C97" s="191"/>
      <c r="D97" s="179">
        <f t="shared" si="6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>
        <f>IF(O96+1&lt;=MIN('Données projet'!$E$9:$E$18),O96+1,"STOP")</f>
        <v>64</v>
      </c>
      <c r="P97" s="185">
        <f t="shared" ref="P97:P128" si="7">$P$25/(1+$M$4)^O97</f>
        <v>0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25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>
        <f>IF(O97+1&lt;=MIN('Données projet'!$E$9:$E$18),O97+1,"STOP")</f>
        <v>65</v>
      </c>
      <c r="P98" s="185">
        <f t="shared" si="7"/>
        <v>0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25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>
        <f>IF(O98+1&lt;=MIN('Données projet'!$E$9:$E$18),O98+1,"STOP")</f>
        <v>66</v>
      </c>
      <c r="P99" s="185">
        <f t="shared" si="7"/>
        <v>0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25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>
        <f>IF(O99+1&lt;=MIN('Données projet'!$E$9:$E$18),O99+1,"STOP")</f>
        <v>67</v>
      </c>
      <c r="P100" s="185">
        <f t="shared" si="7"/>
        <v>0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25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>
        <f>IF(O100+1&lt;=MIN('Données projet'!$E$9:$E$18),O100+1,"STOP")</f>
        <v>68</v>
      </c>
      <c r="P101" s="185">
        <f t="shared" si="7"/>
        <v>0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25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>
        <f>IF(O101+1&lt;=MIN('Données projet'!$E$9:$E$18),O101+1,"STOP")</f>
        <v>69</v>
      </c>
      <c r="P102" s="185">
        <f t="shared" si="7"/>
        <v>0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25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>
        <f>IF(O102+1&lt;=MIN('Données projet'!$E$9:$E$18),O102+1,"STOP")</f>
        <v>70</v>
      </c>
      <c r="P103" s="185">
        <f t="shared" si="7"/>
        <v>0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25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>
        <f>IF(O103+1&lt;=MIN('Données projet'!$E$9:$E$18),O103+1,"STOP")</f>
        <v>71</v>
      </c>
      <c r="P104" s="185">
        <f t="shared" si="7"/>
        <v>0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25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>
        <f>IF(O104+1&lt;=MIN('Données projet'!$E$9:$E$18),O104+1,"STOP")</f>
        <v>72</v>
      </c>
      <c r="P105" s="185">
        <f t="shared" si="7"/>
        <v>0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25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>
        <f>IF(O105+1&lt;=MIN('Données projet'!$E$9:$E$18),O105+1,"STOP")</f>
        <v>73</v>
      </c>
      <c r="P106" s="185">
        <f t="shared" si="7"/>
        <v>0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25">
      <c r="A107" s="46" t="s">
        <v>168</v>
      </c>
      <c r="B107" s="174" t="str">
        <f>IF('Données projet'!B12="","",'Données projet'!B12)</f>
        <v/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>
        <f>IF(O106+1&lt;=MIN('Données projet'!$E$9:$E$18),O106+1,"STOP")</f>
        <v>74</v>
      </c>
      <c r="P107" s="185">
        <f t="shared" si="7"/>
        <v>0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25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>
        <f>IF(O107+1&lt;=MIN('Données projet'!$E$9:$E$18),O107+1,"STOP")</f>
        <v>75</v>
      </c>
      <c r="P108" s="185">
        <f t="shared" si="7"/>
        <v>0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ht="30" x14ac:dyDescent="0.25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>
        <f>IF(O108+1&lt;=MIN('Données projet'!$E$9:$E$18),O108+1,"STOP")</f>
        <v>76</v>
      </c>
      <c r="P109" s="185">
        <f t="shared" si="7"/>
        <v>0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25">
      <c r="A110" s="49">
        <v>0</v>
      </c>
      <c r="B110" s="199" t="s">
        <v>132</v>
      </c>
      <c r="C110" s="198" t="s">
        <v>132</v>
      </c>
      <c r="D110" s="197" t="s">
        <v>132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>
        <f>IF(O109+1&lt;=MIN('Données projet'!$E$9:$E$18),O109+1,"STOP")</f>
        <v>77</v>
      </c>
      <c r="P110" s="185">
        <f t="shared" si="7"/>
        <v>0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25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>
        <f>IF(O110+1&lt;=MIN('Données projet'!$E$9:$E$18),O110+1,"STOP")</f>
        <v>78</v>
      </c>
      <c r="P111" s="185">
        <f t="shared" si="7"/>
        <v>0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25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>
        <f>IF(O111+1&lt;=MIN('Données projet'!$E$9:$E$18),O111+1,"STOP")</f>
        <v>79</v>
      </c>
      <c r="P112" s="185">
        <f t="shared" si="7"/>
        <v>0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25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>
        <f>IF(O112+1&lt;=MIN('Données projet'!$E$9:$E$18),O112+1,"STOP")</f>
        <v>80</v>
      </c>
      <c r="P113" s="185">
        <f t="shared" si="7"/>
        <v>0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25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str">
        <f>IF(O113+1&lt;=MIN('Données projet'!$E$9:$E$18),O113+1,"STOP")</f>
        <v>STOP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25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25">
      <c r="A116" s="180">
        <f>'Données projet'!A114</f>
        <v>0</v>
      </c>
      <c r="B116" s="181">
        <f>'Données projet'!D114</f>
        <v>0</v>
      </c>
      <c r="C116" s="191"/>
      <c r="D116" s="179">
        <f>B116*C116</f>
        <v>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25">
      <c r="A117" s="180">
        <f>'Données projet'!A115</f>
        <v>0</v>
      </c>
      <c r="B117" s="181">
        <f>'Données projet'!D115</f>
        <v>0</v>
      </c>
      <c r="C117" s="191"/>
      <c r="D117" s="179">
        <f t="shared" ref="D117:D135" si="8">B117*C117</f>
        <v>0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25">
      <c r="A118" s="180">
        <f>'Données projet'!A116</f>
        <v>0</v>
      </c>
      <c r="B118" s="181">
        <f>'Données projet'!D116</f>
        <v>0</v>
      </c>
      <c r="C118" s="191"/>
      <c r="D118" s="179">
        <f t="shared" si="8"/>
        <v>0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25">
      <c r="A119" s="180">
        <f>'Données projet'!A117</f>
        <v>0</v>
      </c>
      <c r="B119" s="181">
        <f>'Données projet'!D117</f>
        <v>0</v>
      </c>
      <c r="C119" s="191"/>
      <c r="D119" s="179">
        <f t="shared" si="8"/>
        <v>0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25">
      <c r="A120" s="180">
        <f>'Données projet'!A118</f>
        <v>0</v>
      </c>
      <c r="B120" s="181">
        <f>'Données projet'!D118</f>
        <v>0</v>
      </c>
      <c r="C120" s="191"/>
      <c r="D120" s="179">
        <f t="shared" si="8"/>
        <v>0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25">
      <c r="A121" s="180">
        <f>'Données projet'!A119</f>
        <v>0</v>
      </c>
      <c r="B121" s="181">
        <f>'Données projet'!D119</f>
        <v>0</v>
      </c>
      <c r="C121" s="191"/>
      <c r="D121" s="179">
        <f t="shared" si="8"/>
        <v>0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25">
      <c r="A122" s="180">
        <f>'Données projet'!A120</f>
        <v>0</v>
      </c>
      <c r="B122" s="181">
        <f>'Données projet'!D120</f>
        <v>0</v>
      </c>
      <c r="C122" s="191"/>
      <c r="D122" s="179">
        <f t="shared" si="8"/>
        <v>0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25">
      <c r="A123" s="180">
        <f>'Données projet'!A121</f>
        <v>0</v>
      </c>
      <c r="B123" s="181">
        <f>'Données projet'!D121</f>
        <v>0</v>
      </c>
      <c r="C123" s="191"/>
      <c r="D123" s="179">
        <f t="shared" si="8"/>
        <v>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25">
      <c r="A124" s="180">
        <f>'Données projet'!A122</f>
        <v>0</v>
      </c>
      <c r="B124" s="181">
        <f>'Données projet'!D122</f>
        <v>0</v>
      </c>
      <c r="C124" s="191"/>
      <c r="D124" s="179">
        <f t="shared" si="8"/>
        <v>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25">
      <c r="A125" s="180">
        <f>'Données projet'!A123</f>
        <v>0</v>
      </c>
      <c r="B125" s="181">
        <f>'Données projet'!D123</f>
        <v>0</v>
      </c>
      <c r="C125" s="191"/>
      <c r="D125" s="179">
        <f t="shared" si="8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25">
      <c r="A126" s="180">
        <f>'Données projet'!A124</f>
        <v>0</v>
      </c>
      <c r="B126" s="181">
        <f>'Données projet'!D124</f>
        <v>0</v>
      </c>
      <c r="C126" s="191"/>
      <c r="D126" s="179">
        <f t="shared" si="8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25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25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25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25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25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25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25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25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25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25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25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25">
      <c r="A138" s="46" t="s">
        <v>169</v>
      </c>
      <c r="B138" s="174" t="str">
        <f>IF('Données projet'!B13="","",'Données projet'!B13)</f>
        <v/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25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ht="30" x14ac:dyDescent="0.25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25">
      <c r="A141" s="49">
        <v>0</v>
      </c>
      <c r="B141" s="199" t="s">
        <v>132</v>
      </c>
      <c r="C141" s="198" t="s">
        <v>132</v>
      </c>
      <c r="D141" s="197" t="s">
        <v>132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25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25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25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25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25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25">
      <c r="A147" s="42">
        <f>'Données projet'!A140</f>
        <v>0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25">
      <c r="A148" s="42">
        <f>'Données projet'!A141</f>
        <v>0</v>
      </c>
      <c r="B148" s="175">
        <f>'Données projet'!D141</f>
        <v>0</v>
      </c>
      <c r="C148" s="191"/>
      <c r="D148" s="182">
        <f t="shared" ref="D148:D166" si="10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25">
      <c r="A149" s="42">
        <f>'Données projet'!A142</f>
        <v>0</v>
      </c>
      <c r="B149" s="175">
        <f>'Données projet'!D142</f>
        <v>0</v>
      </c>
      <c r="C149" s="191"/>
      <c r="D149" s="182">
        <f t="shared" si="10"/>
        <v>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25">
      <c r="A150" s="42">
        <f>'Données projet'!A143</f>
        <v>0</v>
      </c>
      <c r="B150" s="175">
        <f>'Données projet'!D143</f>
        <v>0</v>
      </c>
      <c r="C150" s="191"/>
      <c r="D150" s="182">
        <f t="shared" si="10"/>
        <v>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25">
      <c r="A151" s="42">
        <f>'Données projet'!A144</f>
        <v>0</v>
      </c>
      <c r="B151" s="175">
        <f>'Données projet'!D144</f>
        <v>0</v>
      </c>
      <c r="C151" s="191"/>
      <c r="D151" s="182">
        <f t="shared" si="10"/>
        <v>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25">
      <c r="A152" s="42">
        <f>'Données projet'!A145</f>
        <v>0</v>
      </c>
      <c r="B152" s="175">
        <f>'Données projet'!D145</f>
        <v>0</v>
      </c>
      <c r="C152" s="191"/>
      <c r="D152" s="182">
        <f t="shared" si="10"/>
        <v>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25">
      <c r="A153" s="42">
        <f>'Données projet'!A146</f>
        <v>0</v>
      </c>
      <c r="B153" s="175">
        <f>'Données projet'!D146</f>
        <v>0</v>
      </c>
      <c r="C153" s="191"/>
      <c r="D153" s="182">
        <f t="shared" si="10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25">
      <c r="A154" s="42">
        <f>'Données projet'!A147</f>
        <v>0</v>
      </c>
      <c r="B154" s="175">
        <f>'Données projet'!D147</f>
        <v>0</v>
      </c>
      <c r="C154" s="191"/>
      <c r="D154" s="182">
        <f t="shared" si="10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25">
      <c r="A155" s="42">
        <f>'Données projet'!A148</f>
        <v>0</v>
      </c>
      <c r="B155" s="175">
        <f>'Données projet'!D148</f>
        <v>0</v>
      </c>
      <c r="C155" s="191"/>
      <c r="D155" s="182">
        <f t="shared" si="10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25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25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25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25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25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25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25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25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25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25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25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25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25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25">
      <c r="A169" s="46" t="s">
        <v>170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25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25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25">
      <c r="A172" s="49">
        <v>0</v>
      </c>
      <c r="B172" s="199" t="s">
        <v>132</v>
      </c>
      <c r="C172" s="198" t="s">
        <v>132</v>
      </c>
      <c r="D172" s="197" t="s">
        <v>132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25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25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25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25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25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25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25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25">
      <c r="A180" s="180">
        <f>'Données projet'!A168</f>
        <v>0</v>
      </c>
      <c r="B180" s="181">
        <f>'Données projet'!D168</f>
        <v>0</v>
      </c>
      <c r="C180" s="193"/>
      <c r="D180" s="179">
        <f t="shared" si="11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25">
      <c r="A181" s="180">
        <f>'Données projet'!A169</f>
        <v>0</v>
      </c>
      <c r="B181" s="181">
        <f>'Données projet'!D169</f>
        <v>0</v>
      </c>
      <c r="C181" s="193"/>
      <c r="D181" s="179">
        <f t="shared" si="11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25">
      <c r="A182" s="180">
        <f>'Données projet'!A170</f>
        <v>0</v>
      </c>
      <c r="B182" s="181">
        <f>'Données projet'!D170</f>
        <v>0</v>
      </c>
      <c r="C182" s="193"/>
      <c r="D182" s="179">
        <f t="shared" si="11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25">
      <c r="A183" s="180">
        <f>'Données projet'!A171</f>
        <v>0</v>
      </c>
      <c r="B183" s="181">
        <f>'Données projet'!D171</f>
        <v>0</v>
      </c>
      <c r="C183" s="193"/>
      <c r="D183" s="179">
        <f t="shared" si="11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25">
      <c r="A184" s="180">
        <f>'Données projet'!A172</f>
        <v>0</v>
      </c>
      <c r="B184" s="181">
        <f>'Données projet'!D172</f>
        <v>0</v>
      </c>
      <c r="C184" s="193"/>
      <c r="D184" s="179">
        <f t="shared" si="11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25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25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25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25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25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25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25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25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25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25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25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25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25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25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25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25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25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25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25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25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25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25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25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25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25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25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25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25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25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25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25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25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25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25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25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25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25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25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25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25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25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25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25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25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25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25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25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25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25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25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25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25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25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25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25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25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25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25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25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25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25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25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25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25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25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25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25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25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25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25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25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25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25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25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25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25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25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25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25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25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25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25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25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25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25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25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25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25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25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25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25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25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25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25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25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25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25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25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25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25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25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25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25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25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25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25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25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25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25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25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25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25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25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25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25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25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25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25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25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25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25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25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25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25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25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25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25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25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25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25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25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25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25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25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25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25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25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25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25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25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25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25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25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2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2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2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2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2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2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2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2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2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2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2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2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2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2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2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2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2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2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2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2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2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2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2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2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2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2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2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2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2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2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2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2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2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2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2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2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2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2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2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2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2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2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2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2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2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2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2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2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2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2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2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2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2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2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2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2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2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2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2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2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2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2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2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2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2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2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2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2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2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2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2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2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2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2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2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2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2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2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2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2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2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2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2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2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2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2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2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2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2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2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2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2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2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2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2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2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2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2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2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2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2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2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2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2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2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2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2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2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2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2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2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2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2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2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2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2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2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2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2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2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2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2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2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2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2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2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2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2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2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2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2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2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2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2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2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2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2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2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2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2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2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2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2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2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2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2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2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2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2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2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2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2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2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2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2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2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2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2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2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2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2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2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2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2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2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2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2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2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2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2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2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2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2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2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2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2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2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2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2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E006D02EFB7524E92A31806A20933C4" ma:contentTypeVersion="16" ma:contentTypeDescription="Crée un document." ma:contentTypeScope="" ma:versionID="0e9e021c327d8551a1f55b1299a1ead0">
  <xsd:schema xmlns:xsd="http://www.w3.org/2001/XMLSchema" xmlns:xs="http://www.w3.org/2001/XMLSchema" xmlns:p="http://schemas.microsoft.com/office/2006/metadata/properties" xmlns:ns2="7f778677-e8d3-4866-966d-dd352b4d4b95" xmlns:ns3="655929c3-d7c5-4e51-b5f8-f25933e16e57" targetNamespace="http://schemas.microsoft.com/office/2006/metadata/properties" ma:root="true" ma:fieldsID="2136bc5999714f027c7596c726032f96" ns2:_="" ns3:_="">
    <xsd:import namespace="7f778677-e8d3-4866-966d-dd352b4d4b95"/>
    <xsd:import namespace="655929c3-d7c5-4e51-b5f8-f25933e16e5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778677-e8d3-4866-966d-dd352b4d4b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Balises d’images" ma:readOnly="false" ma:fieldId="{5cf76f15-5ced-4ddc-b409-7134ff3c332f}" ma:taxonomyMulti="true" ma:sspId="c31a7892-0253-4b23-af1e-d16b272054b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5929c3-d7c5-4e51-b5f8-f25933e16e5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b035bd7a-0690-4dae-a8f1-713ab1cfbd47}" ma:internalName="TaxCatchAll" ma:showField="CatchAllData" ma:web="655929c3-d7c5-4e51-b5f8-f25933e16e5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6CB8604-1778-4425-9497-BFC15C0CA2D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025F396-F520-4214-B137-FFBC1F0B94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f778677-e8d3-4866-966d-dd352b4d4b95"/>
    <ds:schemaRef ds:uri="655929c3-d7c5-4e51-b5f8-f25933e16e5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Constance MORISE</cp:lastModifiedBy>
  <dcterms:created xsi:type="dcterms:W3CDTF">2021-02-01T08:22:39Z</dcterms:created>
  <dcterms:modified xsi:type="dcterms:W3CDTF">2024-04-26T06:52:46Z</dcterms:modified>
</cp:coreProperties>
</file>