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4\Guedelon R1\"/>
    </mc:Choice>
  </mc:AlternateContent>
  <xr:revisionPtr revIDLastSave="0" documentId="13_ncr:1_{D7918B7E-FC30-4664-A94C-1B1AD00F76F3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<sst xmlns="http://schemas.openxmlformats.org/spreadsheetml/2006/main" count="1173" uniqueCount="324">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</sst>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120.3398635014748</c:v>
                </c:pt>
                <c:pt idx="32">
                  <c:v>130.62330272297186</c:v>
                </c:pt>
                <c:pt idx="33">
                  <c:v>140.88717779906787</c:v>
                </c:pt>
                <c:pt idx="34">
                  <c:v>151.13311662743948</c:v>
                </c:pt>
                <c:pt idx="35">
                  <c:v>161.362507950626</c:v>
                </c:pt>
                <c:pt idx="36">
                  <c:v>171.57654976527132</c:v>
                </c:pt>
                <c:pt idx="37">
                  <c:v>181.77628557051801</c:v>
                </c:pt>
                <c:pt idx="38">
                  <c:v>191.96263203606017</c:v>
                </c:pt>
                <c:pt idx="39">
                  <c:v>202.13640047813922</c:v>
                </c:pt>
                <c:pt idx="40">
                  <c:v>212.29831377776441</c:v>
                </c:pt>
                <c:pt idx="41">
                  <c:v>170.39875516780384</c:v>
                </c:pt>
                <c:pt idx="42">
                  <c:v>181.38424113596443</c:v>
                </c:pt>
                <c:pt idx="43">
                  <c:v>192.35415851868379</c:v>
                </c:pt>
                <c:pt idx="44">
                  <c:v>203.30952104980258</c:v>
                </c:pt>
                <c:pt idx="45">
                  <c:v>214.25122416862823</c:v>
                </c:pt>
                <c:pt idx="46">
                  <c:v>225.18006429243292</c:v>
                </c:pt>
                <c:pt idx="47">
                  <c:v>236.09675414607656</c:v>
                </c:pt>
                <c:pt idx="48">
                  <c:v>247.00193510423426</c:v>
                </c:pt>
                <c:pt idx="49">
                  <c:v>257.89618723734606</c:v>
                </c:pt>
                <c:pt idx="50">
                  <c:v>268.78003756948306</c:v>
                </c:pt>
                <c:pt idx="51">
                  <c:v>224.98501498915437</c:v>
                </c:pt>
                <c:pt idx="52">
                  <c:v>235.707074164814</c:v>
                </c:pt>
                <c:pt idx="53">
                  <c:v>246.4180109567441</c:v>
                </c:pt>
                <c:pt idx="54">
                  <c:v>257.11837729187414</c:v>
                </c:pt>
                <c:pt idx="55">
                  <c:v>267.8086753716081</c:v>
                </c:pt>
                <c:pt idx="56">
                  <c:v>278.48936400091259</c:v>
                </c:pt>
                <c:pt idx="57">
                  <c:v>289.16086389484894</c:v>
                </c:pt>
                <c:pt idx="58">
                  <c:v>299.82356216018104</c:v>
                </c:pt>
                <c:pt idx="59">
                  <c:v>310.47781610568063</c:v>
                </c:pt>
                <c:pt idx="60">
                  <c:v>321.12395650175063</c:v>
                </c:pt>
                <c:pt idx="61">
                  <c:v>276.93638995381065</c:v>
                </c:pt>
                <c:pt idx="62">
                  <c:v>287.02727998230642</c:v>
                </c:pt>
                <c:pt idx="63">
                  <c:v>297.11023564036304</c:v>
                </c:pt>
                <c:pt idx="64">
                  <c:v>307.18556432776842</c:v>
                </c:pt>
                <c:pt idx="65">
                  <c:v>317.2535516203576</c:v>
                </c:pt>
                <c:pt idx="66">
                  <c:v>327.31446347781883</c:v>
                </c:pt>
                <c:pt idx="67">
                  <c:v>337.36854816571076</c:v>
                </c:pt>
                <c:pt idx="68">
                  <c:v>347.41603793627502</c:v>
                </c:pt>
                <c:pt idx="69">
                  <c:v>357.45715050456153</c:v>
                </c:pt>
                <c:pt idx="70">
                  <c:v>367.49209034995994</c:v>
                </c:pt>
                <c:pt idx="71">
                  <c:v>322.6718286822026</c:v>
                </c:pt>
                <c:pt idx="72">
                  <c:v>331.95564418847277</c:v>
                </c:pt>
                <c:pt idx="73">
                  <c:v>341.23373557401305</c:v>
                </c:pt>
                <c:pt idx="74">
                  <c:v>350.50628052053179</c:v>
                </c:pt>
                <c:pt idx="75">
                  <c:v>359.77344653568457</c:v>
                </c:pt>
                <c:pt idx="76">
                  <c:v>369.03539178839679</c:v>
                </c:pt>
                <c:pt idx="77">
                  <c:v>378.29226585591238</c:v>
                </c:pt>
                <c:pt idx="78">
                  <c:v>387.54421039387483</c:v>
                </c:pt>
                <c:pt idx="79">
                  <c:v>396.79135973905687</c:v>
                </c:pt>
                <c:pt idx="80">
                  <c:v>406.0338414529536</c:v>
                </c:pt>
                <c:pt idx="81">
                  <c:v>360.35246947227597</c:v>
                </c:pt>
                <c:pt idx="82">
                  <c:v>368.6495796596501</c:v>
                </c:pt>
                <c:pt idx="83">
                  <c:v>376.94261536659877</c:v>
                </c:pt>
                <c:pt idx="84">
                  <c:v>385.23167893646314</c:v>
                </c:pt>
                <c:pt idx="85">
                  <c:v>393.51686794613602</c:v>
                </c:pt>
                <c:pt idx="86">
                  <c:v>401.79827552592502</c:v>
                </c:pt>
                <c:pt idx="87">
                  <c:v>410.07599065165772</c:v>
                </c:pt>
                <c:pt idx="88">
                  <c:v>418.35009841196302</c:v>
                </c:pt>
                <c:pt idx="89">
                  <c:v>426.62068025329609</c:v>
                </c:pt>
                <c:pt idx="90">
                  <c:v>434.88781420496662</c:v>
                </c:pt>
                <c:pt idx="91">
                  <c:v>388.12229635555462</c:v>
                </c:pt>
                <c:pt idx="92">
                  <c:v>395.25049568724336</c:v>
                </c:pt>
                <c:pt idx="93">
                  <c:v>402.37590934902954</c:v>
                </c:pt>
                <c:pt idx="94">
                  <c:v>409.49859366550299</c:v>
                </c:pt>
                <c:pt idx="95">
                  <c:v>416.61860284059543</c:v>
                </c:pt>
                <c:pt idx="96">
                  <c:v>423.73598907310139</c:v>
                </c:pt>
                <c:pt idx="97">
                  <c:v>430.85080266402957</c:v>
                </c:pt>
                <c:pt idx="98">
                  <c:v>437.96309211649077</c:v>
                </c:pt>
                <c:pt idx="99">
                  <c:v>445.07290422875553</c:v>
                </c:pt>
                <c:pt idx="100">
                  <c:v>452.18028418105382</c:v>
                </c:pt>
                <c:pt idx="101">
                  <c:v>404.30122601025568</c:v>
                </c:pt>
                <c:pt idx="102">
                  <c:v>410.26845241067684</c:v>
                </c:pt>
                <c:pt idx="103">
                  <c:v>416.23380499861554</c:v>
                </c:pt>
                <c:pt idx="104">
                  <c:v>422.19731444089211</c:v>
                </c:pt>
                <c:pt idx="105">
                  <c:v>428.15901046658496</c:v>
                </c:pt>
                <c:pt idx="106">
                  <c:v>434.1189219086545</c:v>
                </c:pt>
                <c:pt idx="107">
                  <c:v>440.0770767431606</c:v>
                </c:pt>
                <c:pt idx="108">
                  <c:v>446.03350212624281</c:v>
                </c:pt>
                <c:pt idx="109">
                  <c:v>451.98822442902389</c:v>
                </c:pt>
                <c:pt idx="110">
                  <c:v>457.94126927057465</c:v>
                </c:pt>
                <c:pt idx="111">
                  <c:v>411.42318205611986</c:v>
                </c:pt>
                <c:pt idx="112">
                  <c:v>416.81099888731961</c:v>
                </c:pt>
                <c:pt idx="113">
                  <c:v>422.19731444089211</c:v>
                </c:pt>
                <c:pt idx="114">
                  <c:v>427.58215058986383</c:v>
                </c:pt>
                <c:pt idx="115">
                  <c:v>432.96552861089225</c:v>
                </c:pt>
                <c:pt idx="116">
                  <c:v>438.34746920790485</c:v>
                </c:pt>
                <c:pt idx="117">
                  <c:v>443.72799253451632</c:v>
                </c:pt>
                <c:pt idx="118">
                  <c:v>449.10711821530072</c:v>
                </c:pt>
                <c:pt idx="119">
                  <c:v>454.4848653659904</c:v>
                </c:pt>
                <c:pt idx="120">
                  <c:v>459.86125261266926</c:v>
                </c:pt>
                <c:pt idx="121">
                  <c:v>8.3287223069965432E-13</c:v>
                </c:pt>
                <c:pt idx="122">
                  <c:v>8.3287223069965432E-13</c:v>
                </c:pt>
                <c:pt idx="123">
                  <c:v>8.3287223069965432E-13</c:v>
                </c:pt>
                <c:pt idx="124">
                  <c:v>8.3287223069965432E-13</c:v>
                </c:pt>
                <c:pt idx="125">
                  <c:v>8.3287223069965432E-13</c:v>
                </c:pt>
                <c:pt idx="126">
                  <c:v>8.3287223069965432E-13</c:v>
                </c:pt>
                <c:pt idx="127">
                  <c:v>8.3287223069965432E-13</c:v>
                </c:pt>
                <c:pt idx="128">
                  <c:v>8.3287223069965432E-13</c:v>
                </c:pt>
                <c:pt idx="129">
                  <c:v>8.3287223069965432E-13</c:v>
                </c:pt>
                <c:pt idx="130">
                  <c:v>8.3287223069965432E-13</c:v>
                </c:pt>
                <c:pt idx="131">
                  <c:v>8.3287223069965432E-13</c:v>
                </c:pt>
                <c:pt idx="132">
                  <c:v>8.3287223069965432E-13</c:v>
                </c:pt>
                <c:pt idx="133">
                  <c:v>8.3287223069965432E-13</c:v>
                </c:pt>
                <c:pt idx="134">
                  <c:v>8.3287223069965432E-13</c:v>
                </c:pt>
                <c:pt idx="135">
                  <c:v>8.3287223069965432E-13</c:v>
                </c:pt>
                <c:pt idx="136">
                  <c:v>8.3287223069965432E-13</c:v>
                </c:pt>
                <c:pt idx="137">
                  <c:v>8.3287223069965432E-13</c:v>
                </c:pt>
                <c:pt idx="138">
                  <c:v>8.3287223069965432E-13</c:v>
                </c:pt>
                <c:pt idx="139">
                  <c:v>8.3287223069965432E-13</c:v>
                </c:pt>
                <c:pt idx="140">
                  <c:v>8.3287223069965432E-13</c:v>
                </c:pt>
                <c:pt idx="141">
                  <c:v>8.3287223069965432E-13</c:v>
                </c:pt>
                <c:pt idx="142">
                  <c:v>8.3287223069965432E-13</c:v>
                </c:pt>
                <c:pt idx="143">
                  <c:v>8.3287223069965432E-13</c:v>
                </c:pt>
                <c:pt idx="144">
                  <c:v>8.3287223069965432E-13</c:v>
                </c:pt>
                <c:pt idx="145">
                  <c:v>8.3287223069965432E-13</c:v>
                </c:pt>
                <c:pt idx="146">
                  <c:v>8.3287223069965432E-13</c:v>
                </c:pt>
                <c:pt idx="147">
                  <c:v>8.3287223069965432E-13</c:v>
                </c:pt>
                <c:pt idx="148">
                  <c:v>8.3287223069965432E-13</c:v>
                </c:pt>
                <c:pt idx="149">
                  <c:v>8.3287223069965432E-13</c:v>
                </c:pt>
                <c:pt idx="150">
                  <c:v>8.3287223069965432E-13</c:v>
                </c:pt>
                <c:pt idx="151">
                  <c:v>8.3287223069965432E-13</c:v>
                </c:pt>
                <c:pt idx="152">
                  <c:v>8.3287223069965432E-13</c:v>
                </c:pt>
                <c:pt idx="153">
                  <c:v>8.3287223069965432E-13</c:v>
                </c:pt>
                <c:pt idx="154">
                  <c:v>8.3287223069965432E-13</c:v>
                </c:pt>
                <c:pt idx="155">
                  <c:v>8.3287223069965432E-13</c:v>
                </c:pt>
                <c:pt idx="156">
                  <c:v>8.3287223069965432E-13</c:v>
                </c:pt>
                <c:pt idx="157">
                  <c:v>8.3287223069965432E-13</c:v>
                </c:pt>
                <c:pt idx="158">
                  <c:v>8.3287223069965432E-13</c:v>
                </c:pt>
                <c:pt idx="159">
                  <c:v>8.3287223069965432E-13</c:v>
                </c:pt>
                <c:pt idx="160">
                  <c:v>8.3287223069965432E-13</c:v>
                </c:pt>
                <c:pt idx="161">
                  <c:v>8.3287223069965432E-13</c:v>
                </c:pt>
                <c:pt idx="162">
                  <c:v>8.3287223069965432E-13</c:v>
                </c:pt>
                <c:pt idx="163">
                  <c:v>8.3287223069965432E-13</c:v>
                </c:pt>
                <c:pt idx="164">
                  <c:v>8.3287223069965432E-13</c:v>
                </c:pt>
                <c:pt idx="165">
                  <c:v>8.3287223069965432E-13</c:v>
                </c:pt>
                <c:pt idx="166">
                  <c:v>8.3287223069965432E-13</c:v>
                </c:pt>
                <c:pt idx="167">
                  <c:v>8.3287223069965432E-13</c:v>
                </c:pt>
                <c:pt idx="168">
                  <c:v>8.3287223069965432E-13</c:v>
                </c:pt>
                <c:pt idx="169">
                  <c:v>8.3287223069965432E-13</c:v>
                </c:pt>
                <c:pt idx="170">
                  <c:v>8.3287223069965432E-13</c:v>
                </c:pt>
                <c:pt idx="171">
                  <c:v>8.3287223069965432E-13</c:v>
                </c:pt>
                <c:pt idx="172">
                  <c:v>8.3287223069965432E-13</c:v>
                </c:pt>
                <c:pt idx="173">
                  <c:v>8.3287223069965432E-13</c:v>
                </c:pt>
                <c:pt idx="174">
                  <c:v>8.3287223069965432E-13</c:v>
                </c:pt>
                <c:pt idx="175">
                  <c:v>8.3287223069965432E-13</c:v>
                </c:pt>
                <c:pt idx="176">
                  <c:v>8.3287223069965432E-13</c:v>
                </c:pt>
                <c:pt idx="177">
                  <c:v>8.3287223069965432E-13</c:v>
                </c:pt>
                <c:pt idx="178">
                  <c:v>8.3287223069965432E-13</c:v>
                </c:pt>
                <c:pt idx="179">
                  <c:v>8.3287223069965432E-13</c:v>
                </c:pt>
                <c:pt idx="180">
                  <c:v>8.3287223069965432E-13</c:v>
                </c:pt>
                <c:pt idx="181">
                  <c:v>8.3287223069965432E-13</c:v>
                </c:pt>
                <c:pt idx="182">
                  <c:v>8.3287223069965432E-13</c:v>
                </c:pt>
                <c:pt idx="183">
                  <c:v>8.3287223069965432E-13</c:v>
                </c:pt>
                <c:pt idx="184">
                  <c:v>8.3287223069965432E-13</c:v>
                </c:pt>
                <c:pt idx="185">
                  <c:v>8.3287223069965432E-13</c:v>
                </c:pt>
                <c:pt idx="186">
                  <c:v>8.3287223069965432E-13</c:v>
                </c:pt>
                <c:pt idx="187">
                  <c:v>8.3287223069965432E-13</c:v>
                </c:pt>
                <c:pt idx="188">
                  <c:v>8.3287223069965432E-13</c:v>
                </c:pt>
                <c:pt idx="189">
                  <c:v>8.3287223069965432E-13</c:v>
                </c:pt>
                <c:pt idx="190">
                  <c:v>8.3287223069965432E-13</c:v>
                </c:pt>
                <c:pt idx="191">
                  <c:v>8.3287223069965432E-13</c:v>
                </c:pt>
                <c:pt idx="192">
                  <c:v>8.3287223069965432E-13</c:v>
                </c:pt>
                <c:pt idx="193">
                  <c:v>8.3287223069965432E-13</c:v>
                </c:pt>
                <c:pt idx="194">
                  <c:v>8.3287223069965432E-13</c:v>
                </c:pt>
                <c:pt idx="195">
                  <c:v>8.3287223069965432E-13</c:v>
                </c:pt>
                <c:pt idx="196">
                  <c:v>8.3287223069965432E-13</c:v>
                </c:pt>
                <c:pt idx="197">
                  <c:v>8.3287223069965432E-13</c:v>
                </c:pt>
                <c:pt idx="198">
                  <c:v>8.3287223069965432E-13</c:v>
                </c:pt>
                <c:pt idx="199">
                  <c:v>8.3287223069965432E-13</c:v>
                </c:pt>
                <c:pt idx="200">
                  <c:v>8.3287223069965432E-13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2.7950560419935062</c:v>
                </c:pt>
                <c:pt idx="2">
                  <c:v>3.4978567405008154</c:v>
                </c:pt>
                <c:pt idx="3">
                  <c:v>4.378056176370535</c:v>
                </c:pt>
                <c:pt idx="4">
                  <c:v>5.4805953715609093</c:v>
                </c:pt>
                <c:pt idx="5">
                  <c:v>6.8618389341299704</c:v>
                </c:pt>
                <c:pt idx="6">
                  <c:v>8.5924879218678232</c:v>
                </c:pt>
                <c:pt idx="7">
                  <c:v>10.761237587714888</c:v>
                </c:pt>
                <c:pt idx="8">
                  <c:v>13.479370991188105</c:v>
                </c:pt>
                <c:pt idx="9">
                  <c:v>16.886528544899786</c:v>
                </c:pt>
                <c:pt idx="10">
                  <c:v>21.157955292804118</c:v>
                </c:pt>
                <c:pt idx="11">
                  <c:v>26.513605349767932</c:v>
                </c:pt>
                <c:pt idx="12">
                  <c:v>33.229580576656623</c:v>
                </c:pt>
                <c:pt idx="13">
                  <c:v>41.65250338948028</c:v>
                </c:pt>
                <c:pt idx="14">
                  <c:v>52.217578110334223</c:v>
                </c:pt>
                <c:pt idx="15">
                  <c:v>65.471289650288256</c:v>
                </c:pt>
                <c:pt idx="16">
                  <c:v>82.099932877988508</c:v>
                </c:pt>
                <c:pt idx="17">
                  <c:v>102.96547374948041</c:v>
                </c:pt>
                <c:pt idx="18">
                  <c:v>129.1506304926302</c:v>
                </c:pt>
                <c:pt idx="19">
                  <c:v>162.01555042423362</c:v>
                </c:pt>
                <c:pt idx="20">
                  <c:v>203.26907123098991</c:v>
                </c:pt>
                <c:pt idx="21">
                  <c:v>162.01318445359652</c:v>
                </c:pt>
                <c:pt idx="22">
                  <c:v>181.34368368345909</c:v>
                </c:pt>
                <c:pt idx="23">
                  <c:v>200.62594388226071</c:v>
                </c:pt>
                <c:pt idx="24">
                  <c:v>219.86525499788613</c:v>
                </c:pt>
                <c:pt idx="25">
                  <c:v>239.06590436046736</c:v>
                </c:pt>
                <c:pt idx="26">
                  <c:v>258.2314337725993</c:v>
                </c:pt>
                <c:pt idx="27">
                  <c:v>277.36481607055674</c:v>
                </c:pt>
                <c:pt idx="28">
                  <c:v>296.46858031425882</c:v>
                </c:pt>
                <c:pt idx="29">
                  <c:v>315.54490296905198</c:v>
                </c:pt>
                <c:pt idx="30">
                  <c:v>334.59567585759874</c:v>
                </c:pt>
                <c:pt idx="31">
                  <c:v>234.7395292137937</c:v>
                </c:pt>
                <c:pt idx="32">
                  <c:v>251.0952400785371</c:v>
                </c:pt>
                <c:pt idx="33">
                  <c:v>267.42680782176666</c:v>
                </c:pt>
                <c:pt idx="34">
                  <c:v>283.73591438004945</c:v>
                </c:pt>
                <c:pt idx="35">
                  <c:v>300.02403249547734</c:v>
                </c:pt>
                <c:pt idx="36">
                  <c:v>316.29246191955457</c:v>
                </c:pt>
                <c:pt idx="37">
                  <c:v>332.54235777302125</c:v>
                </c:pt>
                <c:pt idx="38">
                  <c:v>348.77475306916608</c:v>
                </c:pt>
                <c:pt idx="39">
                  <c:v>364.99057682300844</c:v>
                </c:pt>
                <c:pt idx="40">
                  <c:v>381.19066877305664</c:v>
                </c:pt>
                <c:pt idx="41">
                  <c:v>286.35837196420709</c:v>
                </c:pt>
                <c:pt idx="42">
                  <c:v>299.8369269420906</c:v>
                </c:pt>
                <c:pt idx="43">
                  <c:v>313.30199011471763</c:v>
                </c:pt>
                <c:pt idx="44">
                  <c:v>326.754223109576</c:v>
                </c:pt>
                <c:pt idx="45">
                  <c:v>340.19422861744857</c:v>
                </c:pt>
                <c:pt idx="46">
                  <c:v>353.62255781268237</c:v>
                </c:pt>
                <c:pt idx="47">
                  <c:v>367.03971658708946</c:v>
                </c:pt>
                <c:pt idx="48">
                  <c:v>380.44617082446945</c:v>
                </c:pt>
                <c:pt idx="49">
                  <c:v>393.8423508926914</c:v>
                </c:pt>
                <c:pt idx="50">
                  <c:v>407.2286554926086</c:v>
                </c:pt>
                <c:pt idx="51">
                  <c:v>324.51304901034973</c:v>
                </c:pt>
                <c:pt idx="52">
                  <c:v>334.96897652893705</c:v>
                </c:pt>
                <c:pt idx="53">
                  <c:v>345.41771532693969</c:v>
                </c:pt>
                <c:pt idx="54">
                  <c:v>355.85951361436645</c:v>
                </c:pt>
                <c:pt idx="55">
                  <c:v>366.29460383970803</c:v>
                </c:pt>
                <c:pt idx="56">
                  <c:v>376.72320412097525</c:v>
                </c:pt>
                <c:pt idx="57">
                  <c:v>387.14551950995337</c:v>
                </c:pt>
                <c:pt idx="58">
                  <c:v>397.56174311317267</c:v>
                </c:pt>
                <c:pt idx="59">
                  <c:v>407.97205708923843</c:v>
                </c:pt>
                <c:pt idx="60">
                  <c:v>418.37663353903184</c:v>
                </c:pt>
                <c:pt idx="61">
                  <c:v>351.9446375159219</c:v>
                </c:pt>
                <c:pt idx="62">
                  <c:v>359.95980096859495</c:v>
                </c:pt>
                <c:pt idx="63">
                  <c:v>367.97106108239876</c:v>
                </c:pt>
                <c:pt idx="64">
                  <c:v>375.97851488635962</c:v>
                </c:pt>
                <c:pt idx="65">
                  <c:v>383.98225493635528</c:v>
                </c:pt>
                <c:pt idx="66">
                  <c:v>391.98236961231675</c:v>
                </c:pt>
                <c:pt idx="67">
                  <c:v>399.97894338989158</c:v>
                </c:pt>
                <c:pt idx="68">
                  <c:v>407.97205708923872</c:v>
                </c:pt>
                <c:pt idx="69">
                  <c:v>415.96178810329894</c:v>
                </c:pt>
                <c:pt idx="70">
                  <c:v>423.94821060760842</c:v>
                </c:pt>
                <c:pt idx="71">
                  <c:v>370.57855237838561</c:v>
                </c:pt>
                <c:pt idx="72">
                  <c:v>376.72320412097542</c:v>
                </c:pt>
                <c:pt idx="73">
                  <c:v>382.86567361197154</c:v>
                </c:pt>
                <c:pt idx="74">
                  <c:v>389.00600083506538</c:v>
                </c:pt>
                <c:pt idx="75">
                  <c:v>395.14422440751946</c:v>
                </c:pt>
                <c:pt idx="76">
                  <c:v>401.28038164783965</c:v>
                </c:pt>
                <c:pt idx="77">
                  <c:v>407.41450863908841</c:v>
                </c:pt>
                <c:pt idx="78">
                  <c:v>413.54664028818576</c:v>
                </c:pt>
                <c:pt idx="79">
                  <c:v>419.67681038150459</c:v>
                </c:pt>
                <c:pt idx="80">
                  <c:v>425.80505163704908</c:v>
                </c:pt>
                <c:pt idx="81">
                  <c:v>385.84306708196317</c:v>
                </c:pt>
                <c:pt idx="82">
                  <c:v>390.49424676672476</c:v>
                </c:pt>
                <c:pt idx="83">
                  <c:v>395.14422440751952</c:v>
                </c:pt>
                <c:pt idx="84">
                  <c:v>399.79301616201752</c:v>
                </c:pt>
                <c:pt idx="85">
                  <c:v>404.44063778104493</c:v>
                </c:pt>
                <c:pt idx="86">
                  <c:v>409.08710462349313</c:v>
                </c:pt>
                <c:pt idx="87">
                  <c:v>413.73243167051163</c:v>
                </c:pt>
                <c:pt idx="88">
                  <c:v>418.37663353903218</c:v>
                </c:pt>
                <c:pt idx="89">
                  <c:v>423.01972449465916</c:v>
                </c:pt>
                <c:pt idx="90">
                  <c:v>427.66171846396463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1.8729198340143851</c:v>
                </c:pt>
                <c:pt idx="2">
                  <c:v>2.4135479758512086</c:v>
                </c:pt>
                <c:pt idx="3">
                  <c:v>3.1108642363872612</c:v>
                </c:pt>
                <c:pt idx="4">
                  <c:v>4.0104541028705709</c:v>
                </c:pt>
                <c:pt idx="5">
                  <c:v>5.171212505727186</c:v>
                </c:pt>
                <c:pt idx="6">
                  <c:v>6.6692425447473553</c:v>
                </c:pt>
                <c:pt idx="7">
                  <c:v>8.6028997323613137</c:v>
                </c:pt>
                <c:pt idx="8">
                  <c:v>11.099319262358051</c:v>
                </c:pt>
                <c:pt idx="9">
                  <c:v>14.322863505049453</c:v>
                </c:pt>
                <c:pt idx="10">
                  <c:v>18.48605613691273</c:v>
                </c:pt>
                <c:pt idx="11">
                  <c:v>23.863736790004065</c:v>
                </c:pt>
                <c:pt idx="12">
                  <c:v>30.8113872121185</c:v>
                </c:pt>
                <c:pt idx="13">
                  <c:v>39.788861398043373</c:v>
                </c:pt>
                <c:pt idx="14">
                  <c:v>51.391117103362433</c:v>
                </c:pt>
                <c:pt idx="15">
                  <c:v>66.388019391585985</c:v>
                </c:pt>
                <c:pt idx="16">
                  <c:v>85.194768164020218</c:v>
                </c:pt>
                <c:pt idx="17">
                  <c:v>103.89641721710227</c:v>
                </c:pt>
                <c:pt idx="18">
                  <c:v>122.51465441021708</c:v>
                </c:pt>
                <c:pt idx="19">
                  <c:v>141.0639795757377</c:v>
                </c:pt>
                <c:pt idx="20">
                  <c:v>159.55474620160641</c:v>
                </c:pt>
                <c:pt idx="21">
                  <c:v>133.13939943138396</c:v>
                </c:pt>
                <c:pt idx="22">
                  <c:v>156.63870432465208</c:v>
                </c:pt>
                <c:pt idx="23">
                  <c:v>180.05418366507502</c:v>
                </c:pt>
                <c:pt idx="24">
                  <c:v>203.39828527691671</c:v>
                </c:pt>
                <c:pt idx="25">
                  <c:v>226.68035747382177</c:v>
                </c:pt>
                <c:pt idx="26">
                  <c:v>249.9076676355476</c:v>
                </c:pt>
                <c:pt idx="27">
                  <c:v>273.0860202554062</c:v>
                </c:pt>
                <c:pt idx="28">
                  <c:v>296.22015335819344</c:v>
                </c:pt>
                <c:pt idx="29">
                  <c:v>319.31400424598922</c:v>
                </c:pt>
                <c:pt idx="30">
                  <c:v>342.37089418257483</c:v>
                </c:pt>
                <c:pt idx="31">
                  <c:v>248.5851964020159</c:v>
                </c:pt>
                <c:pt idx="32">
                  <c:v>272.24615340699222</c:v>
                </c:pt>
                <c:pt idx="33">
                  <c:v>295.86087296854095</c:v>
                </c:pt>
                <c:pt idx="34">
                  <c:v>319.43356261528817</c:v>
                </c:pt>
                <c:pt idx="35">
                  <c:v>342.96775814565075</c:v>
                </c:pt>
                <c:pt idx="36">
                  <c:v>366.466470577667</c:v>
                </c:pt>
                <c:pt idx="37">
                  <c:v>389.93229339466257</c:v>
                </c:pt>
                <c:pt idx="38">
                  <c:v>413.36748260656083</c:v>
                </c:pt>
                <c:pt idx="39">
                  <c:v>436.77401769885142</c:v>
                </c:pt>
                <c:pt idx="40">
                  <c:v>460.15364883178995</c:v>
                </c:pt>
                <c:pt idx="41">
                  <c:v>364.32078190612714</c:v>
                </c:pt>
                <c:pt idx="42">
                  <c:v>385.05113818847946</c:v>
                </c:pt>
                <c:pt idx="43">
                  <c:v>405.75725330406408</c:v>
                </c:pt>
                <c:pt idx="44">
                  <c:v>426.44053752617054</c:v>
                </c:pt>
                <c:pt idx="45">
                  <c:v>447.10225323882605</c:v>
                </c:pt>
                <c:pt idx="46">
                  <c:v>467.74353670259165</c:v>
                </c:pt>
                <c:pt idx="47">
                  <c:v>488.3654157785586</c:v>
                </c:pt>
                <c:pt idx="48">
                  <c:v>508.96882450341235</c:v>
                </c:pt>
                <c:pt idx="49">
                  <c:v>529.55461518233449</c:v>
                </c:pt>
                <c:pt idx="50">
                  <c:v>550.12356850440324</c:v>
                </c:pt>
                <c:pt idx="51">
                  <c:v>451.61182640363944</c:v>
                </c:pt>
                <c:pt idx="52">
                  <c:v>469.16634705737187</c:v>
                </c:pt>
                <c:pt idx="53">
                  <c:v>486.70687929481687</c:v>
                </c:pt>
                <c:pt idx="54">
                  <c:v>504.2339979485501</c:v>
                </c:pt>
                <c:pt idx="55">
                  <c:v>521.74823465158636</c:v>
                </c:pt>
                <c:pt idx="56">
                  <c:v>539.25008245479557</c:v>
                </c:pt>
                <c:pt idx="57">
                  <c:v>556.73999981392342</c:v>
                </c:pt>
                <c:pt idx="58">
                  <c:v>574.21841404977397</c:v>
                </c:pt>
                <c:pt idx="59">
                  <c:v>591.68572436540137</c:v>
                </c:pt>
                <c:pt idx="60">
                  <c:v>609.14230448868682</c:v>
                </c:pt>
                <c:pt idx="61">
                  <c:v>533.69337715807103</c:v>
                </c:pt>
                <c:pt idx="62">
                  <c:v>547.99650503993337</c:v>
                </c:pt>
                <c:pt idx="63">
                  <c:v>562.29180424199478</c:v>
                </c:pt>
                <c:pt idx="64">
                  <c:v>576.57950175211442</c:v>
                </c:pt>
                <c:pt idx="65">
                  <c:v>590.85981239620548</c:v>
                </c:pt>
                <c:pt idx="66">
                  <c:v>605.13293977416163</c:v>
                </c:pt>
                <c:pt idx="67">
                  <c:v>619.39907710293414</c:v>
                </c:pt>
                <c:pt idx="68">
                  <c:v>633.65840797793805</c:v>
                </c:pt>
                <c:pt idx="69">
                  <c:v>647.91110706239272</c:v>
                </c:pt>
                <c:pt idx="70">
                  <c:v>662.15734071289023</c:v>
                </c:pt>
                <c:pt idx="71">
                  <c:v>601.24096984763185</c:v>
                </c:pt>
                <c:pt idx="72">
                  <c:v>612.2079194949057</c:v>
                </c:pt>
                <c:pt idx="73">
                  <c:v>623.17079450314816</c:v>
                </c:pt>
                <c:pt idx="74">
                  <c:v>634.12967663933784</c:v>
                </c:pt>
                <c:pt idx="75">
                  <c:v>645.08464461462631</c:v>
                </c:pt>
                <c:pt idx="76">
                  <c:v>656.03577424959133</c:v>
                </c:pt>
                <c:pt idx="77">
                  <c:v>666.98313862789018</c:v>
                </c:pt>
                <c:pt idx="78">
                  <c:v>677.92680823930039</c:v>
                </c:pt>
                <c:pt idx="79">
                  <c:v>688.8668511130528</c:v>
                </c:pt>
                <c:pt idx="80">
                  <c:v>699.8033329422542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2.2925413549237668</c:v>
                </c:pt>
                <c:pt idx="2">
                  <c:v>2.7853854125111419</c:v>
                </c:pt>
                <c:pt idx="3">
                  <c:v>3.3845827049449433</c:v>
                </c:pt>
                <c:pt idx="4">
                  <c:v>4.1131658555691564</c:v>
                </c:pt>
                <c:pt idx="5">
                  <c:v>4.9991722755973571</c:v>
                </c:pt>
                <c:pt idx="6">
                  <c:v>6.0767350347406106</c:v>
                </c:pt>
                <c:pt idx="7">
                  <c:v>7.3874121842109552</c:v>
                </c:pt>
                <c:pt idx="8">
                  <c:v>8.9818067919321507</c:v>
                </c:pt>
                <c:pt idx="9">
                  <c:v>10.92154143059823</c:v>
                </c:pt>
                <c:pt idx="10">
                  <c:v>13.28166486769487</c:v>
                </c:pt>
                <c:pt idx="11">
                  <c:v>16.15358580033239</c:v>
                </c:pt>
                <c:pt idx="12">
                  <c:v>19.648649337549152</c:v>
                </c:pt>
                <c:pt idx="13">
                  <c:v>23.902497389939708</c:v>
                </c:pt>
                <c:pt idx="14">
                  <c:v>29.080385196167239</c:v>
                </c:pt>
                <c:pt idx="15">
                  <c:v>35.383664137776321</c:v>
                </c:pt>
                <c:pt idx="16">
                  <c:v>43.057687281622897</c:v>
                </c:pt>
                <c:pt idx="17">
                  <c:v>52.401450592088082</c:v>
                </c:pt>
                <c:pt idx="18">
                  <c:v>63.779351731204777</c:v>
                </c:pt>
                <c:pt idx="19">
                  <c:v>77.63553257203192</c:v>
                </c:pt>
                <c:pt idx="20">
                  <c:v>94.511374358021442</c:v>
                </c:pt>
                <c:pt idx="21">
                  <c:v>76.553135365337411</c:v>
                </c:pt>
                <c:pt idx="22">
                  <c:v>92.57439481805693</c:v>
                </c:pt>
                <c:pt idx="23">
                  <c:v>108.52620233663954</c:v>
                </c:pt>
                <c:pt idx="24">
                  <c:v>124.42023577374732</c:v>
                </c:pt>
                <c:pt idx="25">
                  <c:v>140.26492914271279</c:v>
                </c:pt>
                <c:pt idx="26">
                  <c:v>156.06664796267964</c:v>
                </c:pt>
                <c:pt idx="27">
                  <c:v>171.83035982716311</c:v>
                </c:pt>
                <c:pt idx="28">
                  <c:v>187.56004452662785</c:v>
                </c:pt>
                <c:pt idx="29">
                  <c:v>203.2589587471665</c:v>
                </c:pt>
                <c:pt idx="30">
                  <c:v>218.92981441202707</c:v>
                </c:pt>
                <c:pt idx="31">
                  <c:v>165.14709205738814</c:v>
                </c:pt>
                <c:pt idx="32">
                  <c:v>178.03076976297575</c:v>
                </c:pt>
                <c:pt idx="33">
                  <c:v>190.89258969220046</c:v>
                </c:pt>
                <c:pt idx="34">
                  <c:v>203.73423290528615</c:v>
                </c:pt>
                <c:pt idx="35">
                  <c:v>216.5571510121564</c:v>
                </c:pt>
                <c:pt idx="36">
                  <c:v>229.36260951922031</c:v>
                </c:pt>
                <c:pt idx="37">
                  <c:v>242.15172097259355</c:v>
                </c:pt>
                <c:pt idx="38">
                  <c:v>254.92547072290634</c:v>
                </c:pt>
                <c:pt idx="39">
                  <c:v>267.68473724938116</c:v>
                </c:pt>
                <c:pt idx="40">
                  <c:v>280.43030840202363</c:v>
                </c:pt>
                <c:pt idx="41">
                  <c:v>223.6733757126764</c:v>
                </c:pt>
                <c:pt idx="42">
                  <c:v>233.15363346521647</c:v>
                </c:pt>
                <c:pt idx="43">
                  <c:v>242.62509103866606</c:v>
                </c:pt>
                <c:pt idx="44">
                  <c:v>252.08814071355721</c:v>
                </c:pt>
                <c:pt idx="45">
                  <c:v>261.54314288612386</c:v>
                </c:pt>
                <c:pt idx="46">
                  <c:v>270.99042974399339</c:v>
                </c:pt>
                <c:pt idx="47">
                  <c:v>280.43030840202363</c:v>
                </c:pt>
                <c:pt idx="48">
                  <c:v>289.86306359345832</c:v>
                </c:pt>
                <c:pt idx="49">
                  <c:v>299.28895999218292</c:v>
                </c:pt>
                <c:pt idx="50">
                  <c:v>308.70824422691641</c:v>
                </c:pt>
                <c:pt idx="51">
                  <c:v>266.89753247434771</c:v>
                </c:pt>
                <c:pt idx="52">
                  <c:v>273.82315783622602</c:v>
                </c:pt>
                <c:pt idx="53">
                  <c:v>280.74484682091673</c:v>
                </c:pt>
                <c:pt idx="54">
                  <c:v>287.66271028876605</c:v>
                </c:pt>
                <c:pt idx="55">
                  <c:v>294.57685332640881</c:v>
                </c:pt>
                <c:pt idx="56">
                  <c:v>301.48737567895461</c:v>
                </c:pt>
                <c:pt idx="57">
                  <c:v>308.39437214044113</c:v>
                </c:pt>
                <c:pt idx="58">
                  <c:v>315.29793290744811</c:v>
                </c:pt>
                <c:pt idx="59">
                  <c:v>322.19814390009697</c:v>
                </c:pt>
                <c:pt idx="60">
                  <c:v>329.09508705409206</c:v>
                </c:pt>
                <c:pt idx="61">
                  <c:v>302.74345277160893</c:v>
                </c:pt>
                <c:pt idx="62">
                  <c:v>307.76660666579431</c:v>
                </c:pt>
                <c:pt idx="63">
                  <c:v>312.78793918133044</c:v>
                </c:pt>
                <c:pt idx="64">
                  <c:v>317.80748372626402</c:v>
                </c:pt>
                <c:pt idx="65">
                  <c:v>322.82527256570933</c:v>
                </c:pt>
                <c:pt idx="66">
                  <c:v>327.84133687851204</c:v>
                </c:pt>
                <c:pt idx="67">
                  <c:v>332.85570681025939</c:v>
                </c:pt>
                <c:pt idx="68">
                  <c:v>337.8684115229251</c:v>
                </c:pt>
                <c:pt idx="69">
                  <c:v>342.87947924141309</c:v>
                </c:pt>
                <c:pt idx="70">
                  <c:v>347.88893729723367</c:v>
                </c:pt>
                <c:pt idx="71">
                  <c:v>326.74421862455461</c:v>
                </c:pt>
                <c:pt idx="72">
                  <c:v>330.66212656242277</c:v>
                </c:pt>
                <c:pt idx="73">
                  <c:v>334.57901043510515</c:v>
                </c:pt>
                <c:pt idx="74">
                  <c:v>338.49488394193014</c:v>
                </c:pt>
                <c:pt idx="75">
                  <c:v>342.40976043891669</c:v>
                </c:pt>
                <c:pt idx="76">
                  <c:v>346.3236529512954</c:v>
                </c:pt>
                <c:pt idx="77">
                  <c:v>350.23657418543257</c:v>
                </c:pt>
                <c:pt idx="78">
                  <c:v>354.14853654019339</c:v>
                </c:pt>
                <c:pt idx="79">
                  <c:v>358.05955211777615</c:v>
                </c:pt>
                <c:pt idx="80">
                  <c:v>361.96963273404782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2" zoomScaleNormal="100" workbookViewId="0">
      <selection activeCell="C11" sqref="C1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5.34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0.5</v>
      </c>
      <c r="D9" s="33">
        <f t="shared" ref="D9:D18" si="0">C9*$C$5</f>
        <v>2.67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13</v>
      </c>
      <c r="C10" s="32">
        <v>0.15</v>
      </c>
      <c r="D10" s="33">
        <f t="shared" si="0"/>
        <v>0.80099999999999993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18</v>
      </c>
      <c r="C11" s="32">
        <v>0.25</v>
      </c>
      <c r="D11" s="33">
        <f t="shared" si="0"/>
        <v>1.335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8</v>
      </c>
      <c r="C12" s="32">
        <v>0.1</v>
      </c>
      <c r="D12" s="33">
        <f t="shared" si="0"/>
        <v>0.53400000000000003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5.34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25</v>
      </c>
      <c r="B36" s="60">
        <v>30</v>
      </c>
      <c r="C36" s="60">
        <v>0</v>
      </c>
      <c r="D36" s="60">
        <v>0</v>
      </c>
      <c r="E36" s="51"/>
      <c r="F36" s="51"/>
      <c r="G36" s="51"/>
      <c r="H36" s="51"/>
      <c r="I36" s="49">
        <f>IFERROR(B36/A36,"")</f>
        <v>1.2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54</v>
      </c>
      <c r="C37" s="60">
        <v>0</v>
      </c>
      <c r="D37" s="60">
        <v>0</v>
      </c>
      <c r="E37" s="51"/>
      <c r="F37" s="51"/>
      <c r="G37" s="51"/>
      <c r="H37" s="51"/>
      <c r="I37" s="53">
        <f t="shared" ref="I37:I55" si="1">IF(A37&lt;&gt;0,(B37-(B36-D36))/(A37-A36),"")</f>
        <v>4.8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106</v>
      </c>
      <c r="C38" s="60">
        <v>1</v>
      </c>
      <c r="D38" s="60">
        <v>27</v>
      </c>
      <c r="E38" s="51"/>
      <c r="F38" s="51"/>
      <c r="G38" s="51"/>
      <c r="H38" s="51"/>
      <c r="I38" s="53">
        <f t="shared" si="1"/>
        <v>5.2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135</v>
      </c>
      <c r="C39" s="60">
        <v>2</v>
      </c>
      <c r="D39" s="60">
        <v>28</v>
      </c>
      <c r="E39" s="51"/>
      <c r="F39" s="51"/>
      <c r="G39" s="51"/>
      <c r="H39" s="51"/>
      <c r="I39" s="49">
        <f t="shared" si="1"/>
        <v>5.6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162</v>
      </c>
      <c r="C40" s="60">
        <v>3</v>
      </c>
      <c r="D40" s="60">
        <v>28</v>
      </c>
      <c r="E40" s="51"/>
      <c r="F40" s="51"/>
      <c r="G40" s="51"/>
      <c r="H40" s="51"/>
      <c r="I40" s="49">
        <f t="shared" si="1"/>
        <v>5.5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186</v>
      </c>
      <c r="C41" s="60">
        <v>4</v>
      </c>
      <c r="D41" s="60">
        <v>28</v>
      </c>
      <c r="E41" s="51"/>
      <c r="F41" s="51"/>
      <c r="G41" s="51"/>
      <c r="H41" s="51"/>
      <c r="I41" s="53">
        <f t="shared" si="1"/>
        <v>5.2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206</v>
      </c>
      <c r="C42" s="60">
        <v>5</v>
      </c>
      <c r="D42" s="60">
        <v>28</v>
      </c>
      <c r="E42" s="51"/>
      <c r="F42" s="51"/>
      <c r="G42" s="51"/>
      <c r="H42" s="51"/>
      <c r="I42" s="53">
        <f t="shared" si="1"/>
        <v>4.8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v>221</v>
      </c>
      <c r="C43" s="60">
        <v>6</v>
      </c>
      <c r="D43" s="60">
        <v>28</v>
      </c>
      <c r="E43" s="51"/>
      <c r="F43" s="51"/>
      <c r="G43" s="51"/>
      <c r="H43" s="51"/>
      <c r="I43" s="49">
        <f t="shared" si="1"/>
        <v>4.3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v>230</v>
      </c>
      <c r="C44" s="60">
        <v>7</v>
      </c>
      <c r="D44" s="60">
        <v>28</v>
      </c>
      <c r="E44" s="51"/>
      <c r="F44" s="51"/>
      <c r="G44" s="51"/>
      <c r="H44" s="51"/>
      <c r="I44" s="49">
        <f t="shared" si="1"/>
        <v>3.7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110</v>
      </c>
      <c r="B45" s="60">
        <v>233</v>
      </c>
      <c r="C45" s="60">
        <v>8</v>
      </c>
      <c r="D45" s="60">
        <v>27</v>
      </c>
      <c r="E45" s="51"/>
      <c r="F45" s="51"/>
      <c r="G45" s="51"/>
      <c r="H45" s="51"/>
      <c r="I45" s="49">
        <f t="shared" si="1"/>
        <v>3.1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120</v>
      </c>
      <c r="B46" s="60">
        <v>234</v>
      </c>
      <c r="C46" s="60">
        <v>9</v>
      </c>
      <c r="D46" s="60">
        <v>234</v>
      </c>
      <c r="E46" s="51"/>
      <c r="F46" s="51"/>
      <c r="G46" s="51"/>
      <c r="H46" s="51"/>
      <c r="I46" s="49">
        <f t="shared" si="1"/>
        <v>2.8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105</v>
      </c>
      <c r="C62" s="60">
        <v>1</v>
      </c>
      <c r="D62" s="60">
        <v>32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5.25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175</v>
      </c>
      <c r="C63" s="60">
        <v>2</v>
      </c>
      <c r="D63" s="60">
        <v>62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10.199999999999999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200</v>
      </c>
      <c r="C64" s="60">
        <v>3</v>
      </c>
      <c r="D64" s="60">
        <v>58</v>
      </c>
      <c r="E64" s="51"/>
      <c r="F64" s="51"/>
      <c r="G64" s="51"/>
      <c r="H64" s="51"/>
      <c r="I64" s="49">
        <f>IF(A64&lt;&gt;0,(B64-(B63-D63))/(A64-A63),"")</f>
        <v>8.6999999999999993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214</v>
      </c>
      <c r="C65" s="60">
        <v>4</v>
      </c>
      <c r="D65" s="60">
        <v>50</v>
      </c>
      <c r="E65" s="51"/>
      <c r="F65" s="51"/>
      <c r="G65" s="51"/>
      <c r="H65" s="51"/>
      <c r="I65" s="49">
        <f>IF(A65&lt;&gt;0,(B65-(B64-D64))/(A65-A64),"")</f>
        <v>7.2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220</v>
      </c>
      <c r="C66" s="60">
        <v>5</v>
      </c>
      <c r="D66" s="60">
        <v>40</v>
      </c>
      <c r="E66" s="51"/>
      <c r="F66" s="51"/>
      <c r="G66" s="51"/>
      <c r="H66" s="51"/>
      <c r="I66" s="49">
        <f t="shared" ref="I66:I81" si="2">IF(A66&lt;&gt;0,(B66-(B65-D65))/(A66-A65),"")</f>
        <v>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223</v>
      </c>
      <c r="C67" s="60">
        <v>6</v>
      </c>
      <c r="D67" s="60">
        <v>32</v>
      </c>
      <c r="E67" s="51"/>
      <c r="F67" s="51"/>
      <c r="G67" s="51"/>
      <c r="H67" s="51"/>
      <c r="I67" s="49">
        <f t="shared" si="2"/>
        <v>4.3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v>224</v>
      </c>
      <c r="C68" s="60">
        <v>7</v>
      </c>
      <c r="D68" s="60">
        <v>24</v>
      </c>
      <c r="E68" s="51"/>
      <c r="F68" s="51"/>
      <c r="G68" s="51"/>
      <c r="H68" s="51"/>
      <c r="I68" s="49">
        <f t="shared" si="2"/>
        <v>3.3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v>225</v>
      </c>
      <c r="C69" s="50">
        <v>8</v>
      </c>
      <c r="D69" s="50">
        <v>225</v>
      </c>
      <c r="E69" s="51"/>
      <c r="F69" s="51"/>
      <c r="G69" s="51"/>
      <c r="H69" s="51"/>
      <c r="I69" s="49">
        <f t="shared" si="2"/>
        <v>2.5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Douglas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15</v>
      </c>
      <c r="B88" s="60">
        <v>52</v>
      </c>
      <c r="C88" s="60"/>
      <c r="D88" s="60">
        <v>0</v>
      </c>
      <c r="E88" s="51"/>
      <c r="F88" s="51"/>
      <c r="G88" s="51"/>
      <c r="H88" s="87"/>
      <c r="I88" s="53">
        <f>IFERROR(B88/A88,"")</f>
        <v>3.4666666666666668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128</v>
      </c>
      <c r="C89" s="60">
        <v>1</v>
      </c>
      <c r="D89" s="60">
        <v>41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15.2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280</v>
      </c>
      <c r="C90" s="60">
        <v>2</v>
      </c>
      <c r="D90" s="60">
        <v>98</v>
      </c>
      <c r="E90" s="87">
        <v>0.1</v>
      </c>
      <c r="F90" s="87">
        <v>0.45</v>
      </c>
      <c r="G90" s="87">
        <v>0.45</v>
      </c>
      <c r="H90" s="87"/>
      <c r="I90" s="53">
        <f t="shared" si="3"/>
        <v>19.3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40</v>
      </c>
      <c r="B91" s="60">
        <v>379</v>
      </c>
      <c r="C91" s="60">
        <v>3</v>
      </c>
      <c r="D91" s="60">
        <v>98</v>
      </c>
      <c r="E91" s="87"/>
      <c r="F91" s="87"/>
      <c r="G91" s="87"/>
      <c r="H91" s="87"/>
      <c r="I91" s="53">
        <f t="shared" si="3"/>
        <v>19.7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50</v>
      </c>
      <c r="B92" s="60">
        <v>455</v>
      </c>
      <c r="C92" s="60">
        <v>4</v>
      </c>
      <c r="D92" s="60">
        <v>98</v>
      </c>
      <c r="E92" s="87"/>
      <c r="F92" s="87"/>
      <c r="G92" s="87"/>
      <c r="H92" s="87"/>
      <c r="I92" s="53">
        <f t="shared" si="3"/>
        <v>17.399999999999999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60</v>
      </c>
      <c r="B93" s="60">
        <v>505</v>
      </c>
      <c r="C93" s="60">
        <v>5</v>
      </c>
      <c r="D93" s="60">
        <v>76</v>
      </c>
      <c r="E93" s="87"/>
      <c r="F93" s="87"/>
      <c r="G93" s="87"/>
      <c r="H93" s="87"/>
      <c r="I93" s="53">
        <f t="shared" si="3"/>
        <v>14.8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70</v>
      </c>
      <c r="B94" s="60">
        <v>550</v>
      </c>
      <c r="C94" s="60">
        <v>6</v>
      </c>
      <c r="D94" s="60">
        <v>61</v>
      </c>
      <c r="E94" s="87"/>
      <c r="F94" s="87"/>
      <c r="G94" s="87"/>
      <c r="H94" s="87"/>
      <c r="I94" s="53">
        <f t="shared" si="3"/>
        <v>12.1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80</v>
      </c>
      <c r="B95" s="60">
        <v>582</v>
      </c>
      <c r="C95" s="60">
        <v>7</v>
      </c>
      <c r="D95" s="60">
        <v>582</v>
      </c>
      <c r="E95" s="87"/>
      <c r="F95" s="87"/>
      <c r="G95" s="87"/>
      <c r="H95" s="87"/>
      <c r="I95" s="53">
        <f t="shared" si="3"/>
        <v>9.3000000000000007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Châtaignier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57</v>
      </c>
      <c r="C114" s="50">
        <v>1</v>
      </c>
      <c r="D114" s="60">
        <v>21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2.85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v>135</v>
      </c>
      <c r="C115" s="50">
        <v>2</v>
      </c>
      <c r="D115" s="60">
        <v>42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9.9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v>174</v>
      </c>
      <c r="C116" s="50">
        <v>3</v>
      </c>
      <c r="D116" s="60">
        <v>42</v>
      </c>
      <c r="E116" s="51"/>
      <c r="F116" s="51"/>
      <c r="G116" s="51"/>
      <c r="H116" s="51"/>
      <c r="I116" s="53">
        <f t="shared" si="4"/>
        <v>8.1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v>192</v>
      </c>
      <c r="C117" s="50">
        <v>4</v>
      </c>
      <c r="D117" s="60">
        <v>31</v>
      </c>
      <c r="E117" s="51"/>
      <c r="F117" s="51"/>
      <c r="G117" s="51"/>
      <c r="H117" s="51"/>
      <c r="I117" s="53">
        <f t="shared" si="4"/>
        <v>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v>205</v>
      </c>
      <c r="C118" s="50">
        <v>5</v>
      </c>
      <c r="D118" s="60">
        <v>20</v>
      </c>
      <c r="E118" s="51"/>
      <c r="F118" s="51"/>
      <c r="G118" s="51"/>
      <c r="H118" s="51"/>
      <c r="I118" s="53">
        <f t="shared" si="4"/>
        <v>4.4000000000000004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v>217</v>
      </c>
      <c r="C119" s="50">
        <v>6</v>
      </c>
      <c r="D119" s="60">
        <v>16</v>
      </c>
      <c r="E119" s="51"/>
      <c r="F119" s="51"/>
      <c r="G119" s="51"/>
      <c r="H119" s="51"/>
      <c r="I119" s="53">
        <f t="shared" si="4"/>
        <v>3.2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v>226</v>
      </c>
      <c r="C120" s="60">
        <v>7</v>
      </c>
      <c r="D120" s="60">
        <v>226</v>
      </c>
      <c r="E120" s="87"/>
      <c r="F120" s="87"/>
      <c r="G120" s="87"/>
      <c r="H120" s="87"/>
      <c r="I120" s="53">
        <f t="shared" si="4"/>
        <v>2.5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Douglas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Châtaignier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138.8931001150624</v>
      </c>
      <c r="T3" s="59">
        <f>IF('Données projet'!E9&gt;30,$R$33-$H$33,LOOKUP('Données projet'!$E$9,$A$3:$A$203,R3:R203)-LOOKUP('Données projet'!$E$9,$A$3:$A$203,$H$3:$H$203))</f>
        <v>48.964659354096625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191.94797389630673</v>
      </c>
      <c r="AO3" s="59">
        <f>IF('Données projet'!E10&gt;30,$AM$33-$H$33,LOOKUP('Données projet'!$E$10,$A$3:$A$203,AM3:AM203)-LOOKUP('Données projet'!$E$10,$A$3:$A$203,$H$3:$H$203))</f>
        <v>273.52540822767878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279.98352834501759</v>
      </c>
      <c r="BJ3" s="59">
        <f>IF('Données projet'!E11&gt;30,$BH$33-$H$33,LOOKUP('Données projet'!$E$11,$A$3:$A$203,BH3:BH203)-LOOKUP('Données projet'!$E$11,$A$3:$A$203,$H$3:$H$203))</f>
        <v>281.30062655265488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124.15919323713428</v>
      </c>
      <c r="CE3" s="59">
        <f>IF('Données projet'!E12&gt;30,$CC$33-$H$33,LOOKUP('Données projet'!$E$12,$A$3:$A$203,CC3:CC203)-LOOKUP('Données projet'!$E$12,$A$3:$A$203,$H$3:$H$203))</f>
        <v>157.85954678210715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1.2</v>
      </c>
      <c r="N4" s="13">
        <f>IF('Données projet'!$A$36&gt;35,N3+M4-V3,IF(A4&lt;'Données projet'!$A$36,$K$205^A4,IF(A4='Données projet'!$A$36,'Données projet'!$B$36,N3+M4-V3)))</f>
        <v>1.1457367676485573</v>
      </c>
      <c r="O4" s="13">
        <f>N4*VLOOKUP('Données projet'!$B$9,Paramètres!$A$1:$I$89,3,0)*VLOOKUP('Données projet'!$B$9,Paramètres!$A$1:$I$89,5,0)</f>
        <v>1.0366626273684145</v>
      </c>
      <c r="P4" s="13">
        <f>EXP(-1.0587+0.8836*LN(O4)+0.284)</f>
        <v>0.47573960617002853</v>
      </c>
      <c r="Q4" s="20">
        <f t="shared" ref="Q4:Q34" si="2">(O4+P4)*0.475*44/12</f>
        <v>2.6341005567461218</v>
      </c>
      <c r="R4" s="59">
        <f t="shared" si="0"/>
        <v>295.96743389007946</v>
      </c>
      <c r="S4" s="59">
        <f ca="1">AVERAGE(OFFSET($R$3,0,0,'Données projet'!$E$9+1,1))-AVERAGE(OFFSET($H$3,0,0,'Données projet'!$E$9+1,1))</f>
        <v>138.8931001150624</v>
      </c>
      <c r="T4" s="59">
        <f>$T$3</f>
        <v>48.964659354096625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5.25</v>
      </c>
      <c r="AI4" s="13">
        <f>IF('Données projet'!$A$62&gt;35,AI3+AH4-AQ3,IF(A4&lt;'Données projet'!$A$62,$AF$205^A4,IF(A4='Données projet'!$A$62,'Données projet'!$B$62,AI3+AH4-AQ3)))</f>
        <v>1.2620003197767753</v>
      </c>
      <c r="AJ4" s="13">
        <f>AI4*VLOOKUP('Données projet'!$B$10,Paramètres!$A$1:$I$89,3,0)*VLOOKUP('Données projet'!$B$10,Paramètres!$A$1:$I$89,5,0)</f>
        <v>1.1024834793569909</v>
      </c>
      <c r="AK4" s="13">
        <f>EXP(-1.0587+0.8836*LN(AJ4)+0.284)</f>
        <v>0.50233338685937634</v>
      </c>
      <c r="AL4" s="20">
        <f t="shared" ref="AL4:AL67" si="4">(AJ4+AK4)*0.475*44/12</f>
        <v>2.7950560419935062</v>
      </c>
      <c r="AM4" s="59">
        <f t="shared" ref="AM4:AM67" si="5">AL4+(AD4+AE4)*44/12</f>
        <v>296.12838937532683</v>
      </c>
      <c r="AN4" s="59">
        <f ca="1">AVERAGE(OFFSET($AM$3,0,0,'Données projet'!$E$10+1,1))-AVERAGE(OFFSET($H$3,0,0,'Données projet'!$E$10+1,1))</f>
        <v>191.94797389630673</v>
      </c>
      <c r="AO4" s="59">
        <f>$AO$3</f>
        <v>273.52540822767878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3.4666666666666668</v>
      </c>
      <c r="BD4" s="12">
        <f>IF('Données projet'!$A$88&gt;35,BD3+BC4-BL3,IF(A4&lt;'Données projet'!$A$88,$BA$205^A4,IF(A4='Données projet'!$A$88,'Données projet'!$B$88,BD3+BC4-BL3)))</f>
        <v>1.3013682980565777</v>
      </c>
      <c r="BE4" s="13">
        <f>BD4*VLOOKUP('Données projet'!$B$11,Paramètres!$A$1:$I$89,3,0)*VLOOKUP('Données projet'!$B$11,Paramètres!$A$1:$I$89,5,0)</f>
        <v>0.72746487861362696</v>
      </c>
      <c r="BF4" s="13">
        <f>EXP(-1.0587+0.8836*LN(BE4)+0.284)</f>
        <v>0.34789579163386686</v>
      </c>
      <c r="BG4" s="20">
        <f t="shared" ref="BG4:BG67" si="7">(BE4+BF4)*0.475*44/12</f>
        <v>1.8729198340143851</v>
      </c>
      <c r="BH4" s="59">
        <f t="shared" ref="BH4:BH67" si="8">BG4+(AY4+AZ4)*44/12</f>
        <v>295.20625316734771</v>
      </c>
      <c r="BI4" s="59">
        <f ca="1">AVERAGE(OFFSET($BH$3,0,0,'Données projet'!$E$11+1,1))-AVERAGE(OFFSET($H$3,0,0,'Données projet'!$E$11+1,1))</f>
        <v>279.98352834501759</v>
      </c>
      <c r="BJ4" s="59">
        <f>$BJ$3</f>
        <v>281.30062655265488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2.85</v>
      </c>
      <c r="BY4" s="12">
        <f>IF('Données projet'!$A$114&gt;35,BY3+BX4-CG3,IF(A4&lt;'Données projet'!$A$114,$BV$205^A4,IF(A4='Données projet'!$A$114,'Données projet'!$B$114,BY3+BX4-CG3)))</f>
        <v>1.2240347367580502</v>
      </c>
      <c r="BZ4" s="13">
        <f>BY4*VLOOKUP('Données projet'!$B$12,Paramètres!$A$1:$I$89,3,0)*VLOOKUP('Données projet'!$B$12,Paramètres!$A$1:$I$89,5,0)</f>
        <v>0.89746226899100245</v>
      </c>
      <c r="CA4" s="13">
        <f>EXP(-1.0587+0.8836*LN(BZ4)+0.284)</f>
        <v>0.41882941804656698</v>
      </c>
      <c r="CB4" s="20">
        <f t="shared" ref="CB4:CB67" si="10">(BZ4+CA4)*0.475*44/12</f>
        <v>2.2925413549237668</v>
      </c>
      <c r="CC4" s="59">
        <f t="shared" ref="CC4:CC67" si="11">CB4+(BT4+BU4)*44/12</f>
        <v>295.62587468825706</v>
      </c>
      <c r="CD4" s="59">
        <f ca="1">AVERAGE(OFFSET($CC$3,0,0,'Données projet'!$E$12+1,1))-AVERAGE(OFFSET($H$3,0,0,'Données projet'!$E$12+1,1))</f>
        <v>124.15919323713428</v>
      </c>
      <c r="CE4" s="59">
        <f>$CE$3</f>
        <v>157.85954678210715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1.2</v>
      </c>
      <c r="N5" s="13">
        <f>IF('Données projet'!$A$36&gt;35,N4+M5-V4,IF(A5&lt;'Données projet'!$A$36,$K$205^A5,IF(A5='Données projet'!$A$36,'Données projet'!$B$36,N4+M5-V4)))</f>
        <v>1.312712740741764</v>
      </c>
      <c r="O5" s="13">
        <f>N5*VLOOKUP('Données projet'!$B$9,Paramètres!$A$1:$I$89,3,0)*VLOOKUP('Données projet'!$B$9,Paramètres!$A$1:$I$89,5,0)</f>
        <v>1.187742487823148</v>
      </c>
      <c r="P5" s="13">
        <f t="shared" ref="P5:P68" si="33">EXP(-1.0587+0.8836*LN(O5)+0.284)</f>
        <v>0.53650859312100496</v>
      </c>
      <c r="Q5" s="20">
        <f t="shared" si="2"/>
        <v>3.0030706326443997</v>
      </c>
      <c r="R5" s="59">
        <f t="shared" si="0"/>
        <v>296.33640396597769</v>
      </c>
      <c r="S5" s="59">
        <f ca="1">AVERAGE(OFFSET($R$3,0,0,'Données projet'!$E$9+1,1))-AVERAGE(OFFSET($H$3,0,0,'Données projet'!$E$9+1,1))</f>
        <v>138.8931001150624</v>
      </c>
      <c r="T5" s="59">
        <f t="shared" ref="T5:T68" si="34">$T$3</f>
        <v>48.964659354096625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5.25</v>
      </c>
      <c r="AI5" s="13">
        <f>IF('Données projet'!$A$62&gt;35,AI4+AH5-AQ4,IF(A5&lt;'Données projet'!$A$62,$AF$205^A5,IF(A5='Données projet'!$A$62,'Données projet'!$B$62,AI4+AH5-AQ4)))</f>
        <v>1.592644807116683</v>
      </c>
      <c r="AJ5" s="13">
        <f>AI5*VLOOKUP('Données projet'!$B$10,Paramètres!$A$1:$I$89,3,0)*VLOOKUP('Données projet'!$B$10,Paramètres!$A$1:$I$89,5,0)</f>
        <v>1.3913345034971345</v>
      </c>
      <c r="AK5" s="13">
        <f t="shared" ref="AK5:AK68" si="35">EXP(-1.0587+0.8836*LN(AJ5)+0.284)</f>
        <v>0.61700429487653952</v>
      </c>
      <c r="AL5" s="20">
        <f t="shared" si="4"/>
        <v>3.4978567405008154</v>
      </c>
      <c r="AM5" s="59">
        <f t="shared" si="5"/>
        <v>296.83119007383414</v>
      </c>
      <c r="AN5" s="59">
        <f ca="1">AVERAGE(OFFSET($AM$3,0,0,'Données projet'!$E$10+1,1))-AVERAGE(OFFSET($H$3,0,0,'Données projet'!$E$10+1,1))</f>
        <v>191.94797389630673</v>
      </c>
      <c r="AO5" s="59">
        <f t="shared" ref="AO5:AO68" si="36">$AO$3</f>
        <v>273.52540822767878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3.4666666666666668</v>
      </c>
      <c r="BD5" s="12">
        <f>IF('Données projet'!$A$88&gt;35,BD4+BC5-BL4,IF(A5&lt;'Données projet'!$A$88,$BA$205^A5,IF(A5='Données projet'!$A$88,'Données projet'!$B$88,BD4+BC5-BL4)))</f>
        <v>1.6935594471866737</v>
      </c>
      <c r="BE5" s="13">
        <f>BD5*VLOOKUP('Données projet'!$B$11,Paramètres!$A$1:$I$89,3,0)*VLOOKUP('Données projet'!$B$11,Paramètres!$A$1:$I$89,5,0)</f>
        <v>0.94669973097735072</v>
      </c>
      <c r="BF5" s="13">
        <f t="shared" ref="BF5:BF68" si="37">EXP(-1.0587+0.8836*LN(BE5)+0.284)</f>
        <v>0.43906944176018564</v>
      </c>
      <c r="BG5" s="20">
        <f t="shared" si="7"/>
        <v>2.4135479758512086</v>
      </c>
      <c r="BH5" s="59">
        <f t="shared" si="8"/>
        <v>295.74688130918452</v>
      </c>
      <c r="BI5" s="59">
        <f ca="1">AVERAGE(OFFSET($BH$3,0,0,'Données projet'!$E$11+1,1))-AVERAGE(OFFSET($H$3,0,0,'Données projet'!$E$11+1,1))</f>
        <v>279.98352834501759</v>
      </c>
      <c r="BJ5" s="59">
        <f t="shared" ref="BJ5:BJ68" si="38">$BJ$3</f>
        <v>281.30062655265488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2.85</v>
      </c>
      <c r="BY5" s="12">
        <f>IF('Données projet'!$A$114&gt;35,BY4+BX5-CG4,IF(A5&lt;'Données projet'!$A$114,$BV$205^A5,IF(A5='Données projet'!$A$114,'Données projet'!$B$114,BY4+BX5-CG4)))</f>
        <v>1.4982610367903493</v>
      </c>
      <c r="BZ5" s="13">
        <f>BY5*VLOOKUP('Données projet'!$B$12,Paramètres!$A$1:$I$89,3,0)*VLOOKUP('Données projet'!$B$12,Paramètres!$A$1:$I$89,5,0)</f>
        <v>1.098524992174684</v>
      </c>
      <c r="CA5" s="13">
        <f t="shared" ref="CA5:CA68" si="39">EXP(-1.0587+0.8836*LN(BZ5)+0.284)</f>
        <v>0.50073935950635462</v>
      </c>
      <c r="CB5" s="20">
        <f t="shared" si="10"/>
        <v>2.7853854125111419</v>
      </c>
      <c r="CC5" s="59">
        <f t="shared" si="11"/>
        <v>296.11871874584443</v>
      </c>
      <c r="CD5" s="59">
        <f ca="1">AVERAGE(OFFSET($CC$3,0,0,'Données projet'!$E$12+1,1))-AVERAGE(OFFSET($H$3,0,0,'Données projet'!$E$12+1,1))</f>
        <v>124.15919323713428</v>
      </c>
      <c r="CE5" s="59">
        <f t="shared" ref="CE5:CE68" si="40">$CE$3</f>
        <v>157.85954678210715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1.2</v>
      </c>
      <c r="N6" s="13">
        <f>IF('Données projet'!$A$36&gt;35,N5+M6-V5,IF(A6&lt;'Données projet'!$A$36,$K$205^A6,IF(A6='Données projet'!$A$36,'Données projet'!$B$36,N5+M6-V5)))</f>
        <v>1.5040232524285473</v>
      </c>
      <c r="O6" s="13">
        <f>N6*VLOOKUP('Données projet'!$B$9,Paramètres!$A$1:$I$89,3,0)*VLOOKUP('Données projet'!$B$9,Paramètres!$A$1:$I$89,5,0)</f>
        <v>1.3608402387973495</v>
      </c>
      <c r="P6" s="13">
        <f t="shared" si="33"/>
        <v>0.60503995622724338</v>
      </c>
      <c r="Q6" s="20">
        <f t="shared" si="2"/>
        <v>3.4239080063344987</v>
      </c>
      <c r="R6" s="59">
        <f t="shared" si="0"/>
        <v>296.75724133966781</v>
      </c>
      <c r="S6" s="59">
        <f ca="1">AVERAGE(OFFSET($R$3,0,0,'Données projet'!$E$9+1,1))-AVERAGE(OFFSET($H$3,0,0,'Données projet'!$E$9+1,1))</f>
        <v>138.8931001150624</v>
      </c>
      <c r="T6" s="59">
        <f t="shared" si="34"/>
        <v>48.964659354096625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5.25</v>
      </c>
      <c r="AI6" s="13">
        <f>IF('Données projet'!$A$62&gt;35,AI5+AH6-AQ5,IF(A6&lt;'Données projet'!$A$62,$AF$205^A6,IF(A6='Données projet'!$A$62,'Données projet'!$B$62,AI5+AH6-AQ5)))</f>
        <v>2.0099182558720745</v>
      </c>
      <c r="AJ6" s="13">
        <f>AI6*VLOOKUP('Données projet'!$B$10,Paramètres!$A$1:$I$89,3,0)*VLOOKUP('Données projet'!$B$10,Paramètres!$A$1:$I$89,5,0)</f>
        <v>1.7558645883298445</v>
      </c>
      <c r="AK6" s="13">
        <f t="shared" si="35"/>
        <v>0.75785187657189812</v>
      </c>
      <c r="AL6" s="20">
        <f t="shared" si="4"/>
        <v>4.378056176370535</v>
      </c>
      <c r="AM6" s="59">
        <f t="shared" si="5"/>
        <v>297.71138950970385</v>
      </c>
      <c r="AN6" s="59">
        <f ca="1">AVERAGE(OFFSET($AM$3,0,0,'Données projet'!$E$10+1,1))-AVERAGE(OFFSET($H$3,0,0,'Données projet'!$E$10+1,1))</f>
        <v>191.94797389630673</v>
      </c>
      <c r="AO6" s="59">
        <f t="shared" si="36"/>
        <v>273.52540822767878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3.4666666666666668</v>
      </c>
      <c r="BD6" s="12">
        <f>IF('Données projet'!$A$88&gt;35,BD5+BC6-BL5,IF(A6&lt;'Données projet'!$A$88,$BA$205^A6,IF(A6='Données projet'!$A$88,'Données projet'!$B$88,BD5+BC6-BL5)))</f>
        <v>2.2039445754429603</v>
      </c>
      <c r="BE6" s="13">
        <f>BD6*VLOOKUP('Données projet'!$B$11,Paramètres!$A$1:$I$89,3,0)*VLOOKUP('Données projet'!$B$11,Paramètres!$A$1:$I$89,5,0)</f>
        <v>1.2320050176726147</v>
      </c>
      <c r="BF6" s="13">
        <f t="shared" si="37"/>
        <v>0.55413712762150624</v>
      </c>
      <c r="BG6" s="20">
        <f t="shared" si="7"/>
        <v>3.1108642363872612</v>
      </c>
      <c r="BH6" s="59">
        <f t="shared" si="8"/>
        <v>296.44419756972059</v>
      </c>
      <c r="BI6" s="59">
        <f ca="1">AVERAGE(OFFSET($BH$3,0,0,'Données projet'!$E$11+1,1))-AVERAGE(OFFSET($H$3,0,0,'Données projet'!$E$11+1,1))</f>
        <v>279.98352834501759</v>
      </c>
      <c r="BJ6" s="59">
        <f t="shared" si="38"/>
        <v>281.30062655265488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2.85</v>
      </c>
      <c r="BY6" s="12">
        <f>IF('Données projet'!$A$114&gt;35,BY5+BX6-CG5,IF(A6&lt;'Données projet'!$A$114,$BV$205^A6,IF(A6='Données projet'!$A$114,'Données projet'!$B$114,BY5+BX6-CG5)))</f>
        <v>1.8339235537625185</v>
      </c>
      <c r="BZ6" s="13">
        <f>BY6*VLOOKUP('Données projet'!$B$12,Paramètres!$A$1:$I$89,3,0)*VLOOKUP('Données projet'!$B$12,Paramètres!$A$1:$I$89,5,0)</f>
        <v>1.3446327496186785</v>
      </c>
      <c r="CA6" s="13">
        <f t="shared" si="39"/>
        <v>0.5986683249908582</v>
      </c>
      <c r="CB6" s="20">
        <f t="shared" si="10"/>
        <v>3.3845827049449433</v>
      </c>
      <c r="CC6" s="59">
        <f t="shared" si="11"/>
        <v>296.71791603827825</v>
      </c>
      <c r="CD6" s="59">
        <f ca="1">AVERAGE(OFFSET($CC$3,0,0,'Données projet'!$E$12+1,1))-AVERAGE(OFFSET($H$3,0,0,'Données projet'!$E$12+1,1))</f>
        <v>124.15919323713428</v>
      </c>
      <c r="CE6" s="59">
        <f t="shared" si="40"/>
        <v>157.85954678210715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1.2</v>
      </c>
      <c r="N7" s="13">
        <f>IF('Données projet'!$A$36&gt;35,N6+M7-V6,IF(A7&lt;'Données projet'!$A$36,$K$205^A7,IF(A7='Données projet'!$A$36,'Données projet'!$B$36,N6+M7-V6)))</f>
        <v>1.7232147397057538</v>
      </c>
      <c r="O7" s="13">
        <f>N7*VLOOKUP('Données projet'!$B$9,Paramètres!$A$1:$I$89,3,0)*VLOOKUP('Données projet'!$B$9,Paramètres!$A$1:$I$89,5,0)</f>
        <v>1.5591646964857659</v>
      </c>
      <c r="P7" s="13">
        <f t="shared" si="33"/>
        <v>0.68232522894353675</v>
      </c>
      <c r="Q7" s="20">
        <f t="shared" si="2"/>
        <v>3.9039282867893692</v>
      </c>
      <c r="R7" s="59">
        <f t="shared" si="0"/>
        <v>297.23726162012269</v>
      </c>
      <c r="S7" s="59">
        <f ca="1">AVERAGE(OFFSET($R$3,0,0,'Données projet'!$E$9+1,1))-AVERAGE(OFFSET($H$3,0,0,'Données projet'!$E$9+1,1))</f>
        <v>138.8931001150624</v>
      </c>
      <c r="T7" s="59">
        <f t="shared" si="34"/>
        <v>48.964659354096625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5.25</v>
      </c>
      <c r="AI7" s="13">
        <f>IF('Données projet'!$A$62&gt;35,AI6+AH7-AQ6,IF(A7&lt;'Données projet'!$A$62,$AF$205^A7,IF(A7='Données projet'!$A$62,'Données projet'!$B$62,AI6+AH7-AQ6)))</f>
        <v>2.5365174816357365</v>
      </c>
      <c r="AJ7" s="13">
        <f>AI7*VLOOKUP('Données projet'!$B$10,Paramètres!$A$1:$I$89,3,0)*VLOOKUP('Données projet'!$B$10,Paramètres!$A$1:$I$89,5,0)</f>
        <v>2.21590167195698</v>
      </c>
      <c r="AK7" s="13">
        <f t="shared" si="35"/>
        <v>0.93085165142727433</v>
      </c>
      <c r="AL7" s="20">
        <f t="shared" si="4"/>
        <v>5.4805953715609093</v>
      </c>
      <c r="AM7" s="59">
        <f t="shared" si="5"/>
        <v>298.81392870489424</v>
      </c>
      <c r="AN7" s="59">
        <f ca="1">AVERAGE(OFFSET($AM$3,0,0,'Données projet'!$E$10+1,1))-AVERAGE(OFFSET($H$3,0,0,'Données projet'!$E$10+1,1))</f>
        <v>191.94797389630673</v>
      </c>
      <c r="AO7" s="59">
        <f t="shared" si="36"/>
        <v>273.52540822767878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3.4666666666666668</v>
      </c>
      <c r="BD7" s="12">
        <f>IF('Données projet'!$A$88&gt;35,BD6+BC7-BL6,IF(A7&lt;'Données projet'!$A$88,$BA$205^A7,IF(A7='Données projet'!$A$88,'Données projet'!$B$88,BD6+BC7-BL6)))</f>
        <v>2.8681436011552317</v>
      </c>
      <c r="BE7" s="13">
        <f>BD7*VLOOKUP('Données projet'!$B$11,Paramètres!$A$1:$I$89,3,0)*VLOOKUP('Données projet'!$B$11,Paramètres!$A$1:$I$89,5,0)</f>
        <v>1.6032922730457746</v>
      </c>
      <c r="BF7" s="13">
        <f t="shared" si="37"/>
        <v>0.69936080037273529</v>
      </c>
      <c r="BG7" s="20">
        <f t="shared" si="7"/>
        <v>4.0104541028705709</v>
      </c>
      <c r="BH7" s="59">
        <f t="shared" si="8"/>
        <v>297.34378743620391</v>
      </c>
      <c r="BI7" s="59">
        <f ca="1">AVERAGE(OFFSET($BH$3,0,0,'Données projet'!$E$11+1,1))-AVERAGE(OFFSET($H$3,0,0,'Données projet'!$E$11+1,1))</f>
        <v>279.98352834501759</v>
      </c>
      <c r="BJ7" s="59">
        <f t="shared" si="38"/>
        <v>281.30062655265488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2.85</v>
      </c>
      <c r="BY7" s="12">
        <f>IF('Données projet'!$A$114&gt;35,BY6+BX7-CG6,IF(A7&lt;'Données projet'!$A$114,$BV$205^A7,IF(A7='Données projet'!$A$114,'Données projet'!$B$114,BY6+BX7-CG6)))</f>
        <v>2.2447861343640922</v>
      </c>
      <c r="BZ7" s="13">
        <f>BY7*VLOOKUP('Données projet'!$B$12,Paramètres!$A$1:$I$89,3,0)*VLOOKUP('Données projet'!$B$12,Paramètres!$A$1:$I$89,5,0)</f>
        <v>1.6458771937157524</v>
      </c>
      <c r="CA7" s="13">
        <f t="shared" si="39"/>
        <v>0.7157491348407008</v>
      </c>
      <c r="CB7" s="20">
        <f t="shared" si="10"/>
        <v>4.1131658555691564</v>
      </c>
      <c r="CC7" s="59">
        <f t="shared" si="11"/>
        <v>297.44649918890246</v>
      </c>
      <c r="CD7" s="59">
        <f ca="1">AVERAGE(OFFSET($CC$3,0,0,'Données projet'!$E$12+1,1))-AVERAGE(OFFSET($H$3,0,0,'Données projet'!$E$12+1,1))</f>
        <v>124.15919323713428</v>
      </c>
      <c r="CE7" s="59">
        <f t="shared" si="40"/>
        <v>157.85954678210715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1.2</v>
      </c>
      <c r="N8" s="13">
        <f>IF('Données projet'!$A$36&gt;35,N7+M8-V7,IF(A8&lt;'Données projet'!$A$36,$K$205^A8,IF(A8='Données projet'!$A$36,'Données projet'!$B$36,N7+M8-V7)))</f>
        <v>1.9743504858348202</v>
      </c>
      <c r="O8" s="13">
        <f>N8*VLOOKUP('Données projet'!$B$9,Paramètres!$A$1:$I$89,3,0)*VLOOKUP('Données projet'!$B$9,Paramètres!$A$1:$I$89,5,0)</f>
        <v>1.7863923195833453</v>
      </c>
      <c r="P8" s="13">
        <f t="shared" si="33"/>
        <v>0.76948259905993732</v>
      </c>
      <c r="Q8" s="20">
        <f t="shared" si="2"/>
        <v>4.4514821499703841</v>
      </c>
      <c r="R8" s="59">
        <f t="shared" si="0"/>
        <v>297.7848154833037</v>
      </c>
      <c r="S8" s="59">
        <f ca="1">AVERAGE(OFFSET($R$3,0,0,'Données projet'!$E$9+1,1))-AVERAGE(OFFSET($H$3,0,0,'Données projet'!$E$9+1,1))</f>
        <v>138.8931001150624</v>
      </c>
      <c r="T8" s="59">
        <f t="shared" si="34"/>
        <v>48.964659354096625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5.25</v>
      </c>
      <c r="AI8" s="13">
        <f>IF('Données projet'!$A$62&gt;35,AI7+AH8-AQ7,IF(A8&lt;'Données projet'!$A$62,$AF$205^A8,IF(A8='Données projet'!$A$62,'Données projet'!$B$62,AI7+AH8-AQ7)))</f>
        <v>3.2010858729436804</v>
      </c>
      <c r="AJ8" s="13">
        <f>AI8*VLOOKUP('Données projet'!$B$10,Paramètres!$A$1:$I$89,3,0)*VLOOKUP('Données projet'!$B$10,Paramètres!$A$1:$I$89,5,0)</f>
        <v>2.7964686186035994</v>
      </c>
      <c r="AK8" s="13">
        <f t="shared" si="35"/>
        <v>1.1433432096049962</v>
      </c>
      <c r="AL8" s="20">
        <f t="shared" si="4"/>
        <v>6.8618389341299704</v>
      </c>
      <c r="AM8" s="59">
        <f t="shared" si="5"/>
        <v>300.19517226746331</v>
      </c>
      <c r="AN8" s="59">
        <f ca="1">AVERAGE(OFFSET($AM$3,0,0,'Données projet'!$E$10+1,1))-AVERAGE(OFFSET($H$3,0,0,'Données projet'!$E$10+1,1))</f>
        <v>191.94797389630673</v>
      </c>
      <c r="AO8" s="59">
        <f t="shared" si="36"/>
        <v>273.52540822767878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3.4666666666666668</v>
      </c>
      <c r="BD8" s="12">
        <f>IF('Données projet'!$A$88&gt;35,BD7+BC8-BL7,IF(A8&lt;'Données projet'!$A$88,$BA$205^A8,IF(A8='Données projet'!$A$88,'Données projet'!$B$88,BD7+BC8-BL7)))</f>
        <v>3.7325111568172478</v>
      </c>
      <c r="BE8" s="13">
        <f>BD8*VLOOKUP('Données projet'!$B$11,Paramètres!$A$1:$I$89,3,0)*VLOOKUP('Données projet'!$B$11,Paramètres!$A$1:$I$89,5,0)</f>
        <v>2.0864737366608415</v>
      </c>
      <c r="BF8" s="13">
        <f t="shared" si="37"/>
        <v>0.88264349150787802</v>
      </c>
      <c r="BG8" s="20">
        <f t="shared" si="7"/>
        <v>5.171212505727186</v>
      </c>
      <c r="BH8" s="59">
        <f t="shared" si="8"/>
        <v>298.50454583906048</v>
      </c>
      <c r="BI8" s="59">
        <f ca="1">AVERAGE(OFFSET($BH$3,0,0,'Données projet'!$E$11+1,1))-AVERAGE(OFFSET($H$3,0,0,'Données projet'!$E$11+1,1))</f>
        <v>279.98352834501759</v>
      </c>
      <c r="BJ8" s="59">
        <f t="shared" si="38"/>
        <v>281.30062655265488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2.85</v>
      </c>
      <c r="BY8" s="12">
        <f>IF('Données projet'!$A$114&gt;35,BY7+BX8-CG7,IF(A8&lt;'Données projet'!$A$114,$BV$205^A8,IF(A8='Données projet'!$A$114,'Données projet'!$B$114,BY7+BX8-CG7)))</f>
        <v>2.7476962050544729</v>
      </c>
      <c r="BZ8" s="13">
        <f>BY8*VLOOKUP('Données projet'!$B$12,Paramètres!$A$1:$I$89,3,0)*VLOOKUP('Données projet'!$B$12,Paramètres!$A$1:$I$89,5,0)</f>
        <v>2.0146108575459394</v>
      </c>
      <c r="CA8" s="13">
        <f t="shared" si="39"/>
        <v>0.85572729112239987</v>
      </c>
      <c r="CB8" s="20">
        <f t="shared" si="10"/>
        <v>4.9991722755973571</v>
      </c>
      <c r="CC8" s="59">
        <f t="shared" si="11"/>
        <v>298.33250560893066</v>
      </c>
      <c r="CD8" s="59">
        <f ca="1">AVERAGE(OFFSET($CC$3,0,0,'Données projet'!$E$12+1,1))-AVERAGE(OFFSET($H$3,0,0,'Données projet'!$E$12+1,1))</f>
        <v>124.15919323713428</v>
      </c>
      <c r="CE8" s="59">
        <f t="shared" si="40"/>
        <v>157.85954678210715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1.2</v>
      </c>
      <c r="N9" s="13">
        <f>IF('Données projet'!$A$36&gt;35,N8+M9-V8,IF(A9&lt;'Données projet'!$A$36,$K$205^A9,IF(A9='Données projet'!$A$36,'Données projet'!$B$36,N8+M9-V8)))</f>
        <v>2.2620859438457455</v>
      </c>
      <c r="O9" s="13">
        <f>N9*VLOOKUP('Données projet'!$B$9,Paramètres!$A$1:$I$89,3,0)*VLOOKUP('Données projet'!$B$9,Paramètres!$A$1:$I$89,5,0)</f>
        <v>2.0467353619916304</v>
      </c>
      <c r="P9" s="13">
        <f t="shared" si="33"/>
        <v>0.86777308699666067</v>
      </c>
      <c r="Q9" s="20">
        <f t="shared" si="2"/>
        <v>5.0761022153212734</v>
      </c>
      <c r="R9" s="59">
        <f t="shared" si="0"/>
        <v>298.40943554865459</v>
      </c>
      <c r="S9" s="59">
        <f ca="1">AVERAGE(OFFSET($R$3,0,0,'Données projet'!$E$9+1,1))-AVERAGE(OFFSET($H$3,0,0,'Données projet'!$E$9+1,1))</f>
        <v>138.8931001150624</v>
      </c>
      <c r="T9" s="59">
        <f t="shared" si="34"/>
        <v>48.964659354096625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5.25</v>
      </c>
      <c r="AI9" s="13">
        <f>IF('Données projet'!$A$62&gt;35,AI8+AH9-AQ8,IF(A9&lt;'Données projet'!$A$62,$AF$205^A9,IF(A9='Données projet'!$A$62,'Données projet'!$B$62,AI8+AH9-AQ8)))</f>
        <v>4.0397713952878425</v>
      </c>
      <c r="AJ9" s="13">
        <f>AI9*VLOOKUP('Données projet'!$B$10,Paramètres!$A$1:$I$89,3,0)*VLOOKUP('Données projet'!$B$10,Paramètres!$A$1:$I$89,5,0)</f>
        <v>3.5291442909234596</v>
      </c>
      <c r="AK9" s="13">
        <f t="shared" si="35"/>
        <v>1.4043415972303146</v>
      </c>
      <c r="AL9" s="20">
        <f t="shared" si="4"/>
        <v>8.5924879218678232</v>
      </c>
      <c r="AM9" s="59">
        <f t="shared" si="5"/>
        <v>301.92582125520113</v>
      </c>
      <c r="AN9" s="59">
        <f ca="1">AVERAGE(OFFSET($AM$3,0,0,'Données projet'!$E$10+1,1))-AVERAGE(OFFSET($H$3,0,0,'Données projet'!$E$10+1,1))</f>
        <v>191.94797389630673</v>
      </c>
      <c r="AO9" s="59">
        <f t="shared" si="36"/>
        <v>273.52540822767878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3.4666666666666668</v>
      </c>
      <c r="BD9" s="12">
        <f>IF('Données projet'!$A$88&gt;35,BD8+BC9-BL8,IF(A9&lt;'Données projet'!$A$88,$BA$205^A9,IF(A9='Données projet'!$A$88,'Données projet'!$B$88,BD8+BC9-BL8)))</f>
        <v>4.8573716916244498</v>
      </c>
      <c r="BE9" s="13">
        <f>BD9*VLOOKUP('Données projet'!$B$11,Paramètres!$A$1:$I$89,3,0)*VLOOKUP('Données projet'!$B$11,Paramètres!$A$1:$I$89,5,0)</f>
        <v>2.7152707756180678</v>
      </c>
      <c r="BF9" s="13">
        <f t="shared" si="37"/>
        <v>1.1139593936148635</v>
      </c>
      <c r="BG9" s="20">
        <f t="shared" si="7"/>
        <v>6.6692425447473553</v>
      </c>
      <c r="BH9" s="59">
        <f t="shared" si="8"/>
        <v>300.00257587808068</v>
      </c>
      <c r="BI9" s="59">
        <f ca="1">AVERAGE(OFFSET($BH$3,0,0,'Données projet'!$E$11+1,1))-AVERAGE(OFFSET($H$3,0,0,'Données projet'!$E$11+1,1))</f>
        <v>279.98352834501759</v>
      </c>
      <c r="BJ9" s="59">
        <f t="shared" si="38"/>
        <v>281.30062655265488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2.85</v>
      </c>
      <c r="BY9" s="12">
        <f>IF('Données projet'!$A$114&gt;35,BY8+BX9-CG8,IF(A9&lt;'Données projet'!$A$114,$BV$205^A9,IF(A9='Données projet'!$A$114,'Données projet'!$B$114,BY8+BX9-CG8)))</f>
        <v>3.3632756010449452</v>
      </c>
      <c r="BZ9" s="13">
        <f>BY9*VLOOKUP('Données projet'!$B$12,Paramètres!$A$1:$I$89,3,0)*VLOOKUP('Données projet'!$B$12,Paramètres!$A$1:$I$89,5,0)</f>
        <v>2.465953670686154</v>
      </c>
      <c r="CA9" s="13">
        <f t="shared" si="39"/>
        <v>1.0230807990213731</v>
      </c>
      <c r="CB9" s="20">
        <f t="shared" si="10"/>
        <v>6.0767350347406106</v>
      </c>
      <c r="CC9" s="59">
        <f t="shared" si="11"/>
        <v>299.41006836807395</v>
      </c>
      <c r="CD9" s="59">
        <f ca="1">AVERAGE(OFFSET($CC$3,0,0,'Données projet'!$E$12+1,1))-AVERAGE(OFFSET($H$3,0,0,'Données projet'!$E$12+1,1))</f>
        <v>124.15919323713428</v>
      </c>
      <c r="CE9" s="59">
        <f t="shared" si="40"/>
        <v>157.85954678210715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1.2</v>
      </c>
      <c r="N10" s="13">
        <f>IF('Données projet'!$A$36&gt;35,N9+M10-V9,IF(A10&lt;'Données projet'!$A$36,$K$205^A10,IF(A10='Données projet'!$A$36,'Données projet'!$B$36,N9+M10-V9)))</f>
        <v>2.5917550374450604</v>
      </c>
      <c r="O10" s="13">
        <f>N10*VLOOKUP('Données projet'!$B$9,Paramètres!$A$1:$I$89,3,0)*VLOOKUP('Données projet'!$B$9,Paramètres!$A$1:$I$89,5,0)</f>
        <v>2.3450199578802908</v>
      </c>
      <c r="P10" s="13">
        <f t="shared" si="33"/>
        <v>0.97861879064669866</v>
      </c>
      <c r="Q10" s="20">
        <f t="shared" si="2"/>
        <v>5.7886708203511725</v>
      </c>
      <c r="R10" s="59">
        <f t="shared" si="0"/>
        <v>299.12200415368449</v>
      </c>
      <c r="S10" s="59">
        <f ca="1">AVERAGE(OFFSET($R$3,0,0,'Données projet'!$E$9+1,1))-AVERAGE(OFFSET($H$3,0,0,'Données projet'!$E$9+1,1))</f>
        <v>138.8931001150624</v>
      </c>
      <c r="T10" s="59">
        <f t="shared" si="34"/>
        <v>48.964659354096625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5.25</v>
      </c>
      <c r="AI10" s="13">
        <f>IF('Données projet'!$A$62&gt;35,AI9+AH10-AQ9,IF(A10&lt;'Données projet'!$A$62,$AF$205^A10,IF(A10='Données projet'!$A$62,'Données projet'!$B$62,AI9+AH10-AQ9)))</f>
        <v>5.0981927926783266</v>
      </c>
      <c r="AJ10" s="13">
        <f>AI10*VLOOKUP('Données projet'!$B$10,Paramètres!$A$1:$I$89,3,0)*VLOOKUP('Données projet'!$B$10,Paramètres!$A$1:$I$89,5,0)</f>
        <v>4.4537812236837864</v>
      </c>
      <c r="AK10" s="13">
        <f t="shared" si="35"/>
        <v>1.7249197836166281</v>
      </c>
      <c r="AL10" s="20">
        <f t="shared" si="4"/>
        <v>10.761237587714888</v>
      </c>
      <c r="AM10" s="59">
        <f t="shared" si="5"/>
        <v>304.09457092104822</v>
      </c>
      <c r="AN10" s="59">
        <f ca="1">AVERAGE(OFFSET($AM$3,0,0,'Données projet'!$E$10+1,1))-AVERAGE(OFFSET($H$3,0,0,'Données projet'!$E$10+1,1))</f>
        <v>191.94797389630673</v>
      </c>
      <c r="AO10" s="59">
        <f t="shared" si="36"/>
        <v>273.52540822767878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3.4666666666666668</v>
      </c>
      <c r="BD10" s="12">
        <f>IF('Données projet'!$A$88&gt;35,BD9+BC10-BL9,IF(A10&lt;'Données projet'!$A$88,$BA$205^A10,IF(A10='Données projet'!$A$88,'Données projet'!$B$88,BD9+BC10-BL9)))</f>
        <v>6.3212295313575106</v>
      </c>
      <c r="BE10" s="13">
        <f>BD10*VLOOKUP('Données projet'!$B$11,Paramètres!$A$1:$I$89,3,0)*VLOOKUP('Données projet'!$B$11,Paramètres!$A$1:$I$89,5,0)</f>
        <v>3.5335673080288488</v>
      </c>
      <c r="BF10" s="13">
        <f t="shared" si="37"/>
        <v>1.405896653135541</v>
      </c>
      <c r="BG10" s="20">
        <f t="shared" si="7"/>
        <v>8.6028997323613137</v>
      </c>
      <c r="BH10" s="59">
        <f t="shared" si="8"/>
        <v>301.93623306569464</v>
      </c>
      <c r="BI10" s="59">
        <f ca="1">AVERAGE(OFFSET($BH$3,0,0,'Données projet'!$E$11+1,1))-AVERAGE(OFFSET($H$3,0,0,'Données projet'!$E$11+1,1))</f>
        <v>279.98352834501759</v>
      </c>
      <c r="BJ10" s="59">
        <f t="shared" si="38"/>
        <v>281.30062655265488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2.85</v>
      </c>
      <c r="BY10" s="12">
        <f>IF('Données projet'!$A$114&gt;35,BY9+BX10-CG9,IF(A10&lt;'Données projet'!$A$114,$BV$205^A10,IF(A10='Données projet'!$A$114,'Données projet'!$B$114,BY9+BX10-CG9)))</f>
        <v>4.116766164969822</v>
      </c>
      <c r="BZ10" s="13">
        <f>BY10*VLOOKUP('Données projet'!$B$12,Paramètres!$A$1:$I$89,3,0)*VLOOKUP('Données projet'!$B$12,Paramètres!$A$1:$I$89,5,0)</f>
        <v>3.0184129521558734</v>
      </c>
      <c r="CA10" s="13">
        <f t="shared" si="39"/>
        <v>1.2231634215537663</v>
      </c>
      <c r="CB10" s="20">
        <f t="shared" si="10"/>
        <v>7.3874121842109552</v>
      </c>
      <c r="CC10" s="59">
        <f t="shared" si="11"/>
        <v>300.72074551754429</v>
      </c>
      <c r="CD10" s="59">
        <f ca="1">AVERAGE(OFFSET($CC$3,0,0,'Données projet'!$E$12+1,1))-AVERAGE(OFFSET($H$3,0,0,'Données projet'!$E$12+1,1))</f>
        <v>124.15919323713428</v>
      </c>
      <c r="CE10" s="59">
        <f t="shared" si="40"/>
        <v>157.85954678210715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1.2</v>
      </c>
      <c r="N11" s="13">
        <f>IF('Données projet'!$A$36&gt;35,N10+M11-V10,IF(A11&lt;'Données projet'!$A$36,$K$205^A11,IF(A11='Données projet'!$A$36,'Données projet'!$B$36,N10+M11-V10)))</f>
        <v>2.9694690391391689</v>
      </c>
      <c r="O11" s="13">
        <f>N11*VLOOKUP('Données projet'!$B$9,Paramètres!$A$1:$I$89,3,0)*VLOOKUP('Données projet'!$B$9,Paramètres!$A$1:$I$89,5,0)</f>
        <v>2.6867755866131198</v>
      </c>
      <c r="P11" s="13">
        <f t="shared" si="33"/>
        <v>1.1036234607382931</v>
      </c>
      <c r="Q11" s="20">
        <f t="shared" si="2"/>
        <v>6.6016116741370441</v>
      </c>
      <c r="R11" s="59">
        <f t="shared" si="0"/>
        <v>299.93494500747033</v>
      </c>
      <c r="S11" s="59">
        <f ca="1">AVERAGE(OFFSET($R$3,0,0,'Données projet'!$E$9+1,1))-AVERAGE(OFFSET($H$3,0,0,'Données projet'!$E$9+1,1))</f>
        <v>138.8931001150624</v>
      </c>
      <c r="T11" s="59">
        <f t="shared" si="34"/>
        <v>48.964659354096625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5.25</v>
      </c>
      <c r="AI11" s="13">
        <f>IF('Données projet'!$A$62&gt;35,AI10+AH11-AQ10,IF(A11&lt;'Données projet'!$A$62,$AF$205^A11,IF(A11='Données projet'!$A$62,'Données projet'!$B$62,AI10+AH11-AQ10)))</f>
        <v>6.433920934643699</v>
      </c>
      <c r="AJ11" s="13">
        <f>AI11*VLOOKUP('Données projet'!$B$10,Paramètres!$A$1:$I$89,3,0)*VLOOKUP('Données projet'!$B$10,Paramètres!$A$1:$I$89,5,0)</f>
        <v>5.6206733285047363</v>
      </c>
      <c r="AK11" s="13">
        <f t="shared" si="35"/>
        <v>2.1186784367707316</v>
      </c>
      <c r="AL11" s="20">
        <f t="shared" si="4"/>
        <v>13.479370991188105</v>
      </c>
      <c r="AM11" s="59">
        <f t="shared" si="5"/>
        <v>306.81270432452141</v>
      </c>
      <c r="AN11" s="59">
        <f ca="1">AVERAGE(OFFSET($AM$3,0,0,'Données projet'!$E$10+1,1))-AVERAGE(OFFSET($H$3,0,0,'Données projet'!$E$10+1,1))</f>
        <v>191.94797389630673</v>
      </c>
      <c r="AO11" s="59">
        <f t="shared" si="36"/>
        <v>273.52540822767878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3.4666666666666668</v>
      </c>
      <c r="BD11" s="12">
        <f>IF('Données projet'!$A$88&gt;35,BD10+BC11-BL10,IF(A11&lt;'Données projet'!$A$88,$BA$205^A11,IF(A11='Données projet'!$A$88,'Données projet'!$B$88,BD10+BC11-BL10)))</f>
        <v>8.2262477168477002</v>
      </c>
      <c r="BE11" s="13">
        <f>BD11*VLOOKUP('Données projet'!$B$11,Paramètres!$A$1:$I$89,3,0)*VLOOKUP('Données projet'!$B$11,Paramètres!$A$1:$I$89,5,0)</f>
        <v>4.598472473717865</v>
      </c>
      <c r="BF11" s="13">
        <f t="shared" si="37"/>
        <v>1.7743424137604424</v>
      </c>
      <c r="BG11" s="20">
        <f t="shared" si="7"/>
        <v>11.099319262358051</v>
      </c>
      <c r="BH11" s="59">
        <f t="shared" si="8"/>
        <v>304.43265259569137</v>
      </c>
      <c r="BI11" s="59">
        <f ca="1">AVERAGE(OFFSET($BH$3,0,0,'Données projet'!$E$11+1,1))-AVERAGE(OFFSET($H$3,0,0,'Données projet'!$E$11+1,1))</f>
        <v>279.98352834501759</v>
      </c>
      <c r="BJ11" s="59">
        <f t="shared" si="38"/>
        <v>281.30062655265488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2.85</v>
      </c>
      <c r="BY11" s="12">
        <f>IF('Données projet'!$A$114&gt;35,BY10+BX11-CG10,IF(A11&lt;'Données projet'!$A$114,$BV$205^A11,IF(A11='Données projet'!$A$114,'Données projet'!$B$114,BY10+BX11-CG10)))</f>
        <v>5.0390647890332847</v>
      </c>
      <c r="BZ11" s="13">
        <f>BY11*VLOOKUP('Données projet'!$B$12,Paramètres!$A$1:$I$89,3,0)*VLOOKUP('Données projet'!$B$12,Paramètres!$A$1:$I$89,5,0)</f>
        <v>3.694642303319204</v>
      </c>
      <c r="CA11" s="13">
        <f t="shared" si="39"/>
        <v>1.4623759504217435</v>
      </c>
      <c r="CB11" s="20">
        <f t="shared" si="10"/>
        <v>8.9818067919321507</v>
      </c>
      <c r="CC11" s="59">
        <f t="shared" si="11"/>
        <v>302.31514012526549</v>
      </c>
      <c r="CD11" s="59">
        <f ca="1">AVERAGE(OFFSET($CC$3,0,0,'Données projet'!$E$12+1,1))-AVERAGE(OFFSET($H$3,0,0,'Données projet'!$E$12+1,1))</f>
        <v>124.15919323713428</v>
      </c>
      <c r="CE11" s="59">
        <f t="shared" si="40"/>
        <v>157.85954678210715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1.2</v>
      </c>
      <c r="N12" s="13">
        <f>IF('Données projet'!$A$36&gt;35,N11+M12-V11,IF(A12&lt;'Données projet'!$A$36,$K$205^A12,IF(A12='Données projet'!$A$36,'Données projet'!$B$36,N11+M12-V11)))</f>
        <v>3.4022298585357786</v>
      </c>
      <c r="O12" s="13">
        <f>N12*VLOOKUP('Données projet'!$B$9,Paramètres!$A$1:$I$89,3,0)*VLOOKUP('Données projet'!$B$9,Paramètres!$A$1:$I$89,5,0)</f>
        <v>3.0783375760031726</v>
      </c>
      <c r="P12" s="13">
        <f t="shared" si="33"/>
        <v>1.2445957044081368</v>
      </c>
      <c r="Q12" s="20">
        <f t="shared" si="2"/>
        <v>7.5291087967163621</v>
      </c>
      <c r="R12" s="59">
        <f t="shared" si="0"/>
        <v>300.86244213004966</v>
      </c>
      <c r="S12" s="59">
        <f ca="1">AVERAGE(OFFSET($R$3,0,0,'Données projet'!$E$9+1,1))-AVERAGE(OFFSET($H$3,0,0,'Données projet'!$E$9+1,1))</f>
        <v>138.8931001150624</v>
      </c>
      <c r="T12" s="59">
        <f t="shared" si="34"/>
        <v>48.964659354096625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5.25</v>
      </c>
      <c r="AI12" s="13">
        <f>IF('Données projet'!$A$62&gt;35,AI11+AH12-AQ11,IF(A12&lt;'Données projet'!$A$62,$AF$205^A12,IF(A12='Données projet'!$A$62,'Données projet'!$B$62,AI11+AH12-AQ11)))</f>
        <v>8.1196102769388379</v>
      </c>
      <c r="AJ12" s="13">
        <f>AI12*VLOOKUP('Données projet'!$B$10,Paramètres!$A$1:$I$89,3,0)*VLOOKUP('Données projet'!$B$10,Paramètres!$A$1:$I$89,5,0)</f>
        <v>7.0932915379337693</v>
      </c>
      <c r="AK12" s="13">
        <f t="shared" si="35"/>
        <v>2.602322937606778</v>
      </c>
      <c r="AL12" s="20">
        <f t="shared" si="4"/>
        <v>16.886528544899786</v>
      </c>
      <c r="AM12" s="59">
        <f t="shared" si="5"/>
        <v>310.21986187823308</v>
      </c>
      <c r="AN12" s="59">
        <f ca="1">AVERAGE(OFFSET($AM$3,0,0,'Données projet'!$E$10+1,1))-AVERAGE(OFFSET($H$3,0,0,'Données projet'!$E$10+1,1))</f>
        <v>191.94797389630673</v>
      </c>
      <c r="AO12" s="59">
        <f t="shared" si="36"/>
        <v>273.52540822767878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3.4666666666666668</v>
      </c>
      <c r="BD12" s="12">
        <f>IF('Données projet'!$A$88&gt;35,BD11+BC12-BL11,IF(A12&lt;'Données projet'!$A$88,$BA$205^A12,IF(A12='Données projet'!$A$88,'Données projet'!$B$88,BD11+BC12-BL11)))</f>
        <v>10.7053779906659</v>
      </c>
      <c r="BE12" s="13">
        <f>BD12*VLOOKUP('Données projet'!$B$11,Paramètres!$A$1:$I$89,3,0)*VLOOKUP('Données projet'!$B$11,Paramètres!$A$1:$I$89,5,0)</f>
        <v>5.984306296782238</v>
      </c>
      <c r="BF12" s="13">
        <f t="shared" si="37"/>
        <v>2.2393473903274947</v>
      </c>
      <c r="BG12" s="20">
        <f t="shared" si="7"/>
        <v>14.322863505049453</v>
      </c>
      <c r="BH12" s="59">
        <f t="shared" si="8"/>
        <v>307.65619683838275</v>
      </c>
      <c r="BI12" s="59">
        <f ca="1">AVERAGE(OFFSET($BH$3,0,0,'Données projet'!$E$11+1,1))-AVERAGE(OFFSET($H$3,0,0,'Données projet'!$E$11+1,1))</f>
        <v>279.98352834501759</v>
      </c>
      <c r="BJ12" s="59">
        <f t="shared" si="38"/>
        <v>281.30062655265488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2.85</v>
      </c>
      <c r="BY12" s="12">
        <f>IF('Données projet'!$A$114&gt;35,BY11+BX12-CG11,IF(A12&lt;'Données projet'!$A$114,$BV$205^A12,IF(A12='Données projet'!$A$114,'Données projet'!$B$114,BY11+BX12-CG11)))</f>
        <v>6.167990342551116</v>
      </c>
      <c r="BZ12" s="13">
        <f>BY12*VLOOKUP('Données projet'!$B$12,Paramètres!$A$1:$I$89,3,0)*VLOOKUP('Données projet'!$B$12,Paramètres!$A$1:$I$89,5,0)</f>
        <v>4.5223705191584775</v>
      </c>
      <c r="CA12" s="13">
        <f t="shared" si="39"/>
        <v>1.7483709720940954</v>
      </c>
      <c r="CB12" s="20">
        <f t="shared" si="10"/>
        <v>10.92154143059823</v>
      </c>
      <c r="CC12" s="59">
        <f t="shared" si="11"/>
        <v>304.25487476393153</v>
      </c>
      <c r="CD12" s="59">
        <f ca="1">AVERAGE(OFFSET($CC$3,0,0,'Données projet'!$E$12+1,1))-AVERAGE(OFFSET($H$3,0,0,'Données projet'!$E$12+1,1))</f>
        <v>124.15919323713428</v>
      </c>
      <c r="CE12" s="59">
        <f t="shared" si="40"/>
        <v>157.85954678210715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1.2</v>
      </c>
      <c r="N13" s="13">
        <f>IF('Données projet'!$A$36&gt;35,N12+M13-V12,IF(A13&lt;'Données projet'!$A$36,$K$205^A13,IF(A13='Données projet'!$A$36,'Données projet'!$B$36,N12+M13-V12)))</f>
        <v>3.8980598409161908</v>
      </c>
      <c r="O13" s="13">
        <f>N13*VLOOKUP('Données projet'!$B$9,Paramètres!$A$1:$I$89,3,0)*VLOOKUP('Données projet'!$B$9,Paramètres!$A$1:$I$89,5,0)</f>
        <v>3.5269645440609696</v>
      </c>
      <c r="P13" s="13">
        <f t="shared" si="33"/>
        <v>1.403575152701934</v>
      </c>
      <c r="Q13" s="20">
        <f t="shared" si="2"/>
        <v>8.587356638528723</v>
      </c>
      <c r="R13" s="59">
        <f t="shared" si="0"/>
        <v>301.92068997186203</v>
      </c>
      <c r="S13" s="59">
        <f ca="1">AVERAGE(OFFSET($R$3,0,0,'Données projet'!$E$9+1,1))-AVERAGE(OFFSET($H$3,0,0,'Données projet'!$E$9+1,1))</f>
        <v>138.8931001150624</v>
      </c>
      <c r="T13" s="59">
        <f t="shared" si="34"/>
        <v>48.964659354096625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5.25</v>
      </c>
      <c r="AI13" s="13">
        <f>IF('Données projet'!$A$62&gt;35,AI12+AH13-AQ12,IF(A13&lt;'Données projet'!$A$62,$AF$205^A13,IF(A13='Données projet'!$A$62,'Données projet'!$B$62,AI12+AH13-AQ12)))</f>
        <v>10.246950765959603</v>
      </c>
      <c r="AJ13" s="13">
        <f>AI13*VLOOKUP('Données projet'!$B$10,Paramètres!$A$1:$I$89,3,0)*VLOOKUP('Données projet'!$B$10,Paramètres!$A$1:$I$89,5,0)</f>
        <v>8.9517361891423111</v>
      </c>
      <c r="AK13" s="13">
        <f t="shared" si="35"/>
        <v>3.1963721129461788</v>
      </c>
      <c r="AL13" s="20">
        <f t="shared" si="4"/>
        <v>21.157955292804118</v>
      </c>
      <c r="AM13" s="59">
        <f t="shared" si="5"/>
        <v>314.49128862613742</v>
      </c>
      <c r="AN13" s="59">
        <f ca="1">AVERAGE(OFFSET($AM$3,0,0,'Données projet'!$E$10+1,1))-AVERAGE(OFFSET($H$3,0,0,'Données projet'!$E$10+1,1))</f>
        <v>191.94797389630673</v>
      </c>
      <c r="AO13" s="59">
        <f t="shared" si="36"/>
        <v>273.52540822767878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3.4666666666666668</v>
      </c>
      <c r="BD13" s="12">
        <f>IF('Données projet'!$A$88&gt;35,BD12+BC13-BL12,IF(A13&lt;'Données projet'!$A$88,$BA$205^A13,IF(A13='Données projet'!$A$88,'Données projet'!$B$88,BD12+BC13-BL12)))</f>
        <v>13.931639535765228</v>
      </c>
      <c r="BE13" s="13">
        <f>BD13*VLOOKUP('Données projet'!$B$11,Paramètres!$A$1:$I$89,3,0)*VLOOKUP('Données projet'!$B$11,Paramètres!$A$1:$I$89,5,0)</f>
        <v>7.7877865004927633</v>
      </c>
      <c r="BF13" s="13">
        <f t="shared" si="37"/>
        <v>2.826217023093494</v>
      </c>
      <c r="BG13" s="20">
        <f t="shared" si="7"/>
        <v>18.48605613691273</v>
      </c>
      <c r="BH13" s="59">
        <f t="shared" si="8"/>
        <v>311.81938947024605</v>
      </c>
      <c r="BI13" s="59">
        <f ca="1">AVERAGE(OFFSET($BH$3,0,0,'Données projet'!$E$11+1,1))-AVERAGE(OFFSET($H$3,0,0,'Données projet'!$E$11+1,1))</f>
        <v>279.98352834501759</v>
      </c>
      <c r="BJ13" s="59">
        <f t="shared" si="38"/>
        <v>281.30062655265488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2.85</v>
      </c>
      <c r="BY13" s="12">
        <f>IF('Données projet'!$A$114&gt;35,BY12+BX13-CG12,IF(A13&lt;'Données projet'!$A$114,$BV$205^A13,IF(A13='Données projet'!$A$114,'Données projet'!$B$114,BY12+BX13-CG12)))</f>
        <v>7.5498344352707516</v>
      </c>
      <c r="BZ13" s="13">
        <f>BY13*VLOOKUP('Données projet'!$B$12,Paramètres!$A$1:$I$89,3,0)*VLOOKUP('Données projet'!$B$12,Paramètres!$A$1:$I$89,5,0)</f>
        <v>5.5355386079405147</v>
      </c>
      <c r="CA13" s="13">
        <f t="shared" si="39"/>
        <v>2.0902976797311816</v>
      </c>
      <c r="CB13" s="20">
        <f t="shared" si="10"/>
        <v>13.28166486769487</v>
      </c>
      <c r="CC13" s="59">
        <f t="shared" si="11"/>
        <v>306.61499820102819</v>
      </c>
      <c r="CD13" s="59">
        <f ca="1">AVERAGE(OFFSET($CC$3,0,0,'Données projet'!$E$12+1,1))-AVERAGE(OFFSET($H$3,0,0,'Données projet'!$E$12+1,1))</f>
        <v>124.15919323713428</v>
      </c>
      <c r="CE13" s="59">
        <f t="shared" si="40"/>
        <v>157.85954678210715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1.2</v>
      </c>
      <c r="N14" s="13">
        <f>IF('Données projet'!$A$36&gt;35,N13+M14-V13,IF(A14&lt;'Données projet'!$A$36,$K$205^A14,IF(A14='Données projet'!$A$36,'Données projet'!$B$36,N13+M14-V13)))</f>
        <v>4.4661504822319662</v>
      </c>
      <c r="O14" s="13">
        <f>N14*VLOOKUP('Données projet'!$B$9,Paramètres!$A$1:$I$89,3,0)*VLOOKUP('Données projet'!$B$9,Paramètres!$A$1:$I$89,5,0)</f>
        <v>4.0409729563234826</v>
      </c>
      <c r="P14" s="13">
        <f t="shared" si="33"/>
        <v>1.5828619706020071</v>
      </c>
      <c r="Q14" s="20">
        <f t="shared" si="2"/>
        <v>9.7948458310618953</v>
      </c>
      <c r="R14" s="59">
        <f t="shared" si="0"/>
        <v>303.12817916439519</v>
      </c>
      <c r="S14" s="59">
        <f ca="1">AVERAGE(OFFSET($R$3,0,0,'Données projet'!$E$9+1,1))-AVERAGE(OFFSET($H$3,0,0,'Données projet'!$E$9+1,1))</f>
        <v>138.8931001150624</v>
      </c>
      <c r="T14" s="59">
        <f t="shared" si="34"/>
        <v>48.964659354096625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5.25</v>
      </c>
      <c r="AI14" s="13">
        <f>IF('Données projet'!$A$62&gt;35,AI13+AH14-AQ13,IF(A14&lt;'Données projet'!$A$62,$AF$205^A14,IF(A14='Données projet'!$A$62,'Données projet'!$B$62,AI13+AH14-AQ13)))</f>
        <v>12.93165514337789</v>
      </c>
      <c r="AJ14" s="13">
        <f>AI14*VLOOKUP('Données projet'!$B$10,Paramètres!$A$1:$I$89,3,0)*VLOOKUP('Données projet'!$B$10,Paramètres!$A$1:$I$89,5,0)</f>
        <v>11.297093933254926</v>
      </c>
      <c r="AK14" s="13">
        <f t="shared" si="35"/>
        <v>3.9260287556070481</v>
      </c>
      <c r="AL14" s="20">
        <f t="shared" si="4"/>
        <v>26.513605349767932</v>
      </c>
      <c r="AM14" s="59">
        <f t="shared" si="5"/>
        <v>319.84693868310126</v>
      </c>
      <c r="AN14" s="59">
        <f ca="1">AVERAGE(OFFSET($AM$3,0,0,'Données projet'!$E$10+1,1))-AVERAGE(OFFSET($H$3,0,0,'Données projet'!$E$10+1,1))</f>
        <v>191.94797389630673</v>
      </c>
      <c r="AO14" s="59">
        <f t="shared" si="36"/>
        <v>273.52540822767878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3.4666666666666668</v>
      </c>
      <c r="BD14" s="12">
        <f>IF('Données projet'!$A$88&gt;35,BD13+BC14-BL13,IF(A14&lt;'Données projet'!$A$88,$BA$205^A14,IF(A14='Données projet'!$A$88,'Données projet'!$B$88,BD13+BC14-BL13)))</f>
        <v>18.130194031796528</v>
      </c>
      <c r="BE14" s="13">
        <f>BD14*VLOOKUP('Données projet'!$B$11,Paramètres!$A$1:$I$89,3,0)*VLOOKUP('Données projet'!$B$11,Paramètres!$A$1:$I$89,5,0)</f>
        <v>10.134778463774259</v>
      </c>
      <c r="BF14" s="13">
        <f t="shared" si="37"/>
        <v>3.5668885926874059</v>
      </c>
      <c r="BG14" s="20">
        <f t="shared" si="7"/>
        <v>23.863736790004065</v>
      </c>
      <c r="BH14" s="59">
        <f t="shared" si="8"/>
        <v>317.19707012333737</v>
      </c>
      <c r="BI14" s="59">
        <f ca="1">AVERAGE(OFFSET($BH$3,0,0,'Données projet'!$E$11+1,1))-AVERAGE(OFFSET($H$3,0,0,'Données projet'!$E$11+1,1))</f>
        <v>279.98352834501759</v>
      </c>
      <c r="BJ14" s="59">
        <f t="shared" si="38"/>
        <v>281.30062655265488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2.85</v>
      </c>
      <c r="BY14" s="12">
        <f>IF('Données projet'!$A$114&gt;35,BY13+BX14-CG13,IF(A14&lt;'Données projet'!$A$114,$BV$205^A14,IF(A14='Données projet'!$A$114,'Données projet'!$B$114,BY13+BX14-CG13)))</f>
        <v>9.2412596055434975</v>
      </c>
      <c r="BZ14" s="13">
        <f>BY14*VLOOKUP('Données projet'!$B$12,Paramètres!$A$1:$I$89,3,0)*VLOOKUP('Données projet'!$B$12,Paramètres!$A$1:$I$89,5,0)</f>
        <v>6.7756915427844921</v>
      </c>
      <c r="CA14" s="13">
        <f t="shared" si="39"/>
        <v>2.4990945626695109</v>
      </c>
      <c r="CB14" s="20">
        <f t="shared" si="10"/>
        <v>16.15358580033239</v>
      </c>
      <c r="CC14" s="59">
        <f t="shared" si="11"/>
        <v>309.48691913366571</v>
      </c>
      <c r="CD14" s="59">
        <f ca="1">AVERAGE(OFFSET($CC$3,0,0,'Données projet'!$E$12+1,1))-AVERAGE(OFFSET($H$3,0,0,'Données projet'!$E$12+1,1))</f>
        <v>124.15919323713428</v>
      </c>
      <c r="CE14" s="59">
        <f t="shared" si="40"/>
        <v>157.85954678210715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1.2</v>
      </c>
      <c r="N15" s="13">
        <f>IF('Données projet'!$A$36&gt;35,N14+M15-V14,IF(A15&lt;'Données projet'!$A$36,$K$205^A15,IF(A15='Données projet'!$A$36,'Données projet'!$B$36,N14+M15-V14)))</f>
        <v>5.1170328173444979</v>
      </c>
      <c r="O15" s="13">
        <f>N15*VLOOKUP('Données projet'!$B$9,Paramètres!$A$1:$I$89,3,0)*VLOOKUP('Données projet'!$B$9,Paramètres!$A$1:$I$89,5,0)</f>
        <v>4.6298912931333014</v>
      </c>
      <c r="P15" s="13">
        <f t="shared" si="33"/>
        <v>1.7850501365423737</v>
      </c>
      <c r="Q15" s="20">
        <f t="shared" si="2"/>
        <v>11.172689656685135</v>
      </c>
      <c r="R15" s="59">
        <f t="shared" si="0"/>
        <v>304.50602299001844</v>
      </c>
      <c r="S15" s="59">
        <f ca="1">AVERAGE(OFFSET($R$3,0,0,'Données projet'!$E$9+1,1))-AVERAGE(OFFSET($H$3,0,0,'Données projet'!$E$9+1,1))</f>
        <v>138.8931001150624</v>
      </c>
      <c r="T15" s="59">
        <f t="shared" si="34"/>
        <v>48.964659354096625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5.25</v>
      </c>
      <c r="AI15" s="13">
        <f>IF('Données projet'!$A$62&gt;35,AI14+AH15-AQ14,IF(A15&lt;'Données projet'!$A$62,$AF$205^A15,IF(A15='Données projet'!$A$62,'Données projet'!$B$62,AI14+AH15-AQ14)))</f>
        <v>16.319752926185881</v>
      </c>
      <c r="AJ15" s="13">
        <f>AI15*VLOOKUP('Données projet'!$B$10,Paramètres!$A$1:$I$89,3,0)*VLOOKUP('Données projet'!$B$10,Paramètres!$A$1:$I$89,5,0)</f>
        <v>14.256936156315987</v>
      </c>
      <c r="AK15" s="13">
        <f t="shared" si="35"/>
        <v>4.822248863773944</v>
      </c>
      <c r="AL15" s="20">
        <f t="shared" si="4"/>
        <v>33.229580576656623</v>
      </c>
      <c r="AM15" s="59">
        <f t="shared" si="5"/>
        <v>326.56291390998996</v>
      </c>
      <c r="AN15" s="59">
        <f ca="1">AVERAGE(OFFSET($AM$3,0,0,'Données projet'!$E$10+1,1))-AVERAGE(OFFSET($H$3,0,0,'Données projet'!$E$10+1,1))</f>
        <v>191.94797389630673</v>
      </c>
      <c r="AO15" s="59">
        <f t="shared" si="36"/>
        <v>273.52540822767878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3.4666666666666668</v>
      </c>
      <c r="BD15" s="12">
        <f>IF('Données projet'!$A$88&gt;35,BD14+BC15-BL14,IF(A15&lt;'Données projet'!$A$88,$BA$205^A15,IF(A15='Données projet'!$A$88,'Données projet'!$B$88,BD14+BC15-BL14)))</f>
        <v>23.594059750594564</v>
      </c>
      <c r="BE15" s="13">
        <f>BD15*VLOOKUP('Données projet'!$B$11,Paramètres!$A$1:$I$89,3,0)*VLOOKUP('Données projet'!$B$11,Paramètres!$A$1:$I$89,5,0)</f>
        <v>13.189079400582363</v>
      </c>
      <c r="BF15" s="13">
        <f t="shared" si="37"/>
        <v>4.501669237954574</v>
      </c>
      <c r="BG15" s="20">
        <f t="shared" si="7"/>
        <v>30.8113872121185</v>
      </c>
      <c r="BH15" s="59">
        <f t="shared" si="8"/>
        <v>324.14472054545183</v>
      </c>
      <c r="BI15" s="59">
        <f ca="1">AVERAGE(OFFSET($BH$3,0,0,'Données projet'!$E$11+1,1))-AVERAGE(OFFSET($H$3,0,0,'Données projet'!$E$11+1,1))</f>
        <v>279.98352834501759</v>
      </c>
      <c r="BJ15" s="59">
        <f t="shared" si="38"/>
        <v>281.30062655265488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2.85</v>
      </c>
      <c r="BY15" s="12">
        <f>IF('Données projet'!$A$114&gt;35,BY14+BX15-CG14,IF(A15&lt;'Données projet'!$A$114,$BV$205^A15,IF(A15='Données projet'!$A$114,'Données projet'!$B$114,BY14+BX15-CG14)))</f>
        <v>11.311622768584238</v>
      </c>
      <c r="BZ15" s="13">
        <f>BY15*VLOOKUP('Données projet'!$B$12,Paramètres!$A$1:$I$89,3,0)*VLOOKUP('Données projet'!$B$12,Paramètres!$A$1:$I$89,5,0)</f>
        <v>8.2936818139259643</v>
      </c>
      <c r="CA15" s="13">
        <f t="shared" si="39"/>
        <v>2.9878393368199596</v>
      </c>
      <c r="CB15" s="20">
        <f t="shared" si="10"/>
        <v>19.648649337549152</v>
      </c>
      <c r="CC15" s="59">
        <f t="shared" si="11"/>
        <v>312.98198267088247</v>
      </c>
      <c r="CD15" s="59">
        <f ca="1">AVERAGE(OFFSET($CC$3,0,0,'Données projet'!$E$12+1,1))-AVERAGE(OFFSET($H$3,0,0,'Données projet'!$E$12+1,1))</f>
        <v>124.15919323713428</v>
      </c>
      <c r="CE15" s="59">
        <f t="shared" si="40"/>
        <v>157.85954678210715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1.2</v>
      </c>
      <c r="N16" s="13">
        <f>IF('Données projet'!$A$36&gt;35,N15+M16-V15,IF(A16&lt;'Données projet'!$A$36,$K$205^A16,IF(A16='Données projet'!$A$36,'Données projet'!$B$36,N15+M16-V15)))</f>
        <v>5.8627726400958746</v>
      </c>
      <c r="O16" s="13">
        <f>N16*VLOOKUP('Données projet'!$B$9,Paramètres!$A$1:$I$89,3,0)*VLOOKUP('Données projet'!$B$9,Paramètres!$A$1:$I$89,5,0)</f>
        <v>5.3046366847587469</v>
      </c>
      <c r="P16" s="13">
        <f t="shared" si="33"/>
        <v>2.0130649729098407</v>
      </c>
      <c r="Q16" s="20">
        <f t="shared" si="2"/>
        <v>12.74499705377279</v>
      </c>
      <c r="R16" s="59">
        <f t="shared" si="0"/>
        <v>306.07833038710612</v>
      </c>
      <c r="S16" s="59">
        <f ca="1">AVERAGE(OFFSET($R$3,0,0,'Données projet'!$E$9+1,1))-AVERAGE(OFFSET($H$3,0,0,'Données projet'!$E$9+1,1))</f>
        <v>138.8931001150624</v>
      </c>
      <c r="T16" s="59">
        <f t="shared" si="34"/>
        <v>48.964659354096625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5.25</v>
      </c>
      <c r="AI16" s="13">
        <f>IF('Données projet'!$A$62&gt;35,AI15+AH16-AQ15,IF(A16&lt;'Données projet'!$A$62,$AF$205^A16,IF(A16='Données projet'!$A$62,'Données projet'!$B$62,AI15+AH16-AQ15)))</f>
        <v>20.595533411524546</v>
      </c>
      <c r="AJ16" s="13">
        <f>AI16*VLOOKUP('Données projet'!$B$10,Paramètres!$A$1:$I$89,3,0)*VLOOKUP('Données projet'!$B$10,Paramètres!$A$1:$I$89,5,0)</f>
        <v>17.992257988307845</v>
      </c>
      <c r="AK16" s="13">
        <f t="shared" si="35"/>
        <v>5.9230549625899274</v>
      </c>
      <c r="AL16" s="20">
        <f t="shared" si="4"/>
        <v>41.65250338948028</v>
      </c>
      <c r="AM16" s="59">
        <f t="shared" si="5"/>
        <v>334.98583672281359</v>
      </c>
      <c r="AN16" s="59">
        <f ca="1">AVERAGE(OFFSET($AM$3,0,0,'Données projet'!$E$10+1,1))-AVERAGE(OFFSET($H$3,0,0,'Données projet'!$E$10+1,1))</f>
        <v>191.94797389630673</v>
      </c>
      <c r="AO16" s="59">
        <f t="shared" si="36"/>
        <v>273.52540822767878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3.4666666666666668</v>
      </c>
      <c r="BD16" s="12">
        <f>IF('Données projet'!$A$88&gt;35,BD15+BC16-BL15,IF(A16&lt;'Données projet'!$A$88,$BA$205^A16,IF(A16='Données projet'!$A$88,'Données projet'!$B$88,BD15+BC16-BL15)))</f>
        <v>30.704561381876452</v>
      </c>
      <c r="BE16" s="13">
        <f>BD16*VLOOKUP('Données projet'!$B$11,Paramètres!$A$1:$I$89,3,0)*VLOOKUP('Données projet'!$B$11,Paramètres!$A$1:$I$89,5,0)</f>
        <v>17.163849812468936</v>
      </c>
      <c r="BF16" s="13">
        <f t="shared" si="37"/>
        <v>5.681429459134919</v>
      </c>
      <c r="BG16" s="20">
        <f t="shared" si="7"/>
        <v>39.788861398043373</v>
      </c>
      <c r="BH16" s="59">
        <f t="shared" si="8"/>
        <v>333.12219473137668</v>
      </c>
      <c r="BI16" s="59">
        <f ca="1">AVERAGE(OFFSET($BH$3,0,0,'Données projet'!$E$11+1,1))-AVERAGE(OFFSET($H$3,0,0,'Données projet'!$E$11+1,1))</f>
        <v>279.98352834501759</v>
      </c>
      <c r="BJ16" s="59">
        <f t="shared" si="38"/>
        <v>281.30062655265488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2.85</v>
      </c>
      <c r="BY16" s="12">
        <f>IF('Données projet'!$A$114&gt;35,BY15+BX16-CG15,IF(A16&lt;'Données projet'!$A$114,$BV$205^A16,IF(A16='Données projet'!$A$114,'Données projet'!$B$114,BY15+BX16-CG15)))</f>
        <v>13.845819197850375</v>
      </c>
      <c r="BZ16" s="13">
        <f>BY16*VLOOKUP('Données projet'!$B$12,Paramètres!$A$1:$I$89,3,0)*VLOOKUP('Données projet'!$B$12,Paramètres!$A$1:$I$89,5,0)</f>
        <v>10.151754635863895</v>
      </c>
      <c r="CA16" s="13">
        <f t="shared" si="39"/>
        <v>3.5721673105129708</v>
      </c>
      <c r="CB16" s="20">
        <f t="shared" si="10"/>
        <v>23.902497389939708</v>
      </c>
      <c r="CC16" s="59">
        <f t="shared" si="11"/>
        <v>317.23583072327301</v>
      </c>
      <c r="CD16" s="59">
        <f ca="1">AVERAGE(OFFSET($CC$3,0,0,'Données projet'!$E$12+1,1))-AVERAGE(OFFSET($H$3,0,0,'Données projet'!$E$12+1,1))</f>
        <v>124.15919323713428</v>
      </c>
      <c r="CE16" s="59">
        <f t="shared" si="40"/>
        <v>157.85954678210715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1.2</v>
      </c>
      <c r="N17" s="13">
        <f>IF('Données projet'!$A$36&gt;35,N16+M17-V16,IF(A17&lt;'Données projet'!$A$36,$K$205^A17,IF(A17='Données projet'!$A$36,'Données projet'!$B$36,N16+M17-V16)))</f>
        <v>6.7171941741218459</v>
      </c>
      <c r="O17" s="13">
        <f>N17*VLOOKUP('Données projet'!$B$9,Paramètres!$A$1:$I$89,3,0)*VLOOKUP('Données projet'!$B$9,Paramètres!$A$1:$I$89,5,0)</f>
        <v>6.077717288745446</v>
      </c>
      <c r="P17" s="13">
        <f t="shared" si="33"/>
        <v>2.2702054705343011</v>
      </c>
      <c r="Q17" s="20">
        <f t="shared" si="2"/>
        <v>14.53929880574556</v>
      </c>
      <c r="R17" s="59">
        <f t="shared" si="0"/>
        <v>307.87263213907886</v>
      </c>
      <c r="S17" s="59">
        <f ca="1">AVERAGE(OFFSET($R$3,0,0,'Données projet'!$E$9+1,1))-AVERAGE(OFFSET($H$3,0,0,'Données projet'!$E$9+1,1))</f>
        <v>138.8931001150624</v>
      </c>
      <c r="T17" s="59">
        <f t="shared" si="34"/>
        <v>48.964659354096625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5.25</v>
      </c>
      <c r="AI17" s="13">
        <f>IF('Données projet'!$A$62&gt;35,AI16+AH17-AQ16,IF(A17&lt;'Données projet'!$A$62,$AF$205^A17,IF(A17='Données projet'!$A$62,'Données projet'!$B$62,AI16+AH17-AQ16)))</f>
        <v>25.991569751317236</v>
      </c>
      <c r="AJ17" s="13">
        <f>AI17*VLOOKUP('Données projet'!$B$10,Paramètres!$A$1:$I$89,3,0)*VLOOKUP('Données projet'!$B$10,Paramètres!$A$1:$I$89,5,0)</f>
        <v>22.70623533475074</v>
      </c>
      <c r="AK17" s="13">
        <f t="shared" si="35"/>
        <v>7.2751492262067101</v>
      </c>
      <c r="AL17" s="20">
        <f t="shared" si="4"/>
        <v>52.217578110334223</v>
      </c>
      <c r="AM17" s="59">
        <f t="shared" si="5"/>
        <v>345.55091144366753</v>
      </c>
      <c r="AN17" s="59">
        <f ca="1">AVERAGE(OFFSET($AM$3,0,0,'Données projet'!$E$10+1,1))-AVERAGE(OFFSET($H$3,0,0,'Données projet'!$E$10+1,1))</f>
        <v>191.94797389630673</v>
      </c>
      <c r="AO17" s="59">
        <f t="shared" si="36"/>
        <v>273.52540822767878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3.4666666666666668</v>
      </c>
      <c r="BD17" s="12">
        <f>IF('Données projet'!$A$88&gt;35,BD16+BC17-BL16,IF(A17&lt;'Données projet'!$A$88,$BA$205^A17,IF(A17='Données projet'!$A$88,'Données projet'!$B$88,BD16+BC17-BL16)))</f>
        <v>39.95794278810628</v>
      </c>
      <c r="BE17" s="13">
        <f>BD17*VLOOKUP('Données projet'!$B$11,Paramètres!$A$1:$I$89,3,0)*VLOOKUP('Données projet'!$B$11,Paramètres!$A$1:$I$89,5,0)</f>
        <v>22.336490018551409</v>
      </c>
      <c r="BF17" s="13">
        <f t="shared" si="37"/>
        <v>7.1703714762021402</v>
      </c>
      <c r="BG17" s="20">
        <f t="shared" si="7"/>
        <v>51.391117103362433</v>
      </c>
      <c r="BH17" s="59">
        <f t="shared" si="8"/>
        <v>344.72445043669575</v>
      </c>
      <c r="BI17" s="59">
        <f ca="1">AVERAGE(OFFSET($BH$3,0,0,'Données projet'!$E$11+1,1))-AVERAGE(OFFSET($H$3,0,0,'Données projet'!$E$11+1,1))</f>
        <v>279.98352834501759</v>
      </c>
      <c r="BJ17" s="59">
        <f t="shared" si="38"/>
        <v>281.30062655265488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2.85</v>
      </c>
      <c r="BY17" s="12">
        <f>IF('Données projet'!$A$114&gt;35,BY16+BX17-CG16,IF(A17&lt;'Données projet'!$A$114,$BV$205^A17,IF(A17='Données projet'!$A$114,'Données projet'!$B$114,BY16+BX17-CG16)))</f>
        <v>16.94776365704034</v>
      </c>
      <c r="BZ17" s="13">
        <f>BY17*VLOOKUP('Données projet'!$B$12,Paramètres!$A$1:$I$89,3,0)*VLOOKUP('Données projet'!$B$12,Paramètres!$A$1:$I$89,5,0)</f>
        <v>12.426100313341978</v>
      </c>
      <c r="CA17" s="13">
        <f t="shared" si="39"/>
        <v>4.2707715696248565</v>
      </c>
      <c r="CB17" s="20">
        <f t="shared" si="10"/>
        <v>29.080385196167239</v>
      </c>
      <c r="CC17" s="59">
        <f t="shared" si="11"/>
        <v>322.41371852950056</v>
      </c>
      <c r="CD17" s="59">
        <f ca="1">AVERAGE(OFFSET($CC$3,0,0,'Données projet'!$E$12+1,1))-AVERAGE(OFFSET($H$3,0,0,'Données projet'!$E$12+1,1))</f>
        <v>124.15919323713428</v>
      </c>
      <c r="CE17" s="59">
        <f t="shared" si="40"/>
        <v>157.85954678210715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1.2</v>
      </c>
      <c r="N18" s="13">
        <f>IF('Données projet'!$A$36&gt;35,N17+M18-V17,IF(A18&lt;'Données projet'!$A$36,$K$205^A18,IF(A18='Données projet'!$A$36,'Données projet'!$B$36,N17+M18-V17)))</f>
        <v>7.6961363407260848</v>
      </c>
      <c r="O18" s="13">
        <f>N18*VLOOKUP('Données projet'!$B$9,Paramètres!$A$1:$I$89,3,0)*VLOOKUP('Données projet'!$B$9,Paramètres!$A$1:$I$89,5,0)</f>
        <v>6.9634641610889609</v>
      </c>
      <c r="P18" s="13">
        <f t="shared" si="33"/>
        <v>2.5601920195323435</v>
      </c>
      <c r="Q18" s="20">
        <f t="shared" si="2"/>
        <v>16.587034514582104</v>
      </c>
      <c r="R18" s="59">
        <f t="shared" si="0"/>
        <v>309.92036784791543</v>
      </c>
      <c r="S18" s="59">
        <f ca="1">AVERAGE(OFFSET($R$3,0,0,'Données projet'!$E$9+1,1))-AVERAGE(OFFSET($H$3,0,0,'Données projet'!$E$9+1,1))</f>
        <v>138.8931001150624</v>
      </c>
      <c r="T18" s="59">
        <f t="shared" si="34"/>
        <v>48.964659354096625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5.25</v>
      </c>
      <c r="AI18" s="13">
        <f>IF('Données projet'!$A$62&gt;35,AI17+AH18-AQ17,IF(A18&lt;'Données projet'!$A$62,$AF$205^A18,IF(A18='Données projet'!$A$62,'Données projet'!$B$62,AI17+AH18-AQ17)))</f>
        <v>32.801369337662706</v>
      </c>
      <c r="AJ18" s="13">
        <f>AI18*VLOOKUP('Données projet'!$B$10,Paramètres!$A$1:$I$89,3,0)*VLOOKUP('Données projet'!$B$10,Paramètres!$A$1:$I$89,5,0)</f>
        <v>28.655276253382144</v>
      </c>
      <c r="AK18" s="13">
        <f t="shared" si="35"/>
        <v>8.9358948376924587</v>
      </c>
      <c r="AL18" s="20">
        <f t="shared" si="4"/>
        <v>65.471289650288256</v>
      </c>
      <c r="AM18" s="59">
        <f t="shared" si="5"/>
        <v>358.80462298362158</v>
      </c>
      <c r="AN18" s="59">
        <f ca="1">AVERAGE(OFFSET($AM$3,0,0,'Données projet'!$E$10+1,1))-AVERAGE(OFFSET($H$3,0,0,'Données projet'!$E$10+1,1))</f>
        <v>191.94797389630673</v>
      </c>
      <c r="AO18" s="59">
        <f t="shared" si="36"/>
        <v>273.52540822767878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52</v>
      </c>
      <c r="BB18" s="12">
        <f>VLOOKUP(A18,'Données projet'!$A$87:$I$107,9,0)</f>
        <v>3.4666666666666668</v>
      </c>
      <c r="BC18" s="12">
        <f t="array" ref="BC18">INDEX(BB:BB,MIN(IF(ISNUMBER(BB18:BB214),ROW(BB18:BB214),"")))</f>
        <v>3.4666666666666668</v>
      </c>
      <c r="BD18" s="12">
        <f>IF('Données projet'!$A$88&gt;35,BD17+BC18-BL17,IF(A18&lt;'Données projet'!$A$88,$BA$205^A18,IF(A18='Données projet'!$A$88,'Données projet'!$B$88,BD17+BC18-BL17)))</f>
        <v>52</v>
      </c>
      <c r="BE18" s="13">
        <f>BD18*VLOOKUP('Données projet'!$B$11,Paramètres!$A$1:$I$89,3,0)*VLOOKUP('Données projet'!$B$11,Paramètres!$A$1:$I$89,5,0)</f>
        <v>29.068000000000001</v>
      </c>
      <c r="BF18" s="13">
        <f t="shared" si="37"/>
        <v>9.0495230956474551</v>
      </c>
      <c r="BG18" s="20">
        <f t="shared" si="7"/>
        <v>66.388019391585985</v>
      </c>
      <c r="BH18" s="59">
        <f t="shared" si="8"/>
        <v>359.72135272491931</v>
      </c>
      <c r="BI18" s="59">
        <f ca="1">AVERAGE(OFFSET($BH$3,0,0,'Données projet'!$E$11+1,1))-AVERAGE(OFFSET($H$3,0,0,'Données projet'!$E$11+1,1))</f>
        <v>279.98352834501759</v>
      </c>
      <c r="BJ18" s="59">
        <f t="shared" si="38"/>
        <v>281.30062655265488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2.85</v>
      </c>
      <c r="BY18" s="12">
        <f>IF('Données projet'!$A$114&gt;35,BY17+BX18-CG17,IF(A18&lt;'Données projet'!$A$114,$BV$205^A18,IF(A18='Données projet'!$A$114,'Données projet'!$B$114,BY17+BX18-CG17)))</f>
        <v>20.744651426583019</v>
      </c>
      <c r="BZ18" s="13">
        <f>BY18*VLOOKUP('Données projet'!$B$12,Paramètres!$A$1:$I$89,3,0)*VLOOKUP('Données projet'!$B$12,Paramètres!$A$1:$I$89,5,0)</f>
        <v>15.20997842597067</v>
      </c>
      <c r="CA18" s="13">
        <f t="shared" si="39"/>
        <v>5.1060009832788964</v>
      </c>
      <c r="CB18" s="20">
        <f t="shared" si="10"/>
        <v>35.383664137776321</v>
      </c>
      <c r="CC18" s="59">
        <f t="shared" si="11"/>
        <v>328.71699747110961</v>
      </c>
      <c r="CD18" s="59">
        <f ca="1">AVERAGE(OFFSET($CC$3,0,0,'Données projet'!$E$12+1,1))-AVERAGE(OFFSET($H$3,0,0,'Données projet'!$E$12+1,1))</f>
        <v>124.15919323713428</v>
      </c>
      <c r="CE18" s="59">
        <f t="shared" si="40"/>
        <v>157.85954678210715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1.2</v>
      </c>
      <c r="N19" s="13">
        <f>IF('Données projet'!$A$36&gt;35,N18+M19-V18,IF(A19&lt;'Données projet'!$A$36,$K$205^A19,IF(A19='Données projet'!$A$36,'Données projet'!$B$36,N18+M19-V18)))</f>
        <v>8.8177463744060987</v>
      </c>
      <c r="O19" s="13">
        <f>N19*VLOOKUP('Données projet'!$B$9,Paramètres!$A$1:$I$89,3,0)*VLOOKUP('Données projet'!$B$9,Paramètres!$A$1:$I$89,5,0)</f>
        <v>7.9782969195626388</v>
      </c>
      <c r="P19" s="13">
        <f t="shared" si="33"/>
        <v>2.887220237089136</v>
      </c>
      <c r="Q19" s="20">
        <f t="shared" si="2"/>
        <v>18.924109047835174</v>
      </c>
      <c r="R19" s="59">
        <f t="shared" si="0"/>
        <v>312.25744238116852</v>
      </c>
      <c r="S19" s="59">
        <f ca="1">AVERAGE(OFFSET($R$3,0,0,'Données projet'!$E$9+1,1))-AVERAGE(OFFSET($H$3,0,0,'Données projet'!$E$9+1,1))</f>
        <v>138.8931001150624</v>
      </c>
      <c r="T19" s="59">
        <f t="shared" si="34"/>
        <v>48.964659354096625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5.25</v>
      </c>
      <c r="AI19" s="13">
        <f>IF('Données projet'!$A$62&gt;35,AI18+AH19-AQ18,IF(A19&lt;'Données projet'!$A$62,$AF$205^A19,IF(A19='Données projet'!$A$62,'Données projet'!$B$62,AI18+AH19-AQ18)))</f>
        <v>41.39533859324645</v>
      </c>
      <c r="AJ19" s="13">
        <f>AI19*VLOOKUP('Données projet'!$B$10,Paramètres!$A$1:$I$89,3,0)*VLOOKUP('Données projet'!$B$10,Paramètres!$A$1:$I$89,5,0)</f>
        <v>36.162967795060098</v>
      </c>
      <c r="AK19" s="13">
        <f t="shared" si="35"/>
        <v>10.975749646847175</v>
      </c>
      <c r="AL19" s="20">
        <f t="shared" si="4"/>
        <v>82.099932877988508</v>
      </c>
      <c r="AM19" s="59">
        <f t="shared" si="5"/>
        <v>375.43326621132184</v>
      </c>
      <c r="AN19" s="59">
        <f ca="1">AVERAGE(OFFSET($AM$3,0,0,'Données projet'!$E$10+1,1))-AVERAGE(OFFSET($H$3,0,0,'Données projet'!$E$10+1,1))</f>
        <v>191.94797389630673</v>
      </c>
      <c r="AO19" s="59">
        <f t="shared" si="36"/>
        <v>273.52540822767878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15.2</v>
      </c>
      <c r="BD19" s="12">
        <f>IF('Données projet'!$A$88&gt;35,BD18+BC19-BL18,IF(A19&lt;'Données projet'!$A$88,$BA$205^A19,IF(A19='Données projet'!$A$88,'Données projet'!$B$88,BD18+BC19-BL18)))</f>
        <v>67.2</v>
      </c>
      <c r="BE19" s="13">
        <f>BD19*VLOOKUP('Données projet'!$B$11,Paramètres!$A$1:$I$89,3,0)*VLOOKUP('Données projet'!$B$11,Paramètres!$A$1:$I$89,5,0)</f>
        <v>37.564800000000005</v>
      </c>
      <c r="BF19" s="13">
        <f t="shared" si="37"/>
        <v>11.350856362116868</v>
      </c>
      <c r="BG19" s="20">
        <f t="shared" si="7"/>
        <v>85.194768164020218</v>
      </c>
      <c r="BH19" s="59">
        <f t="shared" si="8"/>
        <v>378.52810149735353</v>
      </c>
      <c r="BI19" s="59">
        <f ca="1">AVERAGE(OFFSET($BH$3,0,0,'Données projet'!$E$11+1,1))-AVERAGE(OFFSET($H$3,0,0,'Données projet'!$E$11+1,1))</f>
        <v>279.98352834501759</v>
      </c>
      <c r="BJ19" s="59">
        <f t="shared" si="38"/>
        <v>281.30062655265488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2.85</v>
      </c>
      <c r="BY19" s="12">
        <f>IF('Données projet'!$A$114&gt;35,BY18+BX19-CG18,IF(A19&lt;'Données projet'!$A$114,$BV$205^A19,IF(A19='Données projet'!$A$114,'Données projet'!$B$114,BY18+BX19-CG18)))</f>
        <v>25.392173948075062</v>
      </c>
      <c r="BZ19" s="13">
        <f>BY19*VLOOKUP('Données projet'!$B$12,Paramètres!$A$1:$I$89,3,0)*VLOOKUP('Données projet'!$B$12,Paramètres!$A$1:$I$89,5,0)</f>
        <v>18.617541938728635</v>
      </c>
      <c r="CA19" s="13">
        <f t="shared" si="39"/>
        <v>6.1045751607677676</v>
      </c>
      <c r="CB19" s="20">
        <f t="shared" si="10"/>
        <v>43.057687281622897</v>
      </c>
      <c r="CC19" s="59">
        <f t="shared" si="11"/>
        <v>336.39102061495623</v>
      </c>
      <c r="CD19" s="59">
        <f ca="1">AVERAGE(OFFSET($CC$3,0,0,'Données projet'!$E$12+1,1))-AVERAGE(OFFSET($H$3,0,0,'Données projet'!$E$12+1,1))</f>
        <v>124.15919323713428</v>
      </c>
      <c r="CE19" s="59">
        <f t="shared" si="40"/>
        <v>157.85954678210715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1.2</v>
      </c>
      <c r="N20" s="13">
        <f>IF('Données projet'!$A$36&gt;35,N19+M20-V19,IF(A20&lt;'Données projet'!$A$36,$K$205^A20,IF(A20='Données projet'!$A$36,'Données projet'!$B$36,N19+M20-V19)))</f>
        <v>10.102816228956828</v>
      </c>
      <c r="O20" s="13">
        <f>N20*VLOOKUP('Données projet'!$B$9,Paramètres!$A$1:$I$89,3,0)*VLOOKUP('Données projet'!$B$9,Paramètres!$A$1:$I$89,5,0)</f>
        <v>9.1410281239601368</v>
      </c>
      <c r="P20" s="13">
        <f t="shared" si="33"/>
        <v>3.2560216709759704</v>
      </c>
      <c r="Q20" s="20">
        <f t="shared" si="2"/>
        <v>21.591528392847053</v>
      </c>
      <c r="R20" s="59">
        <f t="shared" si="0"/>
        <v>314.92486172618038</v>
      </c>
      <c r="S20" s="59">
        <f ca="1">AVERAGE(OFFSET($R$3,0,0,'Données projet'!$E$9+1,1))-AVERAGE(OFFSET($H$3,0,0,'Données projet'!$E$9+1,1))</f>
        <v>138.8931001150624</v>
      </c>
      <c r="T20" s="59">
        <f t="shared" si="34"/>
        <v>48.964659354096625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5.25</v>
      </c>
      <c r="AI20" s="13">
        <f>IF('Données projet'!$A$62&gt;35,AI19+AH20-AQ19,IF(A20&lt;'Données projet'!$A$62,$AF$205^A20,IF(A20='Données projet'!$A$62,'Données projet'!$B$62,AI19+AH20-AQ19)))</f>
        <v>52.240930541944905</v>
      </c>
      <c r="AJ20" s="13">
        <f>AI20*VLOOKUP('Données projet'!$B$10,Paramètres!$A$1:$I$89,3,0)*VLOOKUP('Données projet'!$B$10,Paramètres!$A$1:$I$89,5,0)</f>
        <v>45.637676921443074</v>
      </c>
      <c r="AK20" s="13">
        <f t="shared" si="35"/>
        <v>13.481255374909317</v>
      </c>
      <c r="AL20" s="20">
        <f t="shared" si="4"/>
        <v>102.96547374948041</v>
      </c>
      <c r="AM20" s="59">
        <f t="shared" si="5"/>
        <v>396.29880708281371</v>
      </c>
      <c r="AN20" s="59">
        <f ca="1">AVERAGE(OFFSET($AM$3,0,0,'Données projet'!$E$10+1,1))-AVERAGE(OFFSET($H$3,0,0,'Données projet'!$E$10+1,1))</f>
        <v>191.94797389630673</v>
      </c>
      <c r="AO20" s="59">
        <f t="shared" si="36"/>
        <v>273.52540822767878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15.2</v>
      </c>
      <c r="BD20" s="12">
        <f>IF('Données projet'!$A$88&gt;35,BD19+BC20-BL19,IF(A20&lt;'Données projet'!$A$88,$BA$205^A20,IF(A20='Données projet'!$A$88,'Données projet'!$B$88,BD19+BC20-BL19)))</f>
        <v>82.4</v>
      </c>
      <c r="BE20" s="13">
        <f>BD20*VLOOKUP('Données projet'!$B$11,Paramètres!$A$1:$I$89,3,0)*VLOOKUP('Données projet'!$B$11,Paramètres!$A$1:$I$89,5,0)</f>
        <v>46.061600000000006</v>
      </c>
      <c r="BF20" s="13">
        <f t="shared" si="37"/>
        <v>13.591845292116128</v>
      </c>
      <c r="BG20" s="20">
        <f t="shared" si="7"/>
        <v>103.89641721710227</v>
      </c>
      <c r="BH20" s="59">
        <f t="shared" si="8"/>
        <v>397.2297505504356</v>
      </c>
      <c r="BI20" s="59">
        <f ca="1">AVERAGE(OFFSET($BH$3,0,0,'Données projet'!$E$11+1,1))-AVERAGE(OFFSET($H$3,0,0,'Données projet'!$E$11+1,1))</f>
        <v>279.98352834501759</v>
      </c>
      <c r="BJ20" s="59">
        <f t="shared" si="38"/>
        <v>281.30062655265488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2.85</v>
      </c>
      <c r="BY20" s="12">
        <f>IF('Données projet'!$A$114&gt;35,BY19+BX20-CG19,IF(A20&lt;'Données projet'!$A$114,$BV$205^A20,IF(A20='Données projet'!$A$114,'Données projet'!$B$114,BY19+BX20-CG19)))</f>
        <v>31.080902954246678</v>
      </c>
      <c r="BZ20" s="13">
        <f>BY20*VLOOKUP('Données projet'!$B$12,Paramètres!$A$1:$I$89,3,0)*VLOOKUP('Données projet'!$B$12,Paramètres!$A$1:$I$89,5,0)</f>
        <v>22.788518046053664</v>
      </c>
      <c r="CA20" s="13">
        <f t="shared" si="39"/>
        <v>7.29843923170026</v>
      </c>
      <c r="CB20" s="20">
        <f t="shared" si="10"/>
        <v>52.401450592088082</v>
      </c>
      <c r="CC20" s="59">
        <f t="shared" si="11"/>
        <v>345.73478392542143</v>
      </c>
      <c r="CD20" s="59">
        <f ca="1">AVERAGE(OFFSET($CC$3,0,0,'Données projet'!$E$12+1,1))-AVERAGE(OFFSET($H$3,0,0,'Données projet'!$E$12+1,1))</f>
        <v>124.15919323713428</v>
      </c>
      <c r="CE20" s="59">
        <f t="shared" si="40"/>
        <v>157.85954678210715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1.2</v>
      </c>
      <c r="N21" s="13">
        <f>IF('Données projet'!$A$36&gt;35,N20+M21-V20,IF(A21&lt;'Données projet'!$A$36,$K$205^A21,IF(A21='Données projet'!$A$36,'Données projet'!$B$36,N20+M21-V20)))</f>
        <v>11.575168010312384</v>
      </c>
      <c r="O21" s="13">
        <f>N21*VLOOKUP('Données projet'!$B$9,Paramètres!$A$1:$I$89,3,0)*VLOOKUP('Données projet'!$B$9,Paramètres!$A$1:$I$89,5,0)</f>
        <v>10.473212015730644</v>
      </c>
      <c r="P21" s="13">
        <f t="shared" si="33"/>
        <v>3.6719322570811741</v>
      </c>
      <c r="Q21" s="20">
        <f t="shared" si="2"/>
        <v>24.636126275147248</v>
      </c>
      <c r="R21" s="59">
        <f t="shared" si="0"/>
        <v>317.96945960848058</v>
      </c>
      <c r="S21" s="59">
        <f ca="1">AVERAGE(OFFSET($R$3,0,0,'Données projet'!$E$9+1,1))-AVERAGE(OFFSET($H$3,0,0,'Données projet'!$E$9+1,1))</f>
        <v>138.8931001150624</v>
      </c>
      <c r="T21" s="59">
        <f t="shared" si="34"/>
        <v>48.964659354096625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5.25</v>
      </c>
      <c r="AI21" s="13">
        <f>IF('Données projet'!$A$62&gt;35,AI20+AH21-AQ20,IF(A21&lt;'Données projet'!$A$62,$AF$205^A21,IF(A21='Données projet'!$A$62,'Données projet'!$B$62,AI20+AH21-AQ20)))</f>
        <v>65.928071049370772</v>
      </c>
      <c r="AJ21" s="13">
        <f>AI21*VLOOKUP('Données projet'!$B$10,Paramètres!$A$1:$I$89,3,0)*VLOOKUP('Données projet'!$B$10,Paramètres!$A$1:$I$89,5,0)</f>
        <v>57.594762868730314</v>
      </c>
      <c r="AK21" s="13">
        <f t="shared" si="35"/>
        <v>16.558709184454482</v>
      </c>
      <c r="AL21" s="20">
        <f t="shared" si="4"/>
        <v>129.1506304926302</v>
      </c>
      <c r="AM21" s="59">
        <f t="shared" si="5"/>
        <v>422.48396382596354</v>
      </c>
      <c r="AN21" s="59">
        <f ca="1">AVERAGE(OFFSET($AM$3,0,0,'Données projet'!$E$10+1,1))-AVERAGE(OFFSET($H$3,0,0,'Données projet'!$E$10+1,1))</f>
        <v>191.94797389630673</v>
      </c>
      <c r="AO21" s="59">
        <f t="shared" si="36"/>
        <v>273.52540822767878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15.2</v>
      </c>
      <c r="BD21" s="12">
        <f>IF('Données projet'!$A$88&gt;35,BD20+BC21-BL20,IF(A21&lt;'Données projet'!$A$88,$BA$205^A21,IF(A21='Données projet'!$A$88,'Données projet'!$B$88,BD20+BC21-BL20)))</f>
        <v>97.600000000000009</v>
      </c>
      <c r="BE21" s="13">
        <f>BD21*VLOOKUP('Données projet'!$B$11,Paramètres!$A$1:$I$89,3,0)*VLOOKUP('Données projet'!$B$11,Paramètres!$A$1:$I$89,5,0)</f>
        <v>54.558400000000006</v>
      </c>
      <c r="BF21" s="13">
        <f t="shared" si="37"/>
        <v>15.784942245100703</v>
      </c>
      <c r="BG21" s="20">
        <f t="shared" si="7"/>
        <v>122.51465441021708</v>
      </c>
      <c r="BH21" s="59">
        <f t="shared" si="8"/>
        <v>415.84798774355039</v>
      </c>
      <c r="BI21" s="59">
        <f ca="1">AVERAGE(OFFSET($BH$3,0,0,'Données projet'!$E$11+1,1))-AVERAGE(OFFSET($H$3,0,0,'Données projet'!$E$11+1,1))</f>
        <v>279.98352834501759</v>
      </c>
      <c r="BJ21" s="59">
        <f t="shared" si="38"/>
        <v>281.30062655265488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2.85</v>
      </c>
      <c r="BY21" s="12">
        <f>IF('Données projet'!$A$114&gt;35,BY20+BX21-CG20,IF(A21&lt;'Données projet'!$A$114,$BV$205^A21,IF(A21='Données projet'!$A$114,'Données projet'!$B$114,BY20+BX21-CG20)))</f>
        <v>38.044104865803838</v>
      </c>
      <c r="BZ21" s="13">
        <f>BY21*VLOOKUP('Données projet'!$B$12,Paramètres!$A$1:$I$89,3,0)*VLOOKUP('Données projet'!$B$12,Paramètres!$A$1:$I$89,5,0)</f>
        <v>27.893937687607373</v>
      </c>
      <c r="CA21" s="13">
        <f t="shared" si="39"/>
        <v>8.7257857944240786</v>
      </c>
      <c r="CB21" s="20">
        <f t="shared" si="10"/>
        <v>63.779351731204777</v>
      </c>
      <c r="CC21" s="59">
        <f t="shared" si="11"/>
        <v>357.11268506453808</v>
      </c>
      <c r="CD21" s="59">
        <f ca="1">AVERAGE(OFFSET($CC$3,0,0,'Données projet'!$E$12+1,1))-AVERAGE(OFFSET($H$3,0,0,'Données projet'!$E$12+1,1))</f>
        <v>124.15919323713428</v>
      </c>
      <c r="CE21" s="59">
        <f t="shared" si="40"/>
        <v>157.85954678210715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1.2</v>
      </c>
      <c r="N22" s="13">
        <f>IF('Données projet'!$A$36&gt;35,N21+M22-V21,IF(A22&lt;'Données projet'!$A$36,$K$205^A22,IF(A22='Données projet'!$A$36,'Données projet'!$B$36,N21+M22-V21)))</f>
        <v>13.262095581124292</v>
      </c>
      <c r="O22" s="13">
        <f>N22*VLOOKUP('Données projet'!$B$9,Paramètres!$A$1:$I$89,3,0)*VLOOKUP('Données projet'!$B$9,Paramètres!$A$1:$I$89,5,0)</f>
        <v>11.999544081801259</v>
      </c>
      <c r="P22" s="13">
        <f t="shared" si="33"/>
        <v>4.1409695214196116</v>
      </c>
      <c r="Q22" s="20">
        <f t="shared" si="2"/>
        <v>28.111394525609683</v>
      </c>
      <c r="R22" s="59">
        <f t="shared" si="0"/>
        <v>321.444727858943</v>
      </c>
      <c r="S22" s="59">
        <f ca="1">AVERAGE(OFFSET($R$3,0,0,'Données projet'!$E$9+1,1))-AVERAGE(OFFSET($H$3,0,0,'Données projet'!$E$9+1,1))</f>
        <v>138.8931001150624</v>
      </c>
      <c r="T22" s="59">
        <f t="shared" si="34"/>
        <v>48.964659354096625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5.25</v>
      </c>
      <c r="AI22" s="13">
        <f>IF('Données projet'!$A$62&gt;35,AI21+AH22-AQ21,IF(A22&lt;'Données projet'!$A$62,$AF$205^A22,IF(A22='Données projet'!$A$62,'Données projet'!$B$62,AI21+AH22-AQ21)))</f>
        <v>83.201246746571883</v>
      </c>
      <c r="AJ22" s="13">
        <f>AI22*VLOOKUP('Données projet'!$B$10,Paramètres!$A$1:$I$89,3,0)*VLOOKUP('Données projet'!$B$10,Paramètres!$A$1:$I$89,5,0)</f>
        <v>72.684609157805212</v>
      </c>
      <c r="AK22" s="13">
        <f t="shared" si="35"/>
        <v>20.338673382424638</v>
      </c>
      <c r="AL22" s="20">
        <f t="shared" si="4"/>
        <v>162.01555042423362</v>
      </c>
      <c r="AM22" s="59">
        <f t="shared" si="5"/>
        <v>455.34888375756691</v>
      </c>
      <c r="AN22" s="59">
        <f ca="1">AVERAGE(OFFSET($AM$3,0,0,'Données projet'!$E$10+1,1))-AVERAGE(OFFSET($H$3,0,0,'Données projet'!$E$10+1,1))</f>
        <v>191.94797389630673</v>
      </c>
      <c r="AO22" s="59">
        <f t="shared" si="36"/>
        <v>273.52540822767878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15.2</v>
      </c>
      <c r="BD22" s="12">
        <f>IF('Données projet'!$A$88&gt;35,BD21+BC22-BL21,IF(A22&lt;'Données projet'!$A$88,$BA$205^A22,IF(A22='Données projet'!$A$88,'Données projet'!$B$88,BD21+BC22-BL21)))</f>
        <v>112.80000000000001</v>
      </c>
      <c r="BE22" s="13">
        <f>BD22*VLOOKUP('Données projet'!$B$11,Paramètres!$A$1:$I$89,3,0)*VLOOKUP('Données projet'!$B$11,Paramètres!$A$1:$I$89,5,0)</f>
        <v>63.055200000000006</v>
      </c>
      <c r="BF22" s="13">
        <f t="shared" si="37"/>
        <v>17.938472483677149</v>
      </c>
      <c r="BG22" s="20">
        <f t="shared" si="7"/>
        <v>141.0639795757377</v>
      </c>
      <c r="BH22" s="59">
        <f t="shared" si="8"/>
        <v>434.39731290907105</v>
      </c>
      <c r="BI22" s="59">
        <f ca="1">AVERAGE(OFFSET($BH$3,0,0,'Données projet'!$E$11+1,1))-AVERAGE(OFFSET($H$3,0,0,'Données projet'!$E$11+1,1))</f>
        <v>279.98352834501759</v>
      </c>
      <c r="BJ22" s="59">
        <f t="shared" si="38"/>
        <v>281.30062655265488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2.85</v>
      </c>
      <c r="BY22" s="12">
        <f>IF('Données projet'!$A$114&gt;35,BY21+BX22-CG21,IF(A22&lt;'Données projet'!$A$114,$BV$205^A22,IF(A22='Données projet'!$A$114,'Données projet'!$B$114,BY21+BX22-CG21)))</f>
        <v>46.567305884609858</v>
      </c>
      <c r="BZ22" s="13">
        <f>BY22*VLOOKUP('Données projet'!$B$12,Paramètres!$A$1:$I$89,3,0)*VLOOKUP('Données projet'!$B$12,Paramètres!$A$1:$I$89,5,0)</f>
        <v>34.143148674595949</v>
      </c>
      <c r="CA22" s="13">
        <f t="shared" si="39"/>
        <v>10.432276725613768</v>
      </c>
      <c r="CB22" s="20">
        <f t="shared" si="10"/>
        <v>77.63553257203192</v>
      </c>
      <c r="CC22" s="59">
        <f t="shared" si="11"/>
        <v>370.96886590536525</v>
      </c>
      <c r="CD22" s="59">
        <f ca="1">AVERAGE(OFFSET($CC$3,0,0,'Données projet'!$E$12+1,1))-AVERAGE(OFFSET($H$3,0,0,'Données projet'!$E$12+1,1))</f>
        <v>124.15919323713428</v>
      </c>
      <c r="CE22" s="59">
        <f t="shared" si="40"/>
        <v>157.85954678210715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1.2</v>
      </c>
      <c r="N23" s="13">
        <f>IF('Données projet'!$A$36&gt;35,N22+M23-V22,IF(A23&lt;'Données projet'!$A$36,$K$205^A23,IF(A23='Données projet'!$A$36,'Données projet'!$B$36,N22+M23-V22)))</f>
        <v>15.194870523363559</v>
      </c>
      <c r="O23" s="13">
        <f>N23*VLOOKUP('Données projet'!$B$9,Paramètres!$A$1:$I$89,3,0)*VLOOKUP('Données projet'!$B$9,Paramètres!$A$1:$I$89,5,0)</f>
        <v>13.748318849539347</v>
      </c>
      <c r="P23" s="13">
        <f t="shared" si="33"/>
        <v>4.6699196436038939</v>
      </c>
      <c r="Q23" s="20">
        <f t="shared" si="2"/>
        <v>32.078432042224485</v>
      </c>
      <c r="R23" s="59">
        <f t="shared" si="0"/>
        <v>325.41176537555782</v>
      </c>
      <c r="S23" s="59">
        <f ca="1">AVERAGE(OFFSET($R$3,0,0,'Données projet'!$E$9+1,1))-AVERAGE(OFFSET($H$3,0,0,'Données projet'!$E$9+1,1))</f>
        <v>138.8931001150624</v>
      </c>
      <c r="T23" s="59">
        <f t="shared" si="34"/>
        <v>48.964659354096625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105</v>
      </c>
      <c r="AG23" s="12">
        <f>VLOOKUP(A23,'Données projet'!$A$61:$I$81,9,0)</f>
        <v>5.25</v>
      </c>
      <c r="AH23" s="12">
        <f t="array" ref="AH23">INDEX(AG:AG,MIN(IF(ISNUMBER(AG23:AG219),ROW(AG23:AG219),"")))</f>
        <v>5.25</v>
      </c>
      <c r="AI23" s="13">
        <f>IF('Données projet'!$A$62&gt;35,AI22+AH23-AQ22,IF(A23&lt;'Données projet'!$A$62,$AF$205^A23,IF(A23='Données projet'!$A$62,'Données projet'!$B$62,AI22+AH23-AQ22)))</f>
        <v>105</v>
      </c>
      <c r="AJ23" s="13">
        <f>AI23*VLOOKUP('Données projet'!$B$10,Paramètres!$A$1:$I$89,3,0)*VLOOKUP('Données projet'!$B$10,Paramètres!$A$1:$I$89,5,0)</f>
        <v>91.728000000000009</v>
      </c>
      <c r="AK23" s="13">
        <f t="shared" si="35"/>
        <v>24.981514582386563</v>
      </c>
      <c r="AL23" s="20">
        <f t="shared" si="4"/>
        <v>203.26907123098991</v>
      </c>
      <c r="AM23" s="59">
        <f t="shared" si="5"/>
        <v>496.60240456432325</v>
      </c>
      <c r="AN23" s="59">
        <f ca="1">AVERAGE(OFFSET($AM$3,0,0,'Données projet'!$E$10+1,1))-AVERAGE(OFFSET($H$3,0,0,'Données projet'!$E$10+1,1))</f>
        <v>191.94797389630673</v>
      </c>
      <c r="AO23" s="59">
        <f t="shared" si="36"/>
        <v>273.52540822767878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3.3090613585623756</v>
      </c>
      <c r="AW23" s="21">
        <f>EXP(-LN(2)/2)*AW22+(1-EXP(-LN(2)/2))/(LN(2)/2)*AQ23*AT23*VLOOKUP('Données projet'!$B$10,Paramètres!$A$1:$I$89,3,0)*0.475*44/12</f>
        <v>6.5941209007941382</v>
      </c>
      <c r="AX23" s="21">
        <f t="shared" si="6"/>
        <v>9.9031822593565142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128</v>
      </c>
      <c r="BB23" s="12">
        <f>VLOOKUP(A23,'Données projet'!$A$87:$I$107,9,0)</f>
        <v>15.2</v>
      </c>
      <c r="BC23" s="12">
        <f t="array" ref="BC23">INDEX(BB:BB,MIN(IF(ISNUMBER(BB23:BB219),ROW(BB23:BB219),"")))</f>
        <v>15.2</v>
      </c>
      <c r="BD23" s="12">
        <f>IF('Données projet'!$A$88&gt;35,BD22+BC23-BL22,IF(A23&lt;'Données projet'!$A$88,$BA$205^A23,IF(A23='Données projet'!$A$88,'Données projet'!$B$88,BD22+BC23-BL22)))</f>
        <v>128</v>
      </c>
      <c r="BE23" s="13">
        <f>BD23*VLOOKUP('Données projet'!$B$11,Paramètres!$A$1:$I$89,3,0)*VLOOKUP('Données projet'!$B$11,Paramètres!$A$1:$I$89,5,0)</f>
        <v>71.552000000000007</v>
      </c>
      <c r="BF23" s="13">
        <f t="shared" si="37"/>
        <v>20.058380594223774</v>
      </c>
      <c r="BG23" s="20">
        <f t="shared" si="7"/>
        <v>159.55474620160641</v>
      </c>
      <c r="BH23" s="59">
        <f t="shared" si="8"/>
        <v>452.88807953493972</v>
      </c>
      <c r="BI23" s="59">
        <f ca="1">AVERAGE(OFFSET($BH$3,0,0,'Données projet'!$E$11+1,1))-AVERAGE(OFFSET($H$3,0,0,'Données projet'!$E$11+1,1))</f>
        <v>279.98352834501759</v>
      </c>
      <c r="BJ23" s="59">
        <f t="shared" si="38"/>
        <v>281.30062655265488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41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8.3280506289711571</v>
      </c>
      <c r="BR23" s="21">
        <f>EXP(-LN(2)/2)*BR22+(1-EXP(-LN(2)/2))/(LN(2)/2)*BL23*BO23*VLOOKUP('Données projet'!$B$11,Paramètres!$A$1:$I$89,3,0)*0.475*44/12</f>
        <v>12.974816013504537</v>
      </c>
      <c r="BS23" s="22">
        <f t="shared" si="9"/>
        <v>21.302866642475692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57</v>
      </c>
      <c r="BW23" s="12">
        <f>VLOOKUP(A23,'Données projet'!$A$113:$I$133,9,0)</f>
        <v>2.85</v>
      </c>
      <c r="BX23" s="12">
        <f t="array" ref="BX23">INDEX(BW:BW,MIN(IF(ISNUMBER(BW23:BW219),ROW(BW23:BW219),"")))</f>
        <v>2.85</v>
      </c>
      <c r="BY23" s="12">
        <f>IF('Données projet'!$A$114&gt;35,BY22+BX23-CG22,IF(A23&lt;'Données projet'!$A$114,$BV$205^A23,IF(A23='Données projet'!$A$114,'Données projet'!$B$114,BY22+BX23-CG22)))</f>
        <v>57</v>
      </c>
      <c r="BZ23" s="13">
        <f>BY23*VLOOKUP('Données projet'!$B$12,Paramètres!$A$1:$I$89,3,0)*VLOOKUP('Données projet'!$B$12,Paramètres!$A$1:$I$89,5,0)</f>
        <v>41.792400000000001</v>
      </c>
      <c r="CA23" s="13">
        <f t="shared" si="39"/>
        <v>12.472503937619972</v>
      </c>
      <c r="CB23" s="20">
        <f t="shared" si="10"/>
        <v>94.511374358021442</v>
      </c>
      <c r="CC23" s="59">
        <f t="shared" si="11"/>
        <v>387.84470769135476</v>
      </c>
      <c r="CD23" s="59">
        <f ca="1">AVERAGE(OFFSET($CC$3,0,0,'Données projet'!$E$12+1,1))-AVERAGE(OFFSET($H$3,0,0,'Données projet'!$E$12+1,1))</f>
        <v>124.15919323713428</v>
      </c>
      <c r="CE23" s="59">
        <f t="shared" si="40"/>
        <v>157.85954678210715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21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1.8225689513956829</v>
      </c>
      <c r="CM23" s="21">
        <f>EXP(-LN(2)/2)*CM22+(1-EXP(-LN(2)/2))/(LN(2)/2)*CG23*CJ23*VLOOKUP('Données projet'!$B$12,Paramètres!$A$1:$I$89,3,0)*0.475*44/12</f>
        <v>3.6319181523905204</v>
      </c>
      <c r="CN23" s="22">
        <f t="shared" si="12"/>
        <v>5.4544871037862031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1.2</v>
      </c>
      <c r="N24" s="13">
        <f>IF('Données projet'!$A$36&gt;35,N23+M24-V23,IF(A24&lt;'Données projet'!$A$36,$K$205^A24,IF(A24='Données projet'!$A$36,'Données projet'!$B$36,N23+M24-V23)))</f>
        <v>17.409321838276906</v>
      </c>
      <c r="O24" s="13">
        <f>N24*VLOOKUP('Données projet'!$B$9,Paramètres!$A$1:$I$89,3,0)*VLOOKUP('Données projet'!$B$9,Paramètres!$A$1:$I$89,5,0)</f>
        <v>15.751954399272945</v>
      </c>
      <c r="P24" s="13">
        <f t="shared" si="33"/>
        <v>5.2664356414391653</v>
      </c>
      <c r="Q24" s="20">
        <f t="shared" si="2"/>
        <v>36.607029320906918</v>
      </c>
      <c r="R24" s="59">
        <f t="shared" si="0"/>
        <v>329.94036265424023</v>
      </c>
      <c r="S24" s="59">
        <f ca="1">AVERAGE(OFFSET($R$3,0,0,'Données projet'!$E$9+1,1))-AVERAGE(OFFSET($H$3,0,0,'Données projet'!$E$9+1,1))</f>
        <v>138.8931001150624</v>
      </c>
      <c r="T24" s="59">
        <f t="shared" si="34"/>
        <v>48.964659354096625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10.199999999999999</v>
      </c>
      <c r="AI24" s="13">
        <f>IF('Données projet'!$A$62&gt;35,AI23+AH24-AQ23,IF(A24&lt;'Données projet'!$A$62,$AF$205^A24,IF(A24='Données projet'!$A$62,'Données projet'!$B$62,AI23+AH24-AQ23)))</f>
        <v>83.2</v>
      </c>
      <c r="AJ24" s="13">
        <f>AI24*VLOOKUP('Données projet'!$B$10,Paramètres!$A$1:$I$89,3,0)*VLOOKUP('Données projet'!$B$10,Paramètres!$A$1:$I$89,5,0)</f>
        <v>72.683520000000016</v>
      </c>
      <c r="AK24" s="13">
        <f t="shared" si="35"/>
        <v>20.338404088189375</v>
      </c>
      <c r="AL24" s="20">
        <f t="shared" si="4"/>
        <v>162.01318445359652</v>
      </c>
      <c r="AM24" s="59">
        <f t="shared" si="5"/>
        <v>455.34651778692984</v>
      </c>
      <c r="AN24" s="59">
        <f ca="1">AVERAGE(OFFSET($AM$3,0,0,'Données projet'!$E$10+1,1))-AVERAGE(OFFSET($H$3,0,0,'Données projet'!$E$10+1,1))</f>
        <v>191.94797389630673</v>
      </c>
      <c r="AO24" s="59">
        <f t="shared" si="36"/>
        <v>273.52540822767878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3.2185749016965137</v>
      </c>
      <c r="AW24" s="21">
        <f>EXP(-LN(2)/2)*AW23+(1-EXP(-LN(2)/2))/(LN(2)/2)*AQ24*AT24*VLOOKUP('Données projet'!$B$10,Paramètres!$A$1:$I$89,3,0)*0.475*44/12</f>
        <v>4.6627476049154808</v>
      </c>
      <c r="AX24" s="21">
        <f t="shared" si="6"/>
        <v>7.8813225066119941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19.3</v>
      </c>
      <c r="BD24" s="12">
        <f>IF('Données projet'!$A$88&gt;35,BD23+BC24-BL23,IF(A24&lt;'Données projet'!$A$88,$BA$205^A24,IF(A24='Données projet'!$A$88,'Données projet'!$B$88,BD23+BC24-BL23)))</f>
        <v>106.30000000000001</v>
      </c>
      <c r="BE24" s="13">
        <f>BD24*VLOOKUP('Données projet'!$B$11,Paramètres!$A$1:$I$89,3,0)*VLOOKUP('Données projet'!$B$11,Paramètres!$A$1:$I$89,5,0)</f>
        <v>59.421700000000008</v>
      </c>
      <c r="BF24" s="13">
        <f t="shared" si="37"/>
        <v>17.021974314670206</v>
      </c>
      <c r="BG24" s="20">
        <f t="shared" si="7"/>
        <v>133.13939943138396</v>
      </c>
      <c r="BH24" s="59">
        <f t="shared" si="8"/>
        <v>426.47273276471731</v>
      </c>
      <c r="BI24" s="59">
        <f ca="1">AVERAGE(OFFSET($BH$3,0,0,'Données projet'!$E$11+1,1))-AVERAGE(OFFSET($H$3,0,0,'Données projet'!$E$11+1,1))</f>
        <v>279.98352834501759</v>
      </c>
      <c r="BJ24" s="59">
        <f t="shared" si="38"/>
        <v>281.30062655265488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8.1003196465687921</v>
      </c>
      <c r="BR24" s="21">
        <f>EXP(-LN(2)/2)*BR23+(1-EXP(-LN(2)/2))/(LN(2)/2)*BL24*BO24*VLOOKUP('Données projet'!$B$11,Paramètres!$A$1:$I$89,3,0)*0.475*44/12</f>
        <v>9.1745803877968655</v>
      </c>
      <c r="BS24" s="22">
        <f t="shared" si="9"/>
        <v>17.274900034365658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9.9</v>
      </c>
      <c r="BY24" s="12">
        <f>IF('Données projet'!$A$114&gt;35,BY23+BX24-CG23,IF(A24&lt;'Données projet'!$A$114,$BV$205^A24,IF(A24='Données projet'!$A$114,'Données projet'!$B$114,BY23+BX24-CG23)))</f>
        <v>45.900000000000006</v>
      </c>
      <c r="BZ24" s="13">
        <f>BY24*VLOOKUP('Données projet'!$B$12,Paramètres!$A$1:$I$89,3,0)*VLOOKUP('Données projet'!$B$12,Paramètres!$A$1:$I$89,5,0)</f>
        <v>33.653880000000001</v>
      </c>
      <c r="CA24" s="13">
        <f t="shared" si="39"/>
        <v>10.300073319810956</v>
      </c>
      <c r="CB24" s="20">
        <f t="shared" si="10"/>
        <v>76.553135365337411</v>
      </c>
      <c r="CC24" s="59">
        <f t="shared" si="11"/>
        <v>369.88646869867074</v>
      </c>
      <c r="CD24" s="59">
        <f ca="1">AVERAGE(OFFSET($CC$3,0,0,'Données projet'!$E$12+1,1))-AVERAGE(OFFSET($H$3,0,0,'Données projet'!$E$12+1,1))</f>
        <v>124.15919323713428</v>
      </c>
      <c r="CE24" s="59">
        <f t="shared" si="40"/>
        <v>157.85954678210715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1.7727307075750323</v>
      </c>
      <c r="CM24" s="21">
        <f>EXP(-LN(2)/2)*CM23+(1-EXP(-LN(2)/2))/(LN(2)/2)*CG24*CJ24*VLOOKUP('Données projet'!$B$12,Paramètres!$A$1:$I$89,3,0)*0.475*44/12</f>
        <v>2.5681539542698539</v>
      </c>
      <c r="CN24" s="22">
        <f t="shared" si="12"/>
        <v>4.3408846618448864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1.2</v>
      </c>
      <c r="N25" s="13">
        <f>IF('Données projet'!$A$36&gt;35,N24+M25-V24,IF(A25&lt;'Données projet'!$A$36,$K$205^A25,IF(A25='Données projet'!$A$36,'Données projet'!$B$36,N24+M25-V24)))</f>
        <v>19.946500129940819</v>
      </c>
      <c r="O25" s="13">
        <f>N25*VLOOKUP('Données projet'!$B$9,Paramètres!$A$1:$I$89,3,0)*VLOOKUP('Données projet'!$B$9,Paramètres!$A$1:$I$89,5,0)</f>
        <v>18.047593317570453</v>
      </c>
      <c r="P25" s="13">
        <f t="shared" si="33"/>
        <v>5.9391480972072355</v>
      </c>
      <c r="Q25" s="20">
        <f t="shared" si="2"/>
        <v>41.776907964071142</v>
      </c>
      <c r="R25" s="59">
        <f t="shared" si="0"/>
        <v>335.11024129740446</v>
      </c>
      <c r="S25" s="59">
        <f ca="1">AVERAGE(OFFSET($R$3,0,0,'Données projet'!$E$9+1,1))-AVERAGE(OFFSET($H$3,0,0,'Données projet'!$E$9+1,1))</f>
        <v>138.8931001150624</v>
      </c>
      <c r="T25" s="59">
        <f t="shared" si="34"/>
        <v>48.964659354096625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10.199999999999999</v>
      </c>
      <c r="AI25" s="13">
        <f>IF('Données projet'!$A$62&gt;35,AI24+AH25-AQ24,IF(A25&lt;'Données projet'!$A$62,$AF$205^A25,IF(A25='Données projet'!$A$62,'Données projet'!$B$62,AI24+AH25-AQ24)))</f>
        <v>93.4</v>
      </c>
      <c r="AJ25" s="13">
        <f>AI25*VLOOKUP('Données projet'!$B$10,Paramètres!$A$1:$I$89,3,0)*VLOOKUP('Données projet'!$B$10,Paramètres!$A$1:$I$89,5,0)</f>
        <v>81.594240000000013</v>
      </c>
      <c r="AK25" s="13">
        <f t="shared" si="35"/>
        <v>22.526535320646357</v>
      </c>
      <c r="AL25" s="20">
        <f t="shared" si="4"/>
        <v>181.34368368345909</v>
      </c>
      <c r="AM25" s="59">
        <f t="shared" si="5"/>
        <v>474.67701701679243</v>
      </c>
      <c r="AN25" s="59">
        <f ca="1">AVERAGE(OFFSET($AM$3,0,0,'Données projet'!$E$10+1,1))-AVERAGE(OFFSET($H$3,0,0,'Données projet'!$E$10+1,1))</f>
        <v>191.94797389630673</v>
      </c>
      <c r="AO25" s="59">
        <f t="shared" si="36"/>
        <v>273.52540822767878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3.1305628017521245</v>
      </c>
      <c r="AW25" s="21">
        <f>EXP(-LN(2)/2)*AW24+(1-EXP(-LN(2)/2))/(LN(2)/2)*AQ25*AT25*VLOOKUP('Données projet'!$B$10,Paramètres!$A$1:$I$89,3,0)*0.475*44/12</f>
        <v>3.2970604503970695</v>
      </c>
      <c r="AX25" s="21">
        <f t="shared" si="6"/>
        <v>6.4276232521491945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19.3</v>
      </c>
      <c r="BD25" s="12">
        <f>IF('Données projet'!$A$88&gt;35,BD24+BC25-BL24,IF(A25&lt;'Données projet'!$A$88,$BA$205^A25,IF(A25='Données projet'!$A$88,'Données projet'!$B$88,BD24+BC25-BL24)))</f>
        <v>125.60000000000001</v>
      </c>
      <c r="BE25" s="13">
        <f>BD25*VLOOKUP('Données projet'!$B$11,Paramètres!$A$1:$I$89,3,0)*VLOOKUP('Données projet'!$B$11,Paramètres!$A$1:$I$89,5,0)</f>
        <v>70.210400000000007</v>
      </c>
      <c r="BF25" s="13">
        <f t="shared" si="37"/>
        <v>19.725698176833735</v>
      </c>
      <c r="BG25" s="20">
        <f t="shared" si="7"/>
        <v>156.63870432465208</v>
      </c>
      <c r="BH25" s="59">
        <f t="shared" si="8"/>
        <v>449.97203765798542</v>
      </c>
      <c r="BI25" s="59">
        <f ca="1">AVERAGE(OFFSET($BH$3,0,0,'Données projet'!$E$11+1,1))-AVERAGE(OFFSET($H$3,0,0,'Données projet'!$E$11+1,1))</f>
        <v>279.98352834501759</v>
      </c>
      <c r="BJ25" s="59">
        <f t="shared" si="38"/>
        <v>281.30062655265488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7.8788159798560722</v>
      </c>
      <c r="BR25" s="21">
        <f>EXP(-LN(2)/2)*BR24+(1-EXP(-LN(2)/2))/(LN(2)/2)*BL25*BO25*VLOOKUP('Données projet'!$B$11,Paramètres!$A$1:$I$89,3,0)*0.475*44/12</f>
        <v>6.4874080067522693</v>
      </c>
      <c r="BS25" s="22">
        <f t="shared" si="9"/>
        <v>14.366223986608341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9.9</v>
      </c>
      <c r="BY25" s="12">
        <f>IF('Données projet'!$A$114&gt;35,BY24+BX25-CG24,IF(A25&lt;'Données projet'!$A$114,$BV$205^A25,IF(A25='Données projet'!$A$114,'Données projet'!$B$114,BY24+BX25-CG24)))</f>
        <v>55.800000000000004</v>
      </c>
      <c r="BZ25" s="13">
        <f>BY25*VLOOKUP('Données projet'!$B$12,Paramètres!$A$1:$I$89,3,0)*VLOOKUP('Données projet'!$B$12,Paramètres!$A$1:$I$89,5,0)</f>
        <v>40.912559999999999</v>
      </c>
      <c r="CA25" s="13">
        <f t="shared" si="39"/>
        <v>12.240202574960914</v>
      </c>
      <c r="CB25" s="20">
        <f t="shared" si="10"/>
        <v>92.57439481805693</v>
      </c>
      <c r="CC25" s="59">
        <f t="shared" si="11"/>
        <v>385.90772815139024</v>
      </c>
      <c r="CD25" s="59">
        <f ca="1">AVERAGE(OFFSET($CC$3,0,0,'Données projet'!$E$12+1,1))-AVERAGE(OFFSET($H$3,0,0,'Données projet'!$E$12+1,1))</f>
        <v>124.15919323713428</v>
      </c>
      <c r="CE25" s="59">
        <f t="shared" si="40"/>
        <v>157.85954678210715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1.7242552931525368</v>
      </c>
      <c r="CM25" s="21">
        <f>EXP(-LN(2)/2)*CM24+(1-EXP(-LN(2)/2))/(LN(2)/2)*CG25*CJ25*VLOOKUP('Données projet'!$B$12,Paramètres!$A$1:$I$89,3,0)*0.475*44/12</f>
        <v>1.8159590761952604</v>
      </c>
      <c r="CN25" s="22">
        <f t="shared" si="12"/>
        <v>3.5402143693477974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1.2</v>
      </c>
      <c r="N26" s="13">
        <f>IF('Données projet'!$A$36&gt;35,N25+M26-V25,IF(A26&lt;'Données projet'!$A$36,$K$205^A26,IF(A26='Données projet'!$A$36,'Données projet'!$B$36,N25+M26-V25)))</f>
        <v>22.853438584779923</v>
      </c>
      <c r="O26" s="13">
        <f>N26*VLOOKUP('Données projet'!$B$9,Paramètres!$A$1:$I$89,3,0)*VLOOKUP('Données projet'!$B$9,Paramètres!$A$1:$I$89,5,0)</f>
        <v>20.677791231508873</v>
      </c>
      <c r="P26" s="13">
        <f t="shared" si="33"/>
        <v>6.6977900276630162</v>
      </c>
      <c r="Q26" s="20">
        <f t="shared" si="2"/>
        <v>47.679137359724372</v>
      </c>
      <c r="R26" s="59">
        <f t="shared" si="0"/>
        <v>341.01247069305771</v>
      </c>
      <c r="S26" s="59">
        <f ca="1">AVERAGE(OFFSET($R$3,0,0,'Données projet'!$E$9+1,1))-AVERAGE(OFFSET($H$3,0,0,'Données projet'!$E$9+1,1))</f>
        <v>138.8931001150624</v>
      </c>
      <c r="T26" s="59">
        <f t="shared" si="34"/>
        <v>48.964659354096625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10.199999999999999</v>
      </c>
      <c r="AI26" s="13">
        <f>IF('Données projet'!$A$62&gt;35,AI25+AH26-AQ25,IF(A26&lt;'Données projet'!$A$62,$AF$205^A26,IF(A26='Données projet'!$A$62,'Données projet'!$B$62,AI25+AH26-AQ25)))</f>
        <v>103.60000000000001</v>
      </c>
      <c r="AJ26" s="13">
        <f>AI26*VLOOKUP('Données projet'!$B$10,Paramètres!$A$1:$I$89,3,0)*VLOOKUP('Données projet'!$B$10,Paramètres!$A$1:$I$89,5,0)</f>
        <v>90.504960000000025</v>
      </c>
      <c r="AK26" s="13">
        <f t="shared" si="35"/>
        <v>24.686969501776463</v>
      </c>
      <c r="AL26" s="20">
        <f t="shared" si="4"/>
        <v>200.62594388226071</v>
      </c>
      <c r="AM26" s="59">
        <f t="shared" si="5"/>
        <v>493.95927721559406</v>
      </c>
      <c r="AN26" s="59">
        <f ca="1">AVERAGE(OFFSET($AM$3,0,0,'Données projet'!$E$10+1,1))-AVERAGE(OFFSET($H$3,0,0,'Données projet'!$E$10+1,1))</f>
        <v>191.94797389630673</v>
      </c>
      <c r="AO26" s="59">
        <f t="shared" si="36"/>
        <v>273.52540822767878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3.0449573973090698</v>
      </c>
      <c r="AW26" s="21">
        <f>EXP(-LN(2)/2)*AW25+(1-EXP(-LN(2)/2))/(LN(2)/2)*AQ26*AT26*VLOOKUP('Données projet'!$B$10,Paramètres!$A$1:$I$89,3,0)*0.475*44/12</f>
        <v>2.3313738024577408</v>
      </c>
      <c r="AX26" s="21">
        <f t="shared" si="6"/>
        <v>5.3763311997668106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19.3</v>
      </c>
      <c r="BD26" s="12">
        <f>IF('Données projet'!$A$88&gt;35,BD25+BC26-BL25,IF(A26&lt;'Données projet'!$A$88,$BA$205^A26,IF(A26='Données projet'!$A$88,'Données projet'!$B$88,BD25+BC26-BL25)))</f>
        <v>144.9</v>
      </c>
      <c r="BE26" s="13">
        <f>BD26*VLOOKUP('Données projet'!$B$11,Paramètres!$A$1:$I$89,3,0)*VLOOKUP('Données projet'!$B$11,Paramètres!$A$1:$I$89,5,0)</f>
        <v>80.999099999999999</v>
      </c>
      <c r="BF26" s="13">
        <f t="shared" si="37"/>
        <v>22.381292534971308</v>
      </c>
      <c r="BG26" s="20">
        <f t="shared" si="7"/>
        <v>180.05418366507502</v>
      </c>
      <c r="BH26" s="59">
        <f t="shared" si="8"/>
        <v>473.38751699840833</v>
      </c>
      <c r="BI26" s="59">
        <f ca="1">AVERAGE(OFFSET($BH$3,0,0,'Données projet'!$E$11+1,1))-AVERAGE(OFFSET($H$3,0,0,'Données projet'!$E$11+1,1))</f>
        <v>279.98352834501759</v>
      </c>
      <c r="BJ26" s="59">
        <f t="shared" si="38"/>
        <v>281.30062655265488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7.6633693425579832</v>
      </c>
      <c r="BR26" s="21">
        <f>EXP(-LN(2)/2)*BR25+(1-EXP(-LN(2)/2))/(LN(2)/2)*BL26*BO26*VLOOKUP('Données projet'!$B$11,Paramètres!$A$1:$I$89,3,0)*0.475*44/12</f>
        <v>4.5872901938984336</v>
      </c>
      <c r="BS26" s="22">
        <f t="shared" si="9"/>
        <v>12.250659536456418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9.9</v>
      </c>
      <c r="BY26" s="12">
        <f>IF('Données projet'!$A$114&gt;35,BY25+BX26-CG25,IF(A26&lt;'Données projet'!$A$114,$BV$205^A26,IF(A26='Données projet'!$A$114,'Données projet'!$B$114,BY25+BX26-CG25)))</f>
        <v>65.7</v>
      </c>
      <c r="BZ26" s="13">
        <f>BY26*VLOOKUP('Données projet'!$B$12,Paramètres!$A$1:$I$89,3,0)*VLOOKUP('Données projet'!$B$12,Paramètres!$A$1:$I$89,5,0)</f>
        <v>48.171240000000004</v>
      </c>
      <c r="CA26" s="13">
        <f t="shared" si="39"/>
        <v>14.140455121515522</v>
      </c>
      <c r="CB26" s="20">
        <f t="shared" si="10"/>
        <v>108.52620233663954</v>
      </c>
      <c r="CC26" s="59">
        <f t="shared" si="11"/>
        <v>401.85953566997284</v>
      </c>
      <c r="CD26" s="59">
        <f ca="1">AVERAGE(OFFSET($CC$3,0,0,'Données projet'!$E$12+1,1))-AVERAGE(OFFSET($H$3,0,0,'Données projet'!$E$12+1,1))</f>
        <v>124.15919323713428</v>
      </c>
      <c r="CE26" s="59">
        <f t="shared" si="40"/>
        <v>157.85954678210715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1.6771054414866355</v>
      </c>
      <c r="CM26" s="21">
        <f>EXP(-LN(2)/2)*CM25+(1-EXP(-LN(2)/2))/(LN(2)/2)*CG26*CJ26*VLOOKUP('Données projet'!$B$12,Paramètres!$A$1:$I$89,3,0)*0.475*44/12</f>
        <v>1.2840769771349272</v>
      </c>
      <c r="CN26" s="22">
        <f t="shared" si="12"/>
        <v>2.9611824186215627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1.2</v>
      </c>
      <c r="N27" s="13">
        <f>IF('Données projet'!$A$36&gt;35,N26+M27-V26,IF(A27&lt;'Données projet'!$A$36,$K$205^A27,IF(A27='Données projet'!$A$36,'Données projet'!$B$36,N26+M27-V26)))</f>
        <v>26.184024853780567</v>
      </c>
      <c r="O27" s="13">
        <f>N27*VLOOKUP('Données projet'!$B$9,Paramètres!$A$1:$I$89,3,0)*VLOOKUP('Données projet'!$B$9,Paramètres!$A$1:$I$89,5,0)</f>
        <v>23.691305687700655</v>
      </c>
      <c r="P27" s="13">
        <f t="shared" si="33"/>
        <v>7.5533377044018843</v>
      </c>
      <c r="Q27" s="20">
        <f t="shared" si="2"/>
        <v>54.417753907911923</v>
      </c>
      <c r="R27" s="59">
        <f t="shared" si="0"/>
        <v>347.75108724124522</v>
      </c>
      <c r="S27" s="59">
        <f ca="1">AVERAGE(OFFSET($R$3,0,0,'Données projet'!$E$9+1,1))-AVERAGE(OFFSET($H$3,0,0,'Données projet'!$E$9+1,1))</f>
        <v>138.8931001150624</v>
      </c>
      <c r="T27" s="59">
        <f t="shared" si="34"/>
        <v>48.964659354096625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10.199999999999999</v>
      </c>
      <c r="AI27" s="13">
        <f>IF('Données projet'!$A$62&gt;35,AI26+AH27-AQ26,IF(A27&lt;'Données projet'!$A$62,$AF$205^A27,IF(A27='Données projet'!$A$62,'Données projet'!$B$62,AI26+AH27-AQ26)))</f>
        <v>113.80000000000001</v>
      </c>
      <c r="AJ27" s="13">
        <f>AI27*VLOOKUP('Données projet'!$B$10,Paramètres!$A$1:$I$89,3,0)*VLOOKUP('Données projet'!$B$10,Paramètres!$A$1:$I$89,5,0)</f>
        <v>99.415680000000023</v>
      </c>
      <c r="AK27" s="13">
        <f t="shared" si="35"/>
        <v>26.822743922231254</v>
      </c>
      <c r="AL27" s="20">
        <f t="shared" si="4"/>
        <v>219.86525499788613</v>
      </c>
      <c r="AM27" s="59">
        <f t="shared" si="5"/>
        <v>513.19858833121941</v>
      </c>
      <c r="AN27" s="59">
        <f ca="1">AVERAGE(OFFSET($AM$3,0,0,'Données projet'!$E$10+1,1))-AVERAGE(OFFSET($H$3,0,0,'Données projet'!$E$10+1,1))</f>
        <v>191.94797389630673</v>
      </c>
      <c r="AO27" s="59">
        <f t="shared" si="36"/>
        <v>273.52540822767878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2.961692877152303</v>
      </c>
      <c r="AW27" s="21">
        <f>EXP(-LN(2)/2)*AW26+(1-EXP(-LN(2)/2))/(LN(2)/2)*AQ27*AT27*VLOOKUP('Données projet'!$B$10,Paramètres!$A$1:$I$89,3,0)*0.475*44/12</f>
        <v>1.6485302251985352</v>
      </c>
      <c r="AX27" s="21">
        <f t="shared" si="6"/>
        <v>4.6102231023508384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19.3</v>
      </c>
      <c r="BD27" s="12">
        <f>IF('Données projet'!$A$88&gt;35,BD26+BC27-BL26,IF(A27&lt;'Données projet'!$A$88,$BA$205^A27,IF(A27='Données projet'!$A$88,'Données projet'!$B$88,BD26+BC27-BL26)))</f>
        <v>164.20000000000002</v>
      </c>
      <c r="BE27" s="13">
        <f>BD27*VLOOKUP('Données projet'!$B$11,Paramètres!$A$1:$I$89,3,0)*VLOOKUP('Données projet'!$B$11,Paramètres!$A$1:$I$89,5,0)</f>
        <v>91.787800000000018</v>
      </c>
      <c r="BF27" s="13">
        <f t="shared" si="37"/>
        <v>24.995904465215339</v>
      </c>
      <c r="BG27" s="20">
        <f t="shared" si="7"/>
        <v>203.39828527691671</v>
      </c>
      <c r="BH27" s="59">
        <f t="shared" si="8"/>
        <v>496.73161861025005</v>
      </c>
      <c r="BI27" s="59">
        <f ca="1">AVERAGE(OFFSET($BH$3,0,0,'Données projet'!$E$11+1,1))-AVERAGE(OFFSET($H$3,0,0,'Données projet'!$E$11+1,1))</f>
        <v>279.98352834501759</v>
      </c>
      <c r="BJ27" s="59">
        <f t="shared" si="38"/>
        <v>281.30062655265488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7.4538141048866562</v>
      </c>
      <c r="BR27" s="21">
        <f>EXP(-LN(2)/2)*BR26+(1-EXP(-LN(2)/2))/(LN(2)/2)*BL27*BO27*VLOOKUP('Données projet'!$B$11,Paramètres!$A$1:$I$89,3,0)*0.475*44/12</f>
        <v>3.2437040033761351</v>
      </c>
      <c r="BS27" s="22">
        <f t="shared" si="9"/>
        <v>10.697518108262791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9.9</v>
      </c>
      <c r="BY27" s="12">
        <f>IF('Données projet'!$A$114&gt;35,BY26+BX27-CG26,IF(A27&lt;'Données projet'!$A$114,$BV$205^A27,IF(A27='Données projet'!$A$114,'Données projet'!$B$114,BY26+BX27-CG26)))</f>
        <v>75.600000000000009</v>
      </c>
      <c r="BZ27" s="13">
        <f>BY27*VLOOKUP('Données projet'!$B$12,Paramètres!$A$1:$I$89,3,0)*VLOOKUP('Données projet'!$B$12,Paramètres!$A$1:$I$89,5,0)</f>
        <v>55.42992000000001</v>
      </c>
      <c r="CA27" s="13">
        <f t="shared" si="39"/>
        <v>16.007535946649163</v>
      </c>
      <c r="CB27" s="20">
        <f t="shared" si="10"/>
        <v>124.42023577374732</v>
      </c>
      <c r="CC27" s="59">
        <f t="shared" si="11"/>
        <v>417.75356910708064</v>
      </c>
      <c r="CD27" s="59">
        <f ca="1">AVERAGE(OFFSET($CC$3,0,0,'Données projet'!$E$12+1,1))-AVERAGE(OFFSET($H$3,0,0,'Données projet'!$E$12+1,1))</f>
        <v>124.15919323713428</v>
      </c>
      <c r="CE27" s="59">
        <f t="shared" si="40"/>
        <v>157.85954678210715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1.6312449049940414</v>
      </c>
      <c r="CM27" s="21">
        <f>EXP(-LN(2)/2)*CM26+(1-EXP(-LN(2)/2))/(LN(2)/2)*CG27*CJ27*VLOOKUP('Données projet'!$B$12,Paramètres!$A$1:$I$89,3,0)*0.475*44/12</f>
        <v>0.90797953809763043</v>
      </c>
      <c r="CN27" s="22">
        <f t="shared" si="12"/>
        <v>2.5392244430916717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30</v>
      </c>
      <c r="L28" s="12">
        <f>VLOOKUP(A28,'Données projet'!$A$35:$I$55,9,0)</f>
        <v>1.2</v>
      </c>
      <c r="M28" s="12">
        <f t="array" ref="M28">INDEX(L:L,MIN(IF(ISNUMBER(L28:L224),ROW(L28:L224),"")))</f>
        <v>1.2</v>
      </c>
      <c r="N28" s="13">
        <f>IF('Données projet'!$A$36&gt;35,N27+M28-V27,IF(A28&lt;'Données projet'!$A$36,$K$205^A28,IF(A28='Données projet'!$A$36,'Données projet'!$B$36,N27+M28-V27)))</f>
        <v>30</v>
      </c>
      <c r="O28" s="13">
        <f>N28*VLOOKUP('Données projet'!$B$9,Paramètres!$A$1:$I$89,3,0)*VLOOKUP('Données projet'!$B$9,Paramètres!$A$1:$I$89,5,0)</f>
        <v>27.143999999999998</v>
      </c>
      <c r="P28" s="13">
        <f t="shared" si="33"/>
        <v>8.5181694620316346</v>
      </c>
      <c r="Q28" s="20">
        <f t="shared" si="2"/>
        <v>62.111611813038422</v>
      </c>
      <c r="R28" s="59">
        <f t="shared" si="0"/>
        <v>355.44494514637177</v>
      </c>
      <c r="S28" s="59">
        <f ca="1">AVERAGE(OFFSET($R$3,0,0,'Données projet'!$E$9+1,1))-AVERAGE(OFFSET($H$3,0,0,'Données projet'!$E$9+1,1))</f>
        <v>138.8931001150624</v>
      </c>
      <c r="T28" s="59">
        <f t="shared" si="34"/>
        <v>48.964659354096625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10.199999999999999</v>
      </c>
      <c r="AI28" s="13">
        <f>IF('Données projet'!$A$62&gt;35,AI27+AH28-AQ27,IF(A28&lt;'Données projet'!$A$62,$AF$205^A28,IF(A28='Données projet'!$A$62,'Données projet'!$B$62,AI27+AH28-AQ27)))</f>
        <v>124.00000000000001</v>
      </c>
      <c r="AJ28" s="13">
        <f>AI28*VLOOKUP('Données projet'!$B$10,Paramètres!$A$1:$I$89,3,0)*VLOOKUP('Données projet'!$B$10,Paramètres!$A$1:$I$89,5,0)</f>
        <v>108.32640000000002</v>
      </c>
      <c r="AK28" s="13">
        <f t="shared" si="35"/>
        <v>28.936320206966883</v>
      </c>
      <c r="AL28" s="20">
        <f t="shared" si="4"/>
        <v>239.06590436046736</v>
      </c>
      <c r="AM28" s="59">
        <f t="shared" si="5"/>
        <v>532.39923769380061</v>
      </c>
      <c r="AN28" s="59">
        <f ca="1">AVERAGE(OFFSET($AM$3,0,0,'Données projet'!$E$10+1,1))-AVERAGE(OFFSET($H$3,0,0,'Données projet'!$E$10+1,1))</f>
        <v>191.94797389630673</v>
      </c>
      <c r="AO28" s="59">
        <f t="shared" si="36"/>
        <v>273.52540822767878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2.8807052296779139</v>
      </c>
      <c r="AW28" s="21">
        <f>EXP(-LN(2)/2)*AW27+(1-EXP(-LN(2)/2))/(LN(2)/2)*AQ28*AT28*VLOOKUP('Données projet'!$B$10,Paramètres!$A$1:$I$89,3,0)*0.475*44/12</f>
        <v>1.1656869012288706</v>
      </c>
      <c r="AX28" s="21">
        <f t="shared" si="6"/>
        <v>4.046392130906785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19.3</v>
      </c>
      <c r="BD28" s="12">
        <f>IF('Données projet'!$A$88&gt;35,BD27+BC28-BL27,IF(A28&lt;'Données projet'!$A$88,$BA$205^A28,IF(A28='Données projet'!$A$88,'Données projet'!$B$88,BD27+BC28-BL27)))</f>
        <v>183.50000000000003</v>
      </c>
      <c r="BE28" s="13">
        <f>BD28*VLOOKUP('Données projet'!$B$11,Paramètres!$A$1:$I$89,3,0)*VLOOKUP('Données projet'!$B$11,Paramètres!$A$1:$I$89,5,0)</f>
        <v>102.57650000000002</v>
      </c>
      <c r="BF28" s="13">
        <f t="shared" si="37"/>
        <v>27.574901420376108</v>
      </c>
      <c r="BG28" s="20">
        <f t="shared" si="7"/>
        <v>226.68035747382177</v>
      </c>
      <c r="BH28" s="59">
        <f t="shared" si="8"/>
        <v>520.01369080715506</v>
      </c>
      <c r="BI28" s="59">
        <f ca="1">AVERAGE(OFFSET($BH$3,0,0,'Données projet'!$E$11+1,1))-AVERAGE(OFFSET($H$3,0,0,'Données projet'!$E$11+1,1))</f>
        <v>279.98352834501759</v>
      </c>
      <c r="BJ28" s="59">
        <f t="shared" si="38"/>
        <v>281.30062655265488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7.2499891662094829</v>
      </c>
      <c r="BR28" s="21">
        <f>EXP(-LN(2)/2)*BR27+(1-EXP(-LN(2)/2))/(LN(2)/2)*BL28*BO28*VLOOKUP('Données projet'!$B$11,Paramètres!$A$1:$I$89,3,0)*0.475*44/12</f>
        <v>2.2936450969492173</v>
      </c>
      <c r="BS28" s="22">
        <f t="shared" si="9"/>
        <v>9.543634263158701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9.9</v>
      </c>
      <c r="BY28" s="12">
        <f>IF('Données projet'!$A$114&gt;35,BY27+BX28-CG27,IF(A28&lt;'Données projet'!$A$114,$BV$205^A28,IF(A28='Données projet'!$A$114,'Données projet'!$B$114,BY27+BX28-CG27)))</f>
        <v>85.500000000000014</v>
      </c>
      <c r="BZ28" s="13">
        <f>BY28*VLOOKUP('Données projet'!$B$12,Paramètres!$A$1:$I$89,3,0)*VLOOKUP('Données projet'!$B$12,Paramètres!$A$1:$I$89,5,0)</f>
        <v>62.688600000000008</v>
      </c>
      <c r="CA28" s="13">
        <f t="shared" si="39"/>
        <v>17.846287546055187</v>
      </c>
      <c r="CB28" s="20">
        <f t="shared" si="10"/>
        <v>140.26492914271279</v>
      </c>
      <c r="CC28" s="59">
        <f t="shared" si="11"/>
        <v>433.5982624760461</v>
      </c>
      <c r="CD28" s="59">
        <f ca="1">AVERAGE(OFFSET($CC$3,0,0,'Données projet'!$E$12+1,1))-AVERAGE(OFFSET($H$3,0,0,'Données projet'!$E$12+1,1))</f>
        <v>124.15919323713428</v>
      </c>
      <c r="CE28" s="59">
        <f t="shared" si="40"/>
        <v>157.85954678210715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1.5866384272835381</v>
      </c>
      <c r="CM28" s="21">
        <f>EXP(-LN(2)/2)*CM27+(1-EXP(-LN(2)/2))/(LN(2)/2)*CG28*CJ28*VLOOKUP('Données projet'!$B$12,Paramètres!$A$1:$I$89,3,0)*0.475*44/12</f>
        <v>0.64203848856746371</v>
      </c>
      <c r="CN28" s="22">
        <f t="shared" si="12"/>
        <v>2.2286769158510018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4.8</v>
      </c>
      <c r="N29" s="13">
        <f>IF('Données projet'!$A$36&gt;35,N28+M29-V28,IF(A29&lt;'Données projet'!$A$36,$K$205^A29,IF(A29='Données projet'!$A$36,'Données projet'!$B$36,N28+M29-V28)))</f>
        <v>34.799999999999997</v>
      </c>
      <c r="O29" s="13">
        <f>N29*VLOOKUP('Données projet'!$B$9,Paramètres!$A$1:$I$89,3,0)*VLOOKUP('Données projet'!$B$9,Paramètres!$A$1:$I$89,5,0)</f>
        <v>31.487039999999997</v>
      </c>
      <c r="P29" s="13">
        <f t="shared" si="33"/>
        <v>9.7118363356135369</v>
      </c>
      <c r="Q29" s="20">
        <f t="shared" si="2"/>
        <v>71.754709617860229</v>
      </c>
      <c r="R29" s="59">
        <f t="shared" si="0"/>
        <v>365.08804295119353</v>
      </c>
      <c r="S29" s="59">
        <f ca="1">AVERAGE(OFFSET($R$3,0,0,'Données projet'!$E$9+1,1))-AVERAGE(OFFSET($H$3,0,0,'Données projet'!$E$9+1,1))</f>
        <v>138.8931001150624</v>
      </c>
      <c r="T29" s="59">
        <f t="shared" si="34"/>
        <v>48.964659354096625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10.199999999999999</v>
      </c>
      <c r="AI29" s="13">
        <f>IF('Données projet'!$A$62&gt;35,AI28+AH29-AQ28,IF(A29&lt;'Données projet'!$A$62,$AF$205^A29,IF(A29='Données projet'!$A$62,'Données projet'!$B$62,AI28+AH29-AQ28)))</f>
        <v>134.20000000000002</v>
      </c>
      <c r="AJ29" s="13">
        <f>AI29*VLOOKUP('Données projet'!$B$10,Paramètres!$A$1:$I$89,3,0)*VLOOKUP('Données projet'!$B$10,Paramètres!$A$1:$I$89,5,0)</f>
        <v>117.23712000000003</v>
      </c>
      <c r="AK29" s="13">
        <f t="shared" si="35"/>
        <v>31.029731926851252</v>
      </c>
      <c r="AL29" s="20">
        <f t="shared" si="4"/>
        <v>258.2314337725993</v>
      </c>
      <c r="AM29" s="59">
        <f t="shared" si="5"/>
        <v>551.56476710593256</v>
      </c>
      <c r="AN29" s="59">
        <f ca="1">AVERAGE(OFFSET($AM$3,0,0,'Données projet'!$E$10+1,1))-AVERAGE(OFFSET($H$3,0,0,'Données projet'!$E$10+1,1))</f>
        <v>191.94797389630673</v>
      </c>
      <c r="AO29" s="59">
        <f t="shared" si="36"/>
        <v>273.52540822767878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2.8019321936826671</v>
      </c>
      <c r="AW29" s="21">
        <f>EXP(-LN(2)/2)*AW28+(1-EXP(-LN(2)/2))/(LN(2)/2)*AQ29*AT29*VLOOKUP('Données projet'!$B$10,Paramètres!$A$1:$I$89,3,0)*0.475*44/12</f>
        <v>0.82426511259926771</v>
      </c>
      <c r="AX29" s="21">
        <f t="shared" si="6"/>
        <v>3.6261973062819348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19.3</v>
      </c>
      <c r="BD29" s="12">
        <f>IF('Données projet'!$A$88&gt;35,BD28+BC29-BL28,IF(A29&lt;'Données projet'!$A$88,$BA$205^A29,IF(A29='Données projet'!$A$88,'Données projet'!$B$88,BD28+BC29-BL28)))</f>
        <v>202.80000000000004</v>
      </c>
      <c r="BE29" s="13">
        <f>BD29*VLOOKUP('Données projet'!$B$11,Paramètres!$A$1:$I$89,3,0)*VLOOKUP('Données projet'!$B$11,Paramètres!$A$1:$I$89,5,0)</f>
        <v>113.36520000000003</v>
      </c>
      <c r="BF29" s="13">
        <f t="shared" si="37"/>
        <v>30.122456058687614</v>
      </c>
      <c r="BG29" s="20">
        <f t="shared" si="7"/>
        <v>249.9076676355476</v>
      </c>
      <c r="BH29" s="59">
        <f t="shared" si="8"/>
        <v>543.24100096888094</v>
      </c>
      <c r="BI29" s="59">
        <f ca="1">AVERAGE(OFFSET($BH$3,0,0,'Données projet'!$E$11+1,1))-AVERAGE(OFFSET($H$3,0,0,'Données projet'!$E$11+1,1))</f>
        <v>279.98352834501759</v>
      </c>
      <c r="BJ29" s="59">
        <f t="shared" si="38"/>
        <v>281.30062655265488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7.0517378311991248</v>
      </c>
      <c r="BR29" s="21">
        <f>EXP(-LN(2)/2)*BR28+(1-EXP(-LN(2)/2))/(LN(2)/2)*BL29*BO29*VLOOKUP('Données projet'!$B$11,Paramètres!$A$1:$I$89,3,0)*0.475*44/12</f>
        <v>1.6218520016880678</v>
      </c>
      <c r="BS29" s="22">
        <f t="shared" si="9"/>
        <v>8.6735898328871919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9.9</v>
      </c>
      <c r="BY29" s="12">
        <f>IF('Données projet'!$A$114&gt;35,BY28+BX29-CG28,IF(A29&lt;'Données projet'!$A$114,$BV$205^A29,IF(A29='Données projet'!$A$114,'Données projet'!$B$114,BY28+BX29-CG28)))</f>
        <v>95.40000000000002</v>
      </c>
      <c r="BZ29" s="13">
        <f>BY29*VLOOKUP('Données projet'!$B$12,Paramètres!$A$1:$I$89,3,0)*VLOOKUP('Données projet'!$B$12,Paramètres!$A$1:$I$89,5,0)</f>
        <v>69.947280000000021</v>
      </c>
      <c r="CA29" s="13">
        <f t="shared" si="39"/>
        <v>19.660364763261025</v>
      </c>
      <c r="CB29" s="20">
        <f t="shared" si="10"/>
        <v>156.06664796267964</v>
      </c>
      <c r="CC29" s="59">
        <f t="shared" si="11"/>
        <v>449.39998129601292</v>
      </c>
      <c r="CD29" s="59">
        <f ca="1">AVERAGE(OFFSET($CC$3,0,0,'Données projet'!$E$12+1,1))-AVERAGE(OFFSET($H$3,0,0,'Données projet'!$E$12+1,1))</f>
        <v>124.15919323713428</v>
      </c>
      <c r="CE29" s="59">
        <f t="shared" si="40"/>
        <v>157.85954678210715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1.5432517160517811</v>
      </c>
      <c r="CM29" s="21">
        <f>EXP(-LN(2)/2)*CM28+(1-EXP(-LN(2)/2))/(LN(2)/2)*CG29*CJ29*VLOOKUP('Données projet'!$B$12,Paramètres!$A$1:$I$89,3,0)*0.475*44/12</f>
        <v>0.45398976904881527</v>
      </c>
      <c r="CN29" s="22">
        <f t="shared" si="12"/>
        <v>1.9972414851005964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4.8</v>
      </c>
      <c r="N30" s="13">
        <f>IF('Données projet'!$A$36&gt;35,N29+M30-V29,IF(A30&lt;'Données projet'!$A$36,$K$205^A30,IF(A30='Données projet'!$A$36,'Données projet'!$B$36,N29+M30-V29)))</f>
        <v>39.599999999999994</v>
      </c>
      <c r="O30" s="13">
        <f>N30*VLOOKUP('Données projet'!$B$9,Paramètres!$A$1:$I$89,3,0)*VLOOKUP('Données projet'!$B$9,Paramètres!$A$1:$I$89,5,0)</f>
        <v>35.830079999999995</v>
      </c>
      <c r="P30" s="13">
        <f t="shared" si="33"/>
        <v>10.886427918882697</v>
      </c>
      <c r="Q30" s="20">
        <f t="shared" si="2"/>
        <v>81.364584625387351</v>
      </c>
      <c r="R30" s="59">
        <f t="shared" si="0"/>
        <v>374.69791795872067</v>
      </c>
      <c r="S30" s="59">
        <f ca="1">AVERAGE(OFFSET($R$3,0,0,'Données projet'!$E$9+1,1))-AVERAGE(OFFSET($H$3,0,0,'Données projet'!$E$9+1,1))</f>
        <v>138.8931001150624</v>
      </c>
      <c r="T30" s="59">
        <f t="shared" si="34"/>
        <v>48.964659354096625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10.199999999999999</v>
      </c>
      <c r="AI30" s="13">
        <f>IF('Données projet'!$A$62&gt;35,AI29+AH30-AQ29,IF(A30&lt;'Données projet'!$A$62,$AF$205^A30,IF(A30='Données projet'!$A$62,'Données projet'!$B$62,AI29+AH30-AQ29)))</f>
        <v>144.4</v>
      </c>
      <c r="AJ30" s="13">
        <f>AI30*VLOOKUP('Données projet'!$B$10,Paramètres!$A$1:$I$89,3,0)*VLOOKUP('Données projet'!$B$10,Paramètres!$A$1:$I$89,5,0)</f>
        <v>126.14784000000002</v>
      </c>
      <c r="AK30" s="13">
        <f t="shared" si="35"/>
        <v>33.10468597352537</v>
      </c>
      <c r="AL30" s="20">
        <f t="shared" si="4"/>
        <v>277.36481607055674</v>
      </c>
      <c r="AM30" s="59">
        <f t="shared" si="5"/>
        <v>570.69814940389006</v>
      </c>
      <c r="AN30" s="59">
        <f ca="1">AVERAGE(OFFSET($AM$3,0,0,'Données projet'!$E$10+1,1))-AVERAGE(OFFSET($H$3,0,0,'Données projet'!$E$10+1,1))</f>
        <v>191.94797389630673</v>
      </c>
      <c r="AO30" s="59">
        <f t="shared" si="36"/>
        <v>273.52540822767878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2.7253132104992046</v>
      </c>
      <c r="AW30" s="21">
        <f>EXP(-LN(2)/2)*AW29+(1-EXP(-LN(2)/2))/(LN(2)/2)*AQ30*AT30*VLOOKUP('Données projet'!$B$10,Paramètres!$A$1:$I$89,3,0)*0.475*44/12</f>
        <v>0.58284345061443543</v>
      </c>
      <c r="AX30" s="21">
        <f t="shared" si="6"/>
        <v>3.3081566611136402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19.3</v>
      </c>
      <c r="BD30" s="12">
        <f>IF('Données projet'!$A$88&gt;35,BD29+BC30-BL29,IF(A30&lt;'Données projet'!$A$88,$BA$205^A30,IF(A30='Données projet'!$A$88,'Données projet'!$B$88,BD29+BC30-BL29)))</f>
        <v>222.10000000000005</v>
      </c>
      <c r="BE30" s="13">
        <f>BD30*VLOOKUP('Données projet'!$B$11,Paramètres!$A$1:$I$89,3,0)*VLOOKUP('Données projet'!$B$11,Paramètres!$A$1:$I$89,5,0)</f>
        <v>124.15390000000002</v>
      </c>
      <c r="BF30" s="13">
        <f t="shared" si="37"/>
        <v>32.641901103582477</v>
      </c>
      <c r="BG30" s="20">
        <f t="shared" si="7"/>
        <v>273.0860202554062</v>
      </c>
      <c r="BH30" s="59">
        <f t="shared" si="8"/>
        <v>566.41935358873957</v>
      </c>
      <c r="BI30" s="59">
        <f ca="1">AVERAGE(OFFSET($BH$3,0,0,'Données projet'!$E$11+1,1))-AVERAGE(OFFSET($H$3,0,0,'Données projet'!$E$11+1,1))</f>
        <v>279.98352834501759</v>
      </c>
      <c r="BJ30" s="59">
        <f t="shared" si="38"/>
        <v>281.30062655265488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6.8589076893702092</v>
      </c>
      <c r="BR30" s="21">
        <f>EXP(-LN(2)/2)*BR29+(1-EXP(-LN(2)/2))/(LN(2)/2)*BL30*BO30*VLOOKUP('Données projet'!$B$11,Paramètres!$A$1:$I$89,3,0)*0.475*44/12</f>
        <v>1.1468225484746086</v>
      </c>
      <c r="BS30" s="22">
        <f t="shared" si="9"/>
        <v>8.0057302378448174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9.9</v>
      </c>
      <c r="BY30" s="12">
        <f>IF('Données projet'!$A$114&gt;35,BY29+BX30-CG29,IF(A30&lt;'Données projet'!$A$114,$BV$205^A30,IF(A30='Données projet'!$A$114,'Données projet'!$B$114,BY29+BX30-CG29)))</f>
        <v>105.30000000000003</v>
      </c>
      <c r="BZ30" s="13">
        <f>BY30*VLOOKUP('Données projet'!$B$12,Paramètres!$A$1:$I$89,3,0)*VLOOKUP('Données projet'!$B$12,Paramètres!$A$1:$I$89,5,0)</f>
        <v>77.205960000000019</v>
      </c>
      <c r="CA30" s="13">
        <f t="shared" si="39"/>
        <v>21.452619805069709</v>
      </c>
      <c r="CB30" s="20">
        <f t="shared" si="10"/>
        <v>171.83035982716311</v>
      </c>
      <c r="CC30" s="59">
        <f t="shared" si="11"/>
        <v>465.16369316049645</v>
      </c>
      <c r="CD30" s="59">
        <f ca="1">AVERAGE(OFFSET($CC$3,0,0,'Données projet'!$E$12+1,1))-AVERAGE(OFFSET($H$3,0,0,'Données projet'!$E$12+1,1))</f>
        <v>124.15919323713428</v>
      </c>
      <c r="CE30" s="59">
        <f t="shared" si="40"/>
        <v>157.85954678210715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1.5010514167202647</v>
      </c>
      <c r="CM30" s="21">
        <f>EXP(-LN(2)/2)*CM29+(1-EXP(-LN(2)/2))/(LN(2)/2)*CG30*CJ30*VLOOKUP('Données projet'!$B$12,Paramètres!$A$1:$I$89,3,0)*0.475*44/12</f>
        <v>0.32101924428373191</v>
      </c>
      <c r="CN30" s="22">
        <f t="shared" si="12"/>
        <v>1.8220706610039965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4.8</v>
      </c>
      <c r="N31" s="13">
        <f>IF('Données projet'!$A$36&gt;35,N30+M31-V30,IF(A31&lt;'Données projet'!$A$36,$K$205^A31,IF(A31='Données projet'!$A$36,'Données projet'!$B$36,N30+M31-V30)))</f>
        <v>44.399999999999991</v>
      </c>
      <c r="O31" s="13">
        <f>N31*VLOOKUP('Données projet'!$B$9,Paramètres!$A$1:$I$89,3,0)*VLOOKUP('Données projet'!$B$9,Paramètres!$A$1:$I$89,5,0)</f>
        <v>40.17311999999999</v>
      </c>
      <c r="P31" s="13">
        <f t="shared" si="33"/>
        <v>12.044520842267836</v>
      </c>
      <c r="Q31" s="20">
        <f t="shared" si="2"/>
        <v>90.945724466949798</v>
      </c>
      <c r="R31" s="59">
        <f t="shared" si="0"/>
        <v>384.27905780028311</v>
      </c>
      <c r="S31" s="59">
        <f ca="1">AVERAGE(OFFSET($R$3,0,0,'Données projet'!$E$9+1,1))-AVERAGE(OFFSET($H$3,0,0,'Données projet'!$E$9+1,1))</f>
        <v>138.8931001150624</v>
      </c>
      <c r="T31" s="59">
        <f t="shared" si="34"/>
        <v>48.964659354096625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10.199999999999999</v>
      </c>
      <c r="AI31" s="13">
        <f>IF('Données projet'!$A$62&gt;35,AI30+AH31-AQ30,IF(A31&lt;'Données projet'!$A$62,$AF$205^A31,IF(A31='Données projet'!$A$62,'Données projet'!$B$62,AI30+AH31-AQ30)))</f>
        <v>154.6</v>
      </c>
      <c r="AJ31" s="13">
        <f>AI31*VLOOKUP('Données projet'!$B$10,Paramètres!$A$1:$I$89,3,0)*VLOOKUP('Données projet'!$B$10,Paramètres!$A$1:$I$89,5,0)</f>
        <v>135.05856000000003</v>
      </c>
      <c r="AK31" s="13">
        <f t="shared" si="35"/>
        <v>35.16263443880888</v>
      </c>
      <c r="AL31" s="20">
        <f t="shared" si="4"/>
        <v>296.46858031425882</v>
      </c>
      <c r="AM31" s="59">
        <f t="shared" si="5"/>
        <v>589.80191364759207</v>
      </c>
      <c r="AN31" s="59">
        <f ca="1">AVERAGE(OFFSET($AM$3,0,0,'Données projet'!$E$10+1,1))-AVERAGE(OFFSET($H$3,0,0,'Données projet'!$E$10+1,1))</f>
        <v>191.94797389630673</v>
      </c>
      <c r="AO31" s="59">
        <f t="shared" si="36"/>
        <v>273.52540822767878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2.6507893774401108</v>
      </c>
      <c r="AW31" s="21">
        <f>EXP(-LN(2)/2)*AW30+(1-EXP(-LN(2)/2))/(LN(2)/2)*AQ31*AT31*VLOOKUP('Données projet'!$B$10,Paramètres!$A$1:$I$89,3,0)*0.475*44/12</f>
        <v>0.41213255629963397</v>
      </c>
      <c r="AX31" s="21">
        <f t="shared" si="6"/>
        <v>3.0629219337397449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19.3</v>
      </c>
      <c r="BD31" s="12">
        <f>IF('Données projet'!$A$88&gt;35,BD30+BC31-BL30,IF(A31&lt;'Données projet'!$A$88,$BA$205^A31,IF(A31='Données projet'!$A$88,'Données projet'!$B$88,BD30+BC31-BL30)))</f>
        <v>241.40000000000006</v>
      </c>
      <c r="BE31" s="13">
        <f>BD31*VLOOKUP('Données projet'!$B$11,Paramètres!$A$1:$I$89,3,0)*VLOOKUP('Données projet'!$B$11,Paramètres!$A$1:$I$89,5,0)</f>
        <v>134.94260000000003</v>
      </c>
      <c r="BF31" s="13">
        <f t="shared" si="37"/>
        <v>35.135956952072789</v>
      </c>
      <c r="BG31" s="20">
        <f t="shared" si="7"/>
        <v>296.22015335819344</v>
      </c>
      <c r="BH31" s="59">
        <f t="shared" si="8"/>
        <v>589.55348669152681</v>
      </c>
      <c r="BI31" s="59">
        <f ca="1">AVERAGE(OFFSET($BH$3,0,0,'Données projet'!$E$11+1,1))-AVERAGE(OFFSET($H$3,0,0,'Données projet'!$E$11+1,1))</f>
        <v>279.98352834501759</v>
      </c>
      <c r="BJ31" s="59">
        <f t="shared" si="38"/>
        <v>281.30062655265488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6.6713504979101019</v>
      </c>
      <c r="BR31" s="21">
        <f>EXP(-LN(2)/2)*BR30+(1-EXP(-LN(2)/2))/(LN(2)/2)*BL31*BO31*VLOOKUP('Données projet'!$B$11,Paramètres!$A$1:$I$89,3,0)*0.475*44/12</f>
        <v>0.81092600084403388</v>
      </c>
      <c r="BS31" s="22">
        <f t="shared" si="9"/>
        <v>7.4822764987541355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9.9</v>
      </c>
      <c r="BY31" s="12">
        <f>IF('Données projet'!$A$114&gt;35,BY30+BX31-CG30,IF(A31&lt;'Données projet'!$A$114,$BV$205^A31,IF(A31='Données projet'!$A$114,'Données projet'!$B$114,BY30+BX31-CG30)))</f>
        <v>115.20000000000003</v>
      </c>
      <c r="BZ31" s="13">
        <f>BY31*VLOOKUP('Données projet'!$B$12,Paramètres!$A$1:$I$89,3,0)*VLOOKUP('Données projet'!$B$12,Paramètres!$A$1:$I$89,5,0)</f>
        <v>84.464640000000017</v>
      </c>
      <c r="CA31" s="13">
        <f t="shared" si="39"/>
        <v>23.225337718637984</v>
      </c>
      <c r="CB31" s="20">
        <f t="shared" si="10"/>
        <v>187.56004452662785</v>
      </c>
      <c r="CC31" s="59">
        <f t="shared" si="11"/>
        <v>480.89337785996116</v>
      </c>
      <c r="CD31" s="59">
        <f ca="1">AVERAGE(OFFSET($CC$3,0,0,'Données projet'!$E$12+1,1))-AVERAGE(OFFSET($H$3,0,0,'Données projet'!$E$12+1,1))</f>
        <v>124.15919323713428</v>
      </c>
      <c r="CE31" s="59">
        <f t="shared" si="40"/>
        <v>157.85954678210715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1.4600050867931857</v>
      </c>
      <c r="CM31" s="21">
        <f>EXP(-LN(2)/2)*CM30+(1-EXP(-LN(2)/2))/(LN(2)/2)*CG31*CJ31*VLOOKUP('Données projet'!$B$12,Paramètres!$A$1:$I$89,3,0)*0.475*44/12</f>
        <v>0.22699488452440769</v>
      </c>
      <c r="CN31" s="22">
        <f t="shared" si="12"/>
        <v>1.6869999713175934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4.8</v>
      </c>
      <c r="N32" s="13">
        <f>IF('Données projet'!$A$36&gt;35,N31+M32-V31,IF(A32&lt;'Données projet'!$A$36,$K$205^A32,IF(A32='Données projet'!$A$36,'Données projet'!$B$36,N31+M32-V31)))</f>
        <v>49.199999999999989</v>
      </c>
      <c r="O32" s="13">
        <f>N32*VLOOKUP('Données projet'!$B$9,Paramètres!$A$1:$I$89,3,0)*VLOOKUP('Données projet'!$B$9,Paramètres!$A$1:$I$89,5,0)</f>
        <v>44.516159999999985</v>
      </c>
      <c r="P32" s="13">
        <f t="shared" si="33"/>
        <v>13.188102074986608</v>
      </c>
      <c r="Q32" s="20">
        <f t="shared" si="2"/>
        <v>100.50158978060165</v>
      </c>
      <c r="R32" s="59">
        <f t="shared" si="0"/>
        <v>393.83492311393496</v>
      </c>
      <c r="S32" s="59">
        <f ca="1">AVERAGE(OFFSET($R$3,0,0,'Données projet'!$E$9+1,1))-AVERAGE(OFFSET($H$3,0,0,'Données projet'!$E$9+1,1))</f>
        <v>138.8931001150624</v>
      </c>
      <c r="T32" s="59">
        <f t="shared" si="34"/>
        <v>48.964659354096625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10.199999999999999</v>
      </c>
      <c r="AI32" s="13">
        <f>IF('Données projet'!$A$62&gt;35,AI31+AH32-AQ31,IF(A32&lt;'Données projet'!$A$62,$AF$205^A32,IF(A32='Données projet'!$A$62,'Données projet'!$B$62,AI31+AH32-AQ31)))</f>
        <v>164.79999999999998</v>
      </c>
      <c r="AJ32" s="13">
        <f>AI32*VLOOKUP('Données projet'!$B$10,Paramètres!$A$1:$I$89,3,0)*VLOOKUP('Données projet'!$B$10,Paramètres!$A$1:$I$89,5,0)</f>
        <v>143.96928</v>
      </c>
      <c r="AK32" s="13">
        <f t="shared" si="35"/>
        <v>37.20482696787677</v>
      </c>
      <c r="AL32" s="20">
        <f t="shared" si="4"/>
        <v>315.54490296905198</v>
      </c>
      <c r="AM32" s="59">
        <f t="shared" si="5"/>
        <v>608.87823630238529</v>
      </c>
      <c r="AN32" s="59">
        <f ca="1">AVERAGE(OFFSET($AM$3,0,0,'Données projet'!$E$10+1,1))-AVERAGE(OFFSET($H$3,0,0,'Données projet'!$E$10+1,1))</f>
        <v>191.94797389630673</v>
      </c>
      <c r="AO32" s="59">
        <f t="shared" si="36"/>
        <v>273.52540822767878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2.578303402515056</v>
      </c>
      <c r="AW32" s="21">
        <f>EXP(-LN(2)/2)*AW31+(1-EXP(-LN(2)/2))/(LN(2)/2)*AQ32*AT32*VLOOKUP('Données projet'!$B$10,Paramètres!$A$1:$I$89,3,0)*0.475*44/12</f>
        <v>0.29142172530721777</v>
      </c>
      <c r="AX32" s="21">
        <f t="shared" si="6"/>
        <v>2.8697251278222735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19.3</v>
      </c>
      <c r="BD32" s="12">
        <f>IF('Données projet'!$A$88&gt;35,BD31+BC32-BL31,IF(A32&lt;'Données projet'!$A$88,$BA$205^A32,IF(A32='Données projet'!$A$88,'Données projet'!$B$88,BD31+BC32-BL31)))</f>
        <v>260.70000000000005</v>
      </c>
      <c r="BE32" s="13">
        <f>BD32*VLOOKUP('Données projet'!$B$11,Paramètres!$A$1:$I$89,3,0)*VLOOKUP('Données projet'!$B$11,Paramètres!$A$1:$I$89,5,0)</f>
        <v>145.73130000000003</v>
      </c>
      <c r="BF32" s="13">
        <f t="shared" si="37"/>
        <v>37.606884256070316</v>
      </c>
      <c r="BG32" s="20">
        <f t="shared" si="7"/>
        <v>319.31400424598922</v>
      </c>
      <c r="BH32" s="59">
        <f t="shared" si="8"/>
        <v>612.64733757932254</v>
      </c>
      <c r="BI32" s="59">
        <f ca="1">AVERAGE(OFFSET($BH$3,0,0,'Données projet'!$E$11+1,1))-AVERAGE(OFFSET($H$3,0,0,'Données projet'!$E$11+1,1))</f>
        <v>279.98352834501759</v>
      </c>
      <c r="BJ32" s="59">
        <f t="shared" si="38"/>
        <v>281.30062655265488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6.4889220677136752</v>
      </c>
      <c r="BR32" s="21">
        <f>EXP(-LN(2)/2)*BR31+(1-EXP(-LN(2)/2))/(LN(2)/2)*BL32*BO32*VLOOKUP('Données projet'!$B$11,Paramètres!$A$1:$I$89,3,0)*0.475*44/12</f>
        <v>0.57341127423730431</v>
      </c>
      <c r="BS32" s="22">
        <f t="shared" si="9"/>
        <v>7.0623333419509793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9.9</v>
      </c>
      <c r="BY32" s="12">
        <f>IF('Données projet'!$A$114&gt;35,BY31+BX32-CG31,IF(A32&lt;'Données projet'!$A$114,$BV$205^A32,IF(A32='Données projet'!$A$114,'Données projet'!$B$114,BY31+BX32-CG31)))</f>
        <v>125.10000000000004</v>
      </c>
      <c r="BZ32" s="13">
        <f>BY32*VLOOKUP('Données projet'!$B$12,Paramètres!$A$1:$I$89,3,0)*VLOOKUP('Données projet'!$B$12,Paramètres!$A$1:$I$89,5,0)</f>
        <v>91.723320000000015</v>
      </c>
      <c r="CA32" s="13">
        <f t="shared" si="39"/>
        <v>24.980388371578837</v>
      </c>
      <c r="CB32" s="20">
        <f t="shared" si="10"/>
        <v>203.2589587471665</v>
      </c>
      <c r="CC32" s="59">
        <f t="shared" si="11"/>
        <v>496.59229208049982</v>
      </c>
      <c r="CD32" s="59">
        <f ca="1">AVERAGE(OFFSET($CC$3,0,0,'Données projet'!$E$12+1,1))-AVERAGE(OFFSET($H$3,0,0,'Données projet'!$E$12+1,1))</f>
        <v>124.15919323713428</v>
      </c>
      <c r="CE32" s="59">
        <f t="shared" si="40"/>
        <v>157.85954678210715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1.4200811709164955</v>
      </c>
      <c r="CM32" s="21">
        <f>EXP(-LN(2)/2)*CM31+(1-EXP(-LN(2)/2))/(LN(2)/2)*CG32*CJ32*VLOOKUP('Données projet'!$B$12,Paramètres!$A$1:$I$89,3,0)*0.475*44/12</f>
        <v>0.16050962214186598</v>
      </c>
      <c r="CN32" s="22">
        <f t="shared" si="12"/>
        <v>1.5805907930583616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54</v>
      </c>
      <c r="L33" s="12">
        <f>VLOOKUP(A33,'Données projet'!$A$35:$I$55,9,0)</f>
        <v>4.8</v>
      </c>
      <c r="M33" s="12">
        <f t="array" ref="M33">INDEX(L:L,MIN(IF(ISNUMBER(L33:L229),ROW(L33:L229),"")))</f>
        <v>4.8</v>
      </c>
      <c r="N33" s="13">
        <f>IF('Données projet'!$A$36&gt;35,N32+M33-V32,IF(A33&lt;'Données projet'!$A$36,$K$205^A33,IF(A33='Données projet'!$A$36,'Données projet'!$B$36,N32+M33-V32)))</f>
        <v>53.999999999999986</v>
      </c>
      <c r="O33" s="13">
        <f>N33*VLOOKUP('Données projet'!$B$9,Paramètres!$A$1:$I$89,3,0)*VLOOKUP('Données projet'!$B$9,Paramètres!$A$1:$I$89,5,0)</f>
        <v>48.859199999999987</v>
      </c>
      <c r="P33" s="13">
        <f t="shared" si="33"/>
        <v>14.318748507569309</v>
      </c>
      <c r="Q33" s="20">
        <f t="shared" si="2"/>
        <v>110.03492698401652</v>
      </c>
      <c r="R33" s="59">
        <f t="shared" si="0"/>
        <v>403.36826031734984</v>
      </c>
      <c r="S33" s="59">
        <f ca="1">AVERAGE(OFFSET($R$3,0,0,'Données projet'!$E$9+1,1))-AVERAGE(OFFSET($H$3,0,0,'Données projet'!$E$9+1,1))</f>
        <v>138.8931001150624</v>
      </c>
      <c r="T33" s="59">
        <f t="shared" si="34"/>
        <v>48.964659354096625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175</v>
      </c>
      <c r="AG33" s="12">
        <f>VLOOKUP(A33,'Données projet'!$A$61:$I$81,9,0)</f>
        <v>10.199999999999999</v>
      </c>
      <c r="AH33" s="12">
        <f t="array" ref="AH33">INDEX(AG:AG,MIN(IF(ISNUMBER(AG33:AG229),ROW(AG33:AG229),"")))</f>
        <v>10.199999999999999</v>
      </c>
      <c r="AI33" s="13">
        <f>IF('Données projet'!$A$62&gt;35,AI32+AH33-AQ32,IF(A33&lt;'Données projet'!$A$62,$AF$205^A33,IF(A33='Données projet'!$A$62,'Données projet'!$B$62,AI32+AH33-AQ32)))</f>
        <v>174.99999999999997</v>
      </c>
      <c r="AJ33" s="13">
        <f>AI33*VLOOKUP('Données projet'!$B$10,Paramètres!$A$1:$I$89,3,0)*VLOOKUP('Données projet'!$B$10,Paramètres!$A$1:$I$89,5,0)</f>
        <v>152.88</v>
      </c>
      <c r="AK33" s="13">
        <f t="shared" si="35"/>
        <v>39.232349774697852</v>
      </c>
      <c r="AL33" s="20">
        <f t="shared" si="4"/>
        <v>334.59567585759874</v>
      </c>
      <c r="AM33" s="59">
        <f t="shared" si="5"/>
        <v>627.92900919093199</v>
      </c>
      <c r="AN33" s="59">
        <f ca="1">AVERAGE(OFFSET($AM$3,0,0,'Données projet'!$E$10+1,1))-AVERAGE(OFFSET($H$3,0,0,'Données projet'!$E$10+1,1))</f>
        <v>191.94797389630673</v>
      </c>
      <c r="AO33" s="59">
        <f t="shared" si="36"/>
        <v>273.52540822767878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62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0.19350000000000001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2.5746599702109214</v>
      </c>
      <c r="AV33" s="21">
        <f>EXP(-LN(2)/25)*AV32+(1-EXP(-LN(2)/25))/(LN(2)/25)*Calculateur!AQ33*Calculateur!AS33*VLOOKUP('Données projet'!$B$10,Paramètres!$A$1:$I$89,3,0)*0.475*44/12</f>
        <v>14.048151048372484</v>
      </c>
      <c r="AW33" s="21">
        <f>EXP(-LN(2)/2)*AW32+(1-EXP(-LN(2)/2))/(LN(2)/2)*AQ33*AT33*VLOOKUP('Données projet'!$B$10,Paramètres!$A$1:$I$89,3,0)*0.475*44/12</f>
        <v>23.203062919669375</v>
      </c>
      <c r="AX33" s="21">
        <f t="shared" si="6"/>
        <v>39.825873938252784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280</v>
      </c>
      <c r="BB33" s="12">
        <f>VLOOKUP(A33,'Données projet'!$A$87:$I$107,9,0)</f>
        <v>19.3</v>
      </c>
      <c r="BC33" s="12">
        <f t="array" ref="BC33">INDEX(BB:BB,MIN(IF(ISNUMBER(BB33:BB229),ROW(BB33:BB229),"")))</f>
        <v>19.3</v>
      </c>
      <c r="BD33" s="12">
        <f>IF('Données projet'!$A$88&gt;35,BD32+BC33-BL32,IF(A33&lt;'Données projet'!$A$88,$BA$205^A33,IF(A33='Données projet'!$A$88,'Données projet'!$B$88,BD32+BC33-BL32)))</f>
        <v>280.00000000000006</v>
      </c>
      <c r="BE33" s="13">
        <f>BD33*VLOOKUP('Données projet'!$B$11,Paramètres!$A$1:$I$89,3,0)*VLOOKUP('Données projet'!$B$11,Paramètres!$A$1:$I$89,5,0)</f>
        <v>156.52000000000004</v>
      </c>
      <c r="BF33" s="13">
        <f t="shared" si="37"/>
        <v>40.056589961286939</v>
      </c>
      <c r="BG33" s="20">
        <f t="shared" si="7"/>
        <v>342.37089418257483</v>
      </c>
      <c r="BH33" s="59">
        <f t="shared" si="8"/>
        <v>635.70422751590809</v>
      </c>
      <c r="BI33" s="59">
        <f ca="1">AVERAGE(OFFSET($BH$3,0,0,'Données projet'!$E$11+1,1))-AVERAGE(OFFSET($H$3,0,0,'Données projet'!$E$11+1,1))</f>
        <v>279.98352834501759</v>
      </c>
      <c r="BJ33" s="59">
        <f t="shared" si="38"/>
        <v>281.30062655265488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98</v>
      </c>
      <c r="BM33" s="16">
        <f>IF(ISNA(VLOOKUP(A33,'Données projet'!$A$87:$I$107,5,0)),0%,VLOOKUP(A33,'Données projet'!$A$87:$I$107,5,0)*VLOOKUP('Données projet'!$B$11,Paramètres!$A$1:$I$89,7,0))</f>
        <v>5.5000000000000007E-2</v>
      </c>
      <c r="BN33" s="16">
        <f>IF(ISNA(VLOOKUP(A33,'Données projet'!$A$87:$I$107,6,0)),0%,VLOOKUP(A33,'Données projet'!$A$87:$I$107,6,0)*VLOOKUP('Données projet'!$B$11,Paramètres!$A$1:$I$89,7,0))</f>
        <v>0.24750000000000003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3.9969519698838893</v>
      </c>
      <c r="BQ33" s="21">
        <f>EXP(-LN(2)/25)*BQ32+(1-EXP(-LN(2)/25))/(LN(2)/25)*Calculateur!BL33*Calculateur!BN33*VLOOKUP('Données projet'!$B$11,Paramètres!$A$1:$I$89,3,0)*0.475*44/12</f>
        <v>24.226947164126074</v>
      </c>
      <c r="BR33" s="21">
        <f>EXP(-LN(2)/2)*BR32+(1-EXP(-LN(2)/2))/(LN(2)/2)*BL33*BO33*VLOOKUP('Données projet'!$B$11,Paramètres!$A$1:$I$89,3,0)*0.475*44/12</f>
        <v>28.317140375814699</v>
      </c>
      <c r="BS33" s="22">
        <f t="shared" si="9"/>
        <v>56.541039509824657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135</v>
      </c>
      <c r="BW33" s="12">
        <f>VLOOKUP(A33,'Données projet'!$A$113:$I$133,9,0)</f>
        <v>9.9</v>
      </c>
      <c r="BX33" s="12">
        <f t="array" ref="BX33">INDEX(BW:BW,MIN(IF(ISNUMBER(BW33:BW229),ROW(BW33:BW229),"")))</f>
        <v>9.9</v>
      </c>
      <c r="BY33" s="12">
        <f>IF('Données projet'!$A$114&gt;35,BY32+BX33-CG32,IF(A33&lt;'Données projet'!$A$114,$BV$205^A33,IF(A33='Données projet'!$A$114,'Données projet'!$B$114,BY32+BX33-CG32)))</f>
        <v>135.00000000000003</v>
      </c>
      <c r="BZ33" s="13">
        <f>BY33*VLOOKUP('Données projet'!$B$12,Paramètres!$A$1:$I$89,3,0)*VLOOKUP('Données projet'!$B$12,Paramètres!$A$1:$I$89,5,0)</f>
        <v>98.982000000000014</v>
      </c>
      <c r="CA33" s="13">
        <f t="shared" si="39"/>
        <v>26.719328849010743</v>
      </c>
      <c r="CB33" s="20">
        <f t="shared" si="10"/>
        <v>218.92981441202707</v>
      </c>
      <c r="CC33" s="59">
        <f t="shared" si="11"/>
        <v>512.26314774536036</v>
      </c>
      <c r="CD33" s="59">
        <f ca="1">AVERAGE(OFFSET($CC$3,0,0,'Données projet'!$E$12+1,1))-AVERAGE(OFFSET($H$3,0,0,'Données projet'!$E$12+1,1))</f>
        <v>124.15919323713428</v>
      </c>
      <c r="CE33" s="59">
        <f t="shared" si="40"/>
        <v>157.85954678210715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42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5.0263868794103264</v>
      </c>
      <c r="CM33" s="21">
        <f>EXP(-LN(2)/2)*CM32+(1-EXP(-LN(2)/2))/(LN(2)/2)*CG33*CJ33*VLOOKUP('Données projet'!$B$12,Paramètres!$A$1:$I$89,3,0)*0.475*44/12</f>
        <v>7.3773337470432443</v>
      </c>
      <c r="CN33" s="22">
        <f t="shared" si="12"/>
        <v>12.40372062645357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5.2</v>
      </c>
      <c r="N34" s="13">
        <f>IF('Données projet'!$A$36&gt;35,N33+M34-V33,IF(A34&lt;'Données projet'!$A$36,$K$205^A34,IF(A34='Données projet'!$A$36,'Données projet'!$B$36,N33+M34-V33)))</f>
        <v>59.199999999999989</v>
      </c>
      <c r="O34" s="13">
        <f>N34*VLOOKUP('Données projet'!$B$9,Paramètres!$A$1:$I$89,3,0)*VLOOKUP('Données projet'!$B$9,Paramètres!$A$1:$I$89,5,0)</f>
        <v>53.564159999999987</v>
      </c>
      <c r="P34" s="13">
        <f t="shared" si="33"/>
        <v>15.530498469746302</v>
      </c>
      <c r="Q34" s="20">
        <f t="shared" si="2"/>
        <v>120.3398635014748</v>
      </c>
      <c r="R34" s="59">
        <f t="shared" si="0"/>
        <v>413.6731968348081</v>
      </c>
      <c r="S34" s="59">
        <f ca="1">AVERAGE(OFFSET($R$3,0,0,'Données projet'!$E$9+1,1))-AVERAGE(OFFSET($H$3,0,0,'Données projet'!$E$9+1,1))</f>
        <v>138.8931001150624</v>
      </c>
      <c r="T34" s="59">
        <f t="shared" si="34"/>
        <v>48.964659354096625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8.6999999999999993</v>
      </c>
      <c r="AI34" s="13">
        <f>IF('Données projet'!$A$62&gt;35,AI33+AH34-AQ33,IF(A34&lt;'Données projet'!$A$62,$AF$205^A34,IF(A34='Données projet'!$A$62,'Données projet'!$B$62,AI33+AH34-AQ33)))</f>
        <v>121.69999999999996</v>
      </c>
      <c r="AJ34" s="13">
        <f>AI34*VLOOKUP('Données projet'!$B$10,Paramètres!$A$1:$I$89,3,0)*VLOOKUP('Données projet'!$B$10,Paramètres!$A$1:$I$89,5,0)</f>
        <v>106.31711999999999</v>
      </c>
      <c r="AK34" s="13">
        <f t="shared" si="35"/>
        <v>28.461557060551435</v>
      </c>
      <c r="AL34" s="20">
        <f t="shared" si="4"/>
        <v>234.7395292137937</v>
      </c>
      <c r="AM34" s="59">
        <f t="shared" si="5"/>
        <v>528.07286254712699</v>
      </c>
      <c r="AN34" s="59">
        <f ca="1">AVERAGE(OFFSET($AM$3,0,0,'Données projet'!$E$10+1,1))-AVERAGE(OFFSET($H$3,0,0,'Données projet'!$E$10+1,1))</f>
        <v>191.94797389630673</v>
      </c>
      <c r="AO34" s="59">
        <f t="shared" si="36"/>
        <v>273.52540822767878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2.524172458582604</v>
      </c>
      <c r="AV34" s="21">
        <f>EXP(-LN(2)/25)*AV33+(1-EXP(-LN(2)/25))/(LN(2)/25)*Calculateur!AQ34*Calculateur!AS34*VLOOKUP('Données projet'!$B$10,Paramètres!$A$1:$I$89,3,0)*0.475*44/12</f>
        <v>13.664003619194581</v>
      </c>
      <c r="AW34" s="21">
        <f>EXP(-LN(2)/2)*AW33+(1-EXP(-LN(2)/2))/(LN(2)/2)*AQ34*AT34*VLOOKUP('Données projet'!$B$10,Paramètres!$A$1:$I$89,3,0)*0.475*44/12</f>
        <v>16.407043134796346</v>
      </c>
      <c r="AX34" s="21">
        <f t="shared" si="6"/>
        <v>32.595219212573532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19.7</v>
      </c>
      <c r="BD34" s="12">
        <f>IF('Données projet'!$A$88&gt;35,BD33+BC34-BL33,IF(A34&lt;'Données projet'!$A$88,$BA$205^A34,IF(A34='Données projet'!$A$88,'Données projet'!$B$88,BD33+BC34-BL33)))</f>
        <v>201.70000000000005</v>
      </c>
      <c r="BE34" s="13">
        <f>BD34*VLOOKUP('Données projet'!$B$11,Paramètres!$A$1:$I$89,3,0)*VLOOKUP('Données projet'!$B$11,Paramètres!$A$1:$I$89,5,0)</f>
        <v>112.75030000000004</v>
      </c>
      <c r="BF34" s="13">
        <f t="shared" si="37"/>
        <v>29.978042431779432</v>
      </c>
      <c r="BG34" s="20">
        <f t="shared" si="7"/>
        <v>248.5851964020159</v>
      </c>
      <c r="BH34" s="59">
        <f t="shared" si="8"/>
        <v>541.91852973534924</v>
      </c>
      <c r="BI34" s="59">
        <f ca="1">AVERAGE(OFFSET($BH$3,0,0,'Données projet'!$E$11+1,1))-AVERAGE(OFFSET($H$3,0,0,'Données projet'!$E$11+1,1))</f>
        <v>279.98352834501759</v>
      </c>
      <c r="BJ34" s="59">
        <f t="shared" si="38"/>
        <v>281.30062655265488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3.9185741796544451</v>
      </c>
      <c r="BQ34" s="21">
        <f>EXP(-LN(2)/25)*BQ33+(1-EXP(-LN(2)/25))/(LN(2)/25)*Calculateur!BL34*Calculateur!BN34*VLOOKUP('Données projet'!$B$11,Paramètres!$A$1:$I$89,3,0)*0.475*44/12</f>
        <v>23.564460019883267</v>
      </c>
      <c r="BR34" s="21">
        <f>EXP(-LN(2)/2)*BR33+(1-EXP(-LN(2)/2))/(LN(2)/2)*BL34*BO34*VLOOKUP('Données projet'!$B$11,Paramètres!$A$1:$I$89,3,0)*0.475*44/12</f>
        <v>20.023241983549955</v>
      </c>
      <c r="BS34" s="22">
        <f t="shared" si="9"/>
        <v>47.506276183087664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8.1</v>
      </c>
      <c r="BY34" s="12">
        <f>IF('Données projet'!$A$114&gt;35,BY33+BX34-CG33,IF(A34&lt;'Données projet'!$A$114,$BV$205^A34,IF(A34='Données projet'!$A$114,'Données projet'!$B$114,BY33+BX34-CG33)))</f>
        <v>101.10000000000002</v>
      </c>
      <c r="BZ34" s="13">
        <f>BY34*VLOOKUP('Données projet'!$B$12,Paramètres!$A$1:$I$89,3,0)*VLOOKUP('Données projet'!$B$12,Paramètres!$A$1:$I$89,5,0)</f>
        <v>74.126520000000014</v>
      </c>
      <c r="CA34" s="13">
        <f t="shared" si="39"/>
        <v>20.694776875055368</v>
      </c>
      <c r="CB34" s="20">
        <f t="shared" si="10"/>
        <v>165.14709205738814</v>
      </c>
      <c r="CC34" s="59">
        <f t="shared" si="11"/>
        <v>458.48042539072145</v>
      </c>
      <c r="CD34" s="59">
        <f ca="1">AVERAGE(OFFSET($CC$3,0,0,'Données projet'!$E$12+1,1))-AVERAGE(OFFSET($H$3,0,0,'Données projet'!$E$12+1,1))</f>
        <v>124.15919323713428</v>
      </c>
      <c r="CE34" s="59">
        <f t="shared" si="40"/>
        <v>157.85954678210715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4.8889400658666533</v>
      </c>
      <c r="CM34" s="21">
        <f>EXP(-LN(2)/2)*CM33+(1-EXP(-LN(2)/2))/(LN(2)/2)*CG34*CJ34*VLOOKUP('Données projet'!$B$12,Paramètres!$A$1:$I$89,3,0)*0.475*44/12</f>
        <v>5.2165627196106401</v>
      </c>
      <c r="CN34" s="22">
        <f t="shared" si="12"/>
        <v>10.105502785477293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5.2</v>
      </c>
      <c r="N35" s="13">
        <f>IF('Données projet'!$A$36&gt;35,N34+M35-V34,IF(A35&lt;'Données projet'!$A$36,$K$205^A35,IF(A35='Données projet'!$A$36,'Données projet'!$B$36,N34+M35-V34)))</f>
        <v>64.399999999999991</v>
      </c>
      <c r="O35" s="13">
        <f>N35*VLOOKUP('Données projet'!$B$9,Paramètres!$A$1:$I$89,3,0)*VLOOKUP('Données projet'!$B$9,Paramètres!$A$1:$I$89,5,0)</f>
        <v>58.269119999999987</v>
      </c>
      <c r="P35" s="13">
        <f t="shared" si="33"/>
        <v>16.729905486873804</v>
      </c>
      <c r="Q35" s="20">
        <f t="shared" ref="Q35:Q66" si="53">(O35+P35)*0.475*44/12</f>
        <v>130.62330272297186</v>
      </c>
      <c r="R35" s="59">
        <f t="shared" si="0"/>
        <v>423.95663605630517</v>
      </c>
      <c r="S35" s="59">
        <f ca="1">AVERAGE(OFFSET($R$3,0,0,'Données projet'!$E$9+1,1))-AVERAGE(OFFSET($H$3,0,0,'Données projet'!$E$9+1,1))</f>
        <v>138.8931001150624</v>
      </c>
      <c r="T35" s="59">
        <f t="shared" si="34"/>
        <v>48.964659354096625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8.6999999999999993</v>
      </c>
      <c r="AI35" s="13">
        <f>IF('Données projet'!$A$62&gt;35,AI34+AH35-AQ34,IF(A35&lt;'Données projet'!$A$62,$AF$205^A35,IF(A35='Données projet'!$A$62,'Données projet'!$B$62,AI34+AH35-AQ34)))</f>
        <v>130.39999999999995</v>
      </c>
      <c r="AJ35" s="13">
        <f>AI35*VLOOKUP('Données projet'!$B$10,Paramètres!$A$1:$I$89,3,0)*VLOOKUP('Données projet'!$B$10,Paramètres!$A$1:$I$89,5,0)</f>
        <v>113.91743999999996</v>
      </c>
      <c r="AK35" s="13">
        <f t="shared" si="35"/>
        <v>30.252075834566813</v>
      </c>
      <c r="AL35" s="20">
        <f t="shared" si="4"/>
        <v>251.0952400785371</v>
      </c>
      <c r="AM35" s="59">
        <f t="shared" si="5"/>
        <v>544.42857341187039</v>
      </c>
      <c r="AN35" s="59">
        <f ca="1">AVERAGE(OFFSET($AM$3,0,0,'Données projet'!$E$10+1,1))-AVERAGE(OFFSET($H$3,0,0,'Données projet'!$E$10+1,1))</f>
        <v>191.94797389630673</v>
      </c>
      <c r="AO35" s="59">
        <f t="shared" si="36"/>
        <v>273.52540822767878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2.4746749762629765</v>
      </c>
      <c r="AV35" s="21">
        <f>EXP(-LN(2)/25)*AV34+(1-EXP(-LN(2)/25))/(LN(2)/25)*Calculateur!AQ35*Calculateur!AS35*VLOOKUP('Données projet'!$B$10,Paramètres!$A$1:$I$89,3,0)*0.475*44/12</f>
        <v>13.290360721668984</v>
      </c>
      <c r="AW35" s="21">
        <f>EXP(-LN(2)/2)*AW34+(1-EXP(-LN(2)/2))/(LN(2)/2)*AQ35*AT35*VLOOKUP('Données projet'!$B$10,Paramètres!$A$1:$I$89,3,0)*0.475*44/12</f>
        <v>11.601531459834687</v>
      </c>
      <c r="AX35" s="21">
        <f t="shared" si="6"/>
        <v>27.366567157766646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19.7</v>
      </c>
      <c r="BD35" s="12">
        <f>IF('Données projet'!$A$88&gt;35,BD34+BC35-BL34,IF(A35&lt;'Données projet'!$A$88,$BA$205^A35,IF(A35='Données projet'!$A$88,'Données projet'!$B$88,BD34+BC35-BL34)))</f>
        <v>221.40000000000003</v>
      </c>
      <c r="BE35" s="13">
        <f>BD35*VLOOKUP('Données projet'!$B$11,Paramètres!$A$1:$I$89,3,0)*VLOOKUP('Données projet'!$B$11,Paramètres!$A$1:$I$89,5,0)</f>
        <v>123.76260000000002</v>
      </c>
      <c r="BF35" s="13">
        <f t="shared" si="37"/>
        <v>32.550980903536193</v>
      </c>
      <c r="BG35" s="20">
        <f t="shared" si="7"/>
        <v>272.24615340699222</v>
      </c>
      <c r="BH35" s="59">
        <f t="shared" si="8"/>
        <v>565.57948674032559</v>
      </c>
      <c r="BI35" s="59">
        <f ca="1">AVERAGE(OFFSET($BH$3,0,0,'Données projet'!$E$11+1,1))-AVERAGE(OFFSET($H$3,0,0,'Données projet'!$E$11+1,1))</f>
        <v>279.98352834501759</v>
      </c>
      <c r="BJ35" s="59">
        <f t="shared" si="38"/>
        <v>281.30062655265488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3.8417333300856686</v>
      </c>
      <c r="BQ35" s="21">
        <f>EXP(-LN(2)/25)*BQ34+(1-EXP(-LN(2)/25))/(LN(2)/25)*Calculateur!BL35*Calculateur!BN35*VLOOKUP('Données projet'!$B$11,Paramètres!$A$1:$I$89,3,0)*0.475*44/12</f>
        <v>22.920088621438463</v>
      </c>
      <c r="BR35" s="21">
        <f>EXP(-LN(2)/2)*BR34+(1-EXP(-LN(2)/2))/(LN(2)/2)*BL35*BO35*VLOOKUP('Données projet'!$B$11,Paramètres!$A$1:$I$89,3,0)*0.475*44/12</f>
        <v>14.158570187907351</v>
      </c>
      <c r="BS35" s="22">
        <f t="shared" si="9"/>
        <v>40.920392139431485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8.1</v>
      </c>
      <c r="BY35" s="12">
        <f>IF('Données projet'!$A$114&gt;35,BY34+BX35-CG34,IF(A35&lt;'Données projet'!$A$114,$BV$205^A35,IF(A35='Données projet'!$A$114,'Données projet'!$B$114,BY34+BX35-CG34)))</f>
        <v>109.20000000000002</v>
      </c>
      <c r="BZ35" s="13">
        <f>BY35*VLOOKUP('Données projet'!$B$12,Paramètres!$A$1:$I$89,3,0)*VLOOKUP('Données projet'!$B$12,Paramètres!$A$1:$I$89,5,0)</f>
        <v>80.065440000000009</v>
      </c>
      <c r="CA35" s="13">
        <f t="shared" si="39"/>
        <v>22.153183787354507</v>
      </c>
      <c r="CB35" s="20">
        <f t="shared" si="10"/>
        <v>178.03076976297575</v>
      </c>
      <c r="CC35" s="59">
        <f t="shared" si="11"/>
        <v>471.36410309630907</v>
      </c>
      <c r="CD35" s="59">
        <f ca="1">AVERAGE(OFFSET($CC$3,0,0,'Données projet'!$E$12+1,1))-AVERAGE(OFFSET($H$3,0,0,'Données projet'!$E$12+1,1))</f>
        <v>124.15919323713428</v>
      </c>
      <c r="CE35" s="59">
        <f t="shared" si="40"/>
        <v>157.85954678210715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4.7552517426673457</v>
      </c>
      <c r="CM35" s="21">
        <f>EXP(-LN(2)/2)*CM34+(1-EXP(-LN(2)/2))/(LN(2)/2)*CG35*CJ35*VLOOKUP('Données projet'!$B$12,Paramètres!$A$1:$I$89,3,0)*0.475*44/12</f>
        <v>3.6886668735216226</v>
      </c>
      <c r="CN35" s="22">
        <f t="shared" si="12"/>
        <v>8.4439186161889683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5.2</v>
      </c>
      <c r="N36" s="13">
        <f>IF('Données projet'!$A$36&gt;35,N35+M36-V35,IF(A36&lt;'Données projet'!$A$36,$K$205^A36,IF(A36='Données projet'!$A$36,'Données projet'!$B$36,N35+M36-V35)))</f>
        <v>69.599999999999994</v>
      </c>
      <c r="O36" s="13">
        <f>N36*VLOOKUP('Données projet'!$B$9,Paramètres!$A$1:$I$89,3,0)*VLOOKUP('Données projet'!$B$9,Paramètres!$A$1:$I$89,5,0)</f>
        <v>62.974079999999994</v>
      </c>
      <c r="P36" s="13">
        <f t="shared" si="33"/>
        <v>17.91807950185715</v>
      </c>
      <c r="Q36" s="20">
        <f t="shared" si="53"/>
        <v>140.88717779906787</v>
      </c>
      <c r="R36" s="59">
        <f t="shared" si="0"/>
        <v>434.22051113240116</v>
      </c>
      <c r="S36" s="59">
        <f ca="1">AVERAGE(OFFSET($R$3,0,0,'Données projet'!$E$9+1,1))-AVERAGE(OFFSET($H$3,0,0,'Données projet'!$E$9+1,1))</f>
        <v>138.8931001150624</v>
      </c>
      <c r="T36" s="59">
        <f t="shared" si="34"/>
        <v>48.964659354096625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8.6999999999999993</v>
      </c>
      <c r="AI36" s="13">
        <f>IF('Données projet'!$A$62&gt;35,AI35+AH36-AQ35,IF(A36&lt;'Données projet'!$A$62,$AF$205^A36,IF(A36='Données projet'!$A$62,'Données projet'!$B$62,AI35+AH36-AQ35)))</f>
        <v>139.09999999999994</v>
      </c>
      <c r="AJ36" s="13">
        <f>AI36*VLOOKUP('Données projet'!$B$10,Paramètres!$A$1:$I$89,3,0)*VLOOKUP('Données projet'!$B$10,Paramètres!$A$1:$I$89,5,0)</f>
        <v>121.51775999999997</v>
      </c>
      <c r="AK36" s="13">
        <f t="shared" si="35"/>
        <v>32.028732529244031</v>
      </c>
      <c r="AL36" s="20">
        <f t="shared" si="4"/>
        <v>267.42680782176666</v>
      </c>
      <c r="AM36" s="59">
        <f t="shared" si="5"/>
        <v>560.76014115509997</v>
      </c>
      <c r="AN36" s="59">
        <f ca="1">AVERAGE(OFFSET($AM$3,0,0,'Données projet'!$E$10+1,1))-AVERAGE(OFFSET($H$3,0,0,'Données projet'!$E$10+1,1))</f>
        <v>191.94797389630673</v>
      </c>
      <c r="AO36" s="59">
        <f t="shared" si="36"/>
        <v>273.52540822767878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2.4261481093811539</v>
      </c>
      <c r="AV36" s="21">
        <f>EXP(-LN(2)/25)*AV35+(1-EXP(-LN(2)/25))/(LN(2)/25)*Calculateur!AQ36*Calculateur!AS36*VLOOKUP('Données projet'!$B$10,Paramètres!$A$1:$I$89,3,0)*0.475*44/12</f>
        <v>12.926935108825251</v>
      </c>
      <c r="AW36" s="21">
        <f>EXP(-LN(2)/2)*AW35+(1-EXP(-LN(2)/2))/(LN(2)/2)*AQ36*AT36*VLOOKUP('Données projet'!$B$10,Paramètres!$A$1:$I$89,3,0)*0.475*44/12</f>
        <v>8.2035215673981732</v>
      </c>
      <c r="AX36" s="21">
        <f t="shared" si="6"/>
        <v>23.556604785604577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19.7</v>
      </c>
      <c r="BD36" s="12">
        <f>IF('Données projet'!$A$88&gt;35,BD35+BC36-BL35,IF(A36&lt;'Données projet'!$A$88,$BA$205^A36,IF(A36='Données projet'!$A$88,'Données projet'!$B$88,BD35+BC36-BL35)))</f>
        <v>241.10000000000002</v>
      </c>
      <c r="BE36" s="13">
        <f>BD36*VLOOKUP('Données projet'!$B$11,Paramètres!$A$1:$I$89,3,0)*VLOOKUP('Données projet'!$B$11,Paramètres!$A$1:$I$89,5,0)</f>
        <v>134.7749</v>
      </c>
      <c r="BF36" s="13">
        <f t="shared" si="37"/>
        <v>35.097371560884767</v>
      </c>
      <c r="BG36" s="20">
        <f t="shared" si="7"/>
        <v>295.86087296854095</v>
      </c>
      <c r="BH36" s="59">
        <f t="shared" si="8"/>
        <v>589.19420630187426</v>
      </c>
      <c r="BI36" s="59">
        <f ca="1">AVERAGE(OFFSET($BH$3,0,0,'Données projet'!$E$11+1,1))-AVERAGE(OFFSET($H$3,0,0,'Données projet'!$E$11+1,1))</f>
        <v>279.98352834501759</v>
      </c>
      <c r="BJ36" s="59">
        <f t="shared" si="38"/>
        <v>281.30062655265488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3.7663992827086457</v>
      </c>
      <c r="BQ36" s="21">
        <f>EXP(-LN(2)/25)*BQ35+(1-EXP(-LN(2)/25))/(LN(2)/25)*Calculateur!BL36*Calculateur!BN36*VLOOKUP('Données projet'!$B$11,Paramètres!$A$1:$I$89,3,0)*0.475*44/12</f>
        <v>22.293337592770154</v>
      </c>
      <c r="BR36" s="21">
        <f>EXP(-LN(2)/2)*BR35+(1-EXP(-LN(2)/2))/(LN(2)/2)*BL36*BO36*VLOOKUP('Données projet'!$B$11,Paramètres!$A$1:$I$89,3,0)*0.475*44/12</f>
        <v>10.011620991774979</v>
      </c>
      <c r="BS36" s="22">
        <f t="shared" si="9"/>
        <v>36.071357867253781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8.1</v>
      </c>
      <c r="BY36" s="12">
        <f>IF('Données projet'!$A$114&gt;35,BY35+BX36-CG35,IF(A36&lt;'Données projet'!$A$114,$BV$205^A36,IF(A36='Données projet'!$A$114,'Données projet'!$B$114,BY35+BX36-CG35)))</f>
        <v>117.30000000000001</v>
      </c>
      <c r="BZ36" s="13">
        <f>BY36*VLOOKUP('Données projet'!$B$12,Paramètres!$A$1:$I$89,3,0)*VLOOKUP('Données projet'!$B$12,Paramètres!$A$1:$I$89,5,0)</f>
        <v>86.004360000000005</v>
      </c>
      <c r="CA36" s="13">
        <f t="shared" si="39"/>
        <v>23.599040780210803</v>
      </c>
      <c r="CB36" s="20">
        <f t="shared" si="10"/>
        <v>190.89258969220046</v>
      </c>
      <c r="CC36" s="59">
        <f t="shared" si="11"/>
        <v>484.2259230255338</v>
      </c>
      <c r="CD36" s="59">
        <f ca="1">AVERAGE(OFFSET($CC$3,0,0,'Données projet'!$E$12+1,1))-AVERAGE(OFFSET($H$3,0,0,'Données projet'!$E$12+1,1))</f>
        <v>124.15919323713428</v>
      </c>
      <c r="CE36" s="59">
        <f t="shared" si="40"/>
        <v>157.85954678210715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4.6252191336962865</v>
      </c>
      <c r="CM36" s="21">
        <f>EXP(-LN(2)/2)*CM35+(1-EXP(-LN(2)/2))/(LN(2)/2)*CG36*CJ36*VLOOKUP('Données projet'!$B$12,Paramètres!$A$1:$I$89,3,0)*0.475*44/12</f>
        <v>2.6082813598053205</v>
      </c>
      <c r="CN36" s="22">
        <f t="shared" si="12"/>
        <v>7.233500493501607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5.2</v>
      </c>
      <c r="N37" s="13">
        <f>IF('Données projet'!$A$36&gt;35,N36+M37-V36,IF(A37&lt;'Données projet'!$A$36,$K$205^A37,IF(A37='Données projet'!$A$36,'Données projet'!$B$36,N36+M37-V36)))</f>
        <v>74.8</v>
      </c>
      <c r="O37" s="13">
        <f>N37*VLOOKUP('Données projet'!$B$9,Paramètres!$A$1:$I$89,3,0)*VLOOKUP('Données projet'!$B$9,Paramètres!$A$1:$I$89,5,0)</f>
        <v>67.679039999999986</v>
      </c>
      <c r="P37" s="13">
        <f t="shared" si="33"/>
        <v>19.095955192788225</v>
      </c>
      <c r="Q37" s="20">
        <f t="shared" si="53"/>
        <v>151.13311662743948</v>
      </c>
      <c r="R37" s="59">
        <f t="shared" si="0"/>
        <v>444.46644996077282</v>
      </c>
      <c r="S37" s="59">
        <f ca="1">AVERAGE(OFFSET($R$3,0,0,'Données projet'!$E$9+1,1))-AVERAGE(OFFSET($H$3,0,0,'Données projet'!$E$9+1,1))</f>
        <v>138.8931001150624</v>
      </c>
      <c r="T37" s="59">
        <f t="shared" si="34"/>
        <v>48.964659354096625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8.6999999999999993</v>
      </c>
      <c r="AI37" s="13">
        <f>IF('Données projet'!$A$62&gt;35,AI36+AH37-AQ36,IF(A37&lt;'Données projet'!$A$62,$AF$205^A37,IF(A37='Données projet'!$A$62,'Données projet'!$B$62,AI36+AH37-AQ36)))</f>
        <v>147.79999999999993</v>
      </c>
      <c r="AJ37" s="13">
        <f>AI37*VLOOKUP('Données projet'!$B$10,Paramètres!$A$1:$I$89,3,0)*VLOOKUP('Données projet'!$B$10,Paramètres!$A$1:$I$89,5,0)</f>
        <v>129.11807999999996</v>
      </c>
      <c r="AK37" s="13">
        <f t="shared" si="35"/>
        <v>33.792492849789191</v>
      </c>
      <c r="AL37" s="20">
        <f t="shared" si="4"/>
        <v>283.73591438004945</v>
      </c>
      <c r="AM37" s="59">
        <f t="shared" si="5"/>
        <v>577.06924771338277</v>
      </c>
      <c r="AN37" s="59">
        <f ca="1">AVERAGE(OFFSET($AM$3,0,0,'Données projet'!$E$10+1,1))-AVERAGE(OFFSET($H$3,0,0,'Données projet'!$E$10+1,1))</f>
        <v>191.94797389630673</v>
      </c>
      <c r="AO37" s="59">
        <f t="shared" si="36"/>
        <v>273.52540822767878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2.3785728247604174</v>
      </c>
      <c r="AV37" s="21">
        <f>EXP(-LN(2)/25)*AV36+(1-EXP(-LN(2)/25))/(LN(2)/25)*Calculateur!AQ37*Calculateur!AS37*VLOOKUP('Données projet'!$B$10,Paramètres!$A$1:$I$89,3,0)*0.475*44/12</f>
        <v>12.573447388476453</v>
      </c>
      <c r="AW37" s="21">
        <f>EXP(-LN(2)/2)*AW36+(1-EXP(-LN(2)/2))/(LN(2)/2)*AQ37*AT37*VLOOKUP('Données projet'!$B$10,Paramètres!$A$1:$I$89,3,0)*0.475*44/12</f>
        <v>5.8007657299173436</v>
      </c>
      <c r="AX37" s="21">
        <f t="shared" si="6"/>
        <v>20.752785943154215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19.7</v>
      </c>
      <c r="BD37" s="12">
        <f>IF('Données projet'!$A$88&gt;35,BD36+BC37-BL36,IF(A37&lt;'Données projet'!$A$88,$BA$205^A37,IF(A37='Données projet'!$A$88,'Données projet'!$B$88,BD36+BC37-BL36)))</f>
        <v>260.8</v>
      </c>
      <c r="BE37" s="13">
        <f>BD37*VLOOKUP('Données projet'!$B$11,Paramètres!$A$1:$I$89,3,0)*VLOOKUP('Données projet'!$B$11,Paramètres!$A$1:$I$89,5,0)</f>
        <v>145.78720000000001</v>
      </c>
      <c r="BF37" s="13">
        <f t="shared" si="37"/>
        <v>37.619630209734858</v>
      </c>
      <c r="BG37" s="20">
        <f t="shared" si="7"/>
        <v>319.43356261528817</v>
      </c>
      <c r="BH37" s="59">
        <f t="shared" si="8"/>
        <v>612.76689594862148</v>
      </c>
      <c r="BI37" s="59">
        <f ca="1">AVERAGE(OFFSET($BH$3,0,0,'Données projet'!$E$11+1,1))-AVERAGE(OFFSET($H$3,0,0,'Données projet'!$E$11+1,1))</f>
        <v>279.98352834501759</v>
      </c>
      <c r="BJ37" s="59">
        <f t="shared" si="38"/>
        <v>281.30062655265488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3.6925424900514545</v>
      </c>
      <c r="BQ37" s="21">
        <f>EXP(-LN(2)/25)*BQ36+(1-EXP(-LN(2)/25))/(LN(2)/25)*Calculateur!BL37*Calculateur!BN37*VLOOKUP('Données projet'!$B$11,Paramètres!$A$1:$I$89,3,0)*0.475*44/12</f>
        <v>21.683725103940183</v>
      </c>
      <c r="BR37" s="21">
        <f>EXP(-LN(2)/2)*BR36+(1-EXP(-LN(2)/2))/(LN(2)/2)*BL37*BO37*VLOOKUP('Données projet'!$B$11,Paramètres!$A$1:$I$89,3,0)*0.475*44/12</f>
        <v>7.0792850939536764</v>
      </c>
      <c r="BS37" s="22">
        <f t="shared" si="9"/>
        <v>32.455552687945314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8.1</v>
      </c>
      <c r="BY37" s="12">
        <f>IF('Données projet'!$A$114&gt;35,BY36+BX37-CG36,IF(A37&lt;'Données projet'!$A$114,$BV$205^A37,IF(A37='Données projet'!$A$114,'Données projet'!$B$114,BY36+BX37-CG36)))</f>
        <v>125.4</v>
      </c>
      <c r="BZ37" s="13">
        <f>BY37*VLOOKUP('Données projet'!$B$12,Paramètres!$A$1:$I$89,3,0)*VLOOKUP('Données projet'!$B$12,Paramètres!$A$1:$I$89,5,0)</f>
        <v>91.943280000000001</v>
      </c>
      <c r="CA37" s="13">
        <f t="shared" si="39"/>
        <v>25.033313055666699</v>
      </c>
      <c r="CB37" s="20">
        <f t="shared" si="10"/>
        <v>203.73423290528615</v>
      </c>
      <c r="CC37" s="59">
        <f t="shared" si="11"/>
        <v>497.06756623861946</v>
      </c>
      <c r="CD37" s="59">
        <f ca="1">AVERAGE(OFFSET($CC$3,0,0,'Données projet'!$E$12+1,1))-AVERAGE(OFFSET($H$3,0,0,'Données projet'!$E$12+1,1))</f>
        <v>124.15919323713428</v>
      </c>
      <c r="CE37" s="59">
        <f t="shared" si="40"/>
        <v>157.85954678210715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4.4987422732556581</v>
      </c>
      <c r="CM37" s="21">
        <f>EXP(-LN(2)/2)*CM36+(1-EXP(-LN(2)/2))/(LN(2)/2)*CG37*CJ37*VLOOKUP('Données projet'!$B$12,Paramètres!$A$1:$I$89,3,0)*0.475*44/12</f>
        <v>1.8443334367608115</v>
      </c>
      <c r="CN37" s="22">
        <f t="shared" si="12"/>
        <v>6.3430757100164694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5.2</v>
      </c>
      <c r="N38" s="13">
        <f>IF('Données projet'!$A$36&gt;35,N37+M38-V37,IF(A38&lt;'Données projet'!$A$36,$K$205^A38,IF(A38='Données projet'!$A$36,'Données projet'!$B$36,N37+M38-V37)))</f>
        <v>80</v>
      </c>
      <c r="O38" s="13">
        <f>N38*VLOOKUP('Données projet'!$B$9,Paramètres!$A$1:$I$89,3,0)*VLOOKUP('Données projet'!$B$9,Paramètres!$A$1:$I$89,5,0)</f>
        <v>72.384</v>
      </c>
      <c r="P38" s="13">
        <f t="shared" si="33"/>
        <v>20.264329923804397</v>
      </c>
      <c r="Q38" s="20">
        <f t="shared" si="53"/>
        <v>161.362507950626</v>
      </c>
      <c r="R38" s="59">
        <f t="shared" si="0"/>
        <v>454.69584128395934</v>
      </c>
      <c r="S38" s="59">
        <f ca="1">AVERAGE(OFFSET($R$3,0,0,'Données projet'!$E$9+1,1))-AVERAGE(OFFSET($H$3,0,0,'Données projet'!$E$9+1,1))</f>
        <v>138.8931001150624</v>
      </c>
      <c r="T38" s="59">
        <f t="shared" si="34"/>
        <v>48.964659354096625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8.6999999999999993</v>
      </c>
      <c r="AI38" s="13">
        <f>IF('Données projet'!$A$62&gt;35,AI37+AH38-AQ37,IF(A38&lt;'Données projet'!$A$62,$AF$205^A38,IF(A38='Données projet'!$A$62,'Données projet'!$B$62,AI37+AH38-AQ37)))</f>
        <v>156.49999999999991</v>
      </c>
      <c r="AJ38" s="13">
        <f>AI38*VLOOKUP('Données projet'!$B$10,Paramètres!$A$1:$I$89,3,0)*VLOOKUP('Données projet'!$B$10,Paramètres!$A$1:$I$89,5,0)</f>
        <v>136.71839999999995</v>
      </c>
      <c r="AK38" s="13">
        <f t="shared" si="35"/>
        <v>35.544202389747838</v>
      </c>
      <c r="AL38" s="20">
        <f t="shared" si="4"/>
        <v>300.02403249547734</v>
      </c>
      <c r="AM38" s="59">
        <f t="shared" si="5"/>
        <v>593.35736582881066</v>
      </c>
      <c r="AN38" s="59">
        <f ca="1">AVERAGE(OFFSET($AM$3,0,0,'Données projet'!$E$10+1,1))-AVERAGE(OFFSET($H$3,0,0,'Données projet'!$E$10+1,1))</f>
        <v>191.94797389630673</v>
      </c>
      <c r="AO38" s="59">
        <f t="shared" si="36"/>
        <v>273.52540822767878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2.3319304624530357</v>
      </c>
      <c r="AV38" s="21">
        <f>EXP(-LN(2)/25)*AV37+(1-EXP(-LN(2)/25))/(LN(2)/25)*Calculateur!AQ38*Calculateur!AS38*VLOOKUP('Données projet'!$B$10,Paramètres!$A$1:$I$89,3,0)*0.475*44/12</f>
        <v>12.229625808429702</v>
      </c>
      <c r="AW38" s="21">
        <f>EXP(-LN(2)/2)*AW37+(1-EXP(-LN(2)/2))/(LN(2)/2)*AQ38*AT38*VLOOKUP('Données projet'!$B$10,Paramètres!$A$1:$I$89,3,0)*0.475*44/12</f>
        <v>4.1017607836990866</v>
      </c>
      <c r="AX38" s="21">
        <f t="shared" si="6"/>
        <v>18.663317054581825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19.7</v>
      </c>
      <c r="BD38" s="12">
        <f>IF('Données projet'!$A$88&gt;35,BD37+BC38-BL37,IF(A38&lt;'Données projet'!$A$88,$BA$205^A38,IF(A38='Données projet'!$A$88,'Données projet'!$B$88,BD37+BC38-BL37)))</f>
        <v>280.5</v>
      </c>
      <c r="BE38" s="13">
        <f>BD38*VLOOKUP('Données projet'!$B$11,Paramètres!$A$1:$I$89,3,0)*VLOOKUP('Données projet'!$B$11,Paramètres!$A$1:$I$89,5,0)</f>
        <v>156.79949999999999</v>
      </c>
      <c r="BF38" s="13">
        <f t="shared" si="37"/>
        <v>40.119786973579373</v>
      </c>
      <c r="BG38" s="20">
        <f t="shared" si="7"/>
        <v>342.96775814565075</v>
      </c>
      <c r="BH38" s="59">
        <f t="shared" si="8"/>
        <v>636.30109147898406</v>
      </c>
      <c r="BI38" s="59">
        <f ca="1">AVERAGE(OFFSET($BH$3,0,0,'Données projet'!$E$11+1,1))-AVERAGE(OFFSET($H$3,0,0,'Données projet'!$E$11+1,1))</f>
        <v>279.98352834501759</v>
      </c>
      <c r="BJ38" s="59">
        <f t="shared" si="38"/>
        <v>281.30062655265488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3.6201339840500752</v>
      </c>
      <c r="BQ38" s="21">
        <f>EXP(-LN(2)/25)*BQ37+(1-EXP(-LN(2)/25))/(LN(2)/25)*Calculateur!BL38*Calculateur!BN38*VLOOKUP('Données projet'!$B$11,Paramètres!$A$1:$I$89,3,0)*0.475*44/12</f>
        <v>21.090782500675395</v>
      </c>
      <c r="BR38" s="21">
        <f>EXP(-LN(2)/2)*BR37+(1-EXP(-LN(2)/2))/(LN(2)/2)*BL38*BO38*VLOOKUP('Données projet'!$B$11,Paramètres!$A$1:$I$89,3,0)*0.475*44/12</f>
        <v>5.0058104958874905</v>
      </c>
      <c r="BS38" s="22">
        <f t="shared" si="9"/>
        <v>29.716726980612961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8.1</v>
      </c>
      <c r="BY38" s="12">
        <f>IF('Données projet'!$A$114&gt;35,BY37+BX38-CG37,IF(A38&lt;'Données projet'!$A$114,$BV$205^A38,IF(A38='Données projet'!$A$114,'Données projet'!$B$114,BY37+BX38-CG37)))</f>
        <v>133.5</v>
      </c>
      <c r="BZ38" s="13">
        <f>BY38*VLOOKUP('Données projet'!$B$12,Paramètres!$A$1:$I$89,3,0)*VLOOKUP('Données projet'!$B$12,Paramètres!$A$1:$I$89,5,0)</f>
        <v>97.882199999999997</v>
      </c>
      <c r="CA38" s="13">
        <f t="shared" si="39"/>
        <v>26.456834073965403</v>
      </c>
      <c r="CB38" s="20">
        <f t="shared" si="10"/>
        <v>216.5571510121564</v>
      </c>
      <c r="CC38" s="59">
        <f t="shared" si="11"/>
        <v>509.89048434548971</v>
      </c>
      <c r="CD38" s="59">
        <f ca="1">AVERAGE(OFFSET($CC$3,0,0,'Données projet'!$E$12+1,1))-AVERAGE(OFFSET($H$3,0,0,'Données projet'!$E$12+1,1))</f>
        <v>124.15919323713428</v>
      </c>
      <c r="CE38" s="59">
        <f t="shared" si="40"/>
        <v>157.85954678210715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4.3757239292149084</v>
      </c>
      <c r="CM38" s="21">
        <f>EXP(-LN(2)/2)*CM37+(1-EXP(-LN(2)/2))/(LN(2)/2)*CG38*CJ38*VLOOKUP('Données projet'!$B$12,Paramètres!$A$1:$I$89,3,0)*0.475*44/12</f>
        <v>1.3041406799026605</v>
      </c>
      <c r="CN38" s="22">
        <f t="shared" si="12"/>
        <v>5.6798646091175691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5.2</v>
      </c>
      <c r="N39" s="13">
        <f>IF('Données projet'!$A$36&gt;35,N38+M39-V38,IF(A39&lt;'Données projet'!$A$36,$K$205^A39,IF(A39='Données projet'!$A$36,'Données projet'!$B$36,N38+M39-V38)))</f>
        <v>85.2</v>
      </c>
      <c r="O39" s="13">
        <f>N39*VLOOKUP('Données projet'!$B$9,Paramètres!$A$1:$I$89,3,0)*VLOOKUP('Données projet'!$B$9,Paramètres!$A$1:$I$89,5,0)</f>
        <v>77.08896</v>
      </c>
      <c r="P39" s="13">
        <f t="shared" si="33"/>
        <v>21.423891539868706</v>
      </c>
      <c r="Q39" s="20">
        <f t="shared" si="53"/>
        <v>171.57654976527132</v>
      </c>
      <c r="R39" s="59">
        <f t="shared" si="0"/>
        <v>464.90988309860461</v>
      </c>
      <c r="S39" s="59">
        <f ca="1">AVERAGE(OFFSET($R$3,0,0,'Données projet'!$E$9+1,1))-AVERAGE(OFFSET($H$3,0,0,'Données projet'!$E$9+1,1))</f>
        <v>138.8931001150624</v>
      </c>
      <c r="T39" s="59">
        <f t="shared" si="34"/>
        <v>48.964659354096625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8.6999999999999993</v>
      </c>
      <c r="AI39" s="13">
        <f>IF('Données projet'!$A$62&gt;35,AI38+AH39-AQ38,IF(A39&lt;'Données projet'!$A$62,$AF$205^A39,IF(A39='Données projet'!$A$62,'Données projet'!$B$62,AI38+AH39-AQ38)))</f>
        <v>165.1999999999999</v>
      </c>
      <c r="AJ39" s="13">
        <f>AI39*VLOOKUP('Données projet'!$B$10,Paramètres!$A$1:$I$89,3,0)*VLOOKUP('Données projet'!$B$10,Paramètres!$A$1:$I$89,5,0)</f>
        <v>144.31871999999993</v>
      </c>
      <c r="AK39" s="13">
        <f t="shared" si="35"/>
        <v>37.284607417926146</v>
      </c>
      <c r="AL39" s="20">
        <f t="shared" si="4"/>
        <v>316.29246191955457</v>
      </c>
      <c r="AM39" s="59">
        <f t="shared" si="5"/>
        <v>609.62579525288788</v>
      </c>
      <c r="AN39" s="59">
        <f ca="1">AVERAGE(OFFSET($AM$3,0,0,'Données projet'!$E$10+1,1))-AVERAGE(OFFSET($H$3,0,0,'Données projet'!$E$10+1,1))</f>
        <v>191.94797389630673</v>
      </c>
      <c r="AO39" s="59">
        <f t="shared" si="36"/>
        <v>273.52540822767878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2.2862027284214697</v>
      </c>
      <c r="AV39" s="21">
        <f>EXP(-LN(2)/25)*AV38+(1-EXP(-LN(2)/25))/(LN(2)/25)*Calculateur!AQ39*Calculateur!AS39*VLOOKUP('Données projet'!$B$10,Paramètres!$A$1:$I$89,3,0)*0.475*44/12</f>
        <v>11.895206047570122</v>
      </c>
      <c r="AW39" s="21">
        <f>EXP(-LN(2)/2)*AW38+(1-EXP(-LN(2)/2))/(LN(2)/2)*AQ39*AT39*VLOOKUP('Données projet'!$B$10,Paramètres!$A$1:$I$89,3,0)*0.475*44/12</f>
        <v>2.9003828649586718</v>
      </c>
      <c r="AX39" s="21">
        <f t="shared" si="6"/>
        <v>17.081791640950264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19.7</v>
      </c>
      <c r="BD39" s="12">
        <f>IF('Données projet'!$A$88&gt;35,BD38+BC39-BL38,IF(A39&lt;'Données projet'!$A$88,$BA$205^A39,IF(A39='Données projet'!$A$88,'Données projet'!$B$88,BD38+BC39-BL38)))</f>
        <v>300.2</v>
      </c>
      <c r="BE39" s="13">
        <f>BD39*VLOOKUP('Données projet'!$B$11,Paramètres!$A$1:$I$89,3,0)*VLOOKUP('Données projet'!$B$11,Paramètres!$A$1:$I$89,5,0)</f>
        <v>167.81179999999998</v>
      </c>
      <c r="BF39" s="13">
        <f t="shared" si="37"/>
        <v>42.599570666603093</v>
      </c>
      <c r="BG39" s="20">
        <f t="shared" si="7"/>
        <v>366.466470577667</v>
      </c>
      <c r="BH39" s="59">
        <f t="shared" si="8"/>
        <v>659.79980391100025</v>
      </c>
      <c r="BI39" s="59">
        <f ca="1">AVERAGE(OFFSET($BH$3,0,0,'Données projet'!$E$11+1,1))-AVERAGE(OFFSET($H$3,0,0,'Données projet'!$E$11+1,1))</f>
        <v>279.98352834501759</v>
      </c>
      <c r="BJ39" s="59">
        <f t="shared" si="38"/>
        <v>281.30062655265488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3.5491453646865554</v>
      </c>
      <c r="BQ39" s="21">
        <f>EXP(-LN(2)/25)*BQ38+(1-EXP(-LN(2)/25))/(LN(2)/25)*Calculateur!BL39*Calculateur!BN39*VLOOKUP('Données projet'!$B$11,Paramètres!$A$1:$I$89,3,0)*0.475*44/12</f>
        <v>20.514053944078377</v>
      </c>
      <c r="BR39" s="21">
        <f>EXP(-LN(2)/2)*BR38+(1-EXP(-LN(2)/2))/(LN(2)/2)*BL39*BO39*VLOOKUP('Données projet'!$B$11,Paramètres!$A$1:$I$89,3,0)*0.475*44/12</f>
        <v>3.5396425469768391</v>
      </c>
      <c r="BS39" s="22">
        <f t="shared" si="9"/>
        <v>27.602841855741772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8.1</v>
      </c>
      <c r="BY39" s="12">
        <f>IF('Données projet'!$A$114&gt;35,BY38+BX39-CG38,IF(A39&lt;'Données projet'!$A$114,$BV$205^A39,IF(A39='Données projet'!$A$114,'Données projet'!$B$114,BY38+BX39-CG38)))</f>
        <v>141.6</v>
      </c>
      <c r="BZ39" s="13">
        <f>BY39*VLOOKUP('Données projet'!$B$12,Paramètres!$A$1:$I$89,3,0)*VLOOKUP('Données projet'!$B$12,Paramètres!$A$1:$I$89,5,0)</f>
        <v>103.82111999999999</v>
      </c>
      <c r="CA39" s="13">
        <f t="shared" si="39"/>
        <v>27.870330441657604</v>
      </c>
      <c r="CB39" s="20">
        <f t="shared" si="10"/>
        <v>229.36260951922031</v>
      </c>
      <c r="CC39" s="59">
        <f t="shared" si="11"/>
        <v>522.69594285255357</v>
      </c>
      <c r="CD39" s="59">
        <f ca="1">AVERAGE(OFFSET($CC$3,0,0,'Données projet'!$E$12+1,1))-AVERAGE(OFFSET($H$3,0,0,'Données projet'!$E$12+1,1))</f>
        <v>124.15919323713428</v>
      </c>
      <c r="CE39" s="59">
        <f t="shared" si="40"/>
        <v>157.85954678210715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4.2560695282612064</v>
      </c>
      <c r="CM39" s="21">
        <f>EXP(-LN(2)/2)*CM38+(1-EXP(-LN(2)/2))/(LN(2)/2)*CG39*CJ39*VLOOKUP('Données projet'!$B$12,Paramètres!$A$1:$I$89,3,0)*0.475*44/12</f>
        <v>0.92216671838040587</v>
      </c>
      <c r="CN39" s="22">
        <f t="shared" si="12"/>
        <v>5.1782362466416121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5.2</v>
      </c>
      <c r="N40" s="13">
        <f>IF('Données projet'!$A$36&gt;35,N39+M40-V39,IF(A40&lt;'Données projet'!$A$36,$K$205^A40,IF(A40='Données projet'!$A$36,'Données projet'!$B$36,N39+M40-V39)))</f>
        <v>90.4</v>
      </c>
      <c r="O40" s="13">
        <f>N40*VLOOKUP('Données projet'!$B$9,Paramètres!$A$1:$I$89,3,0)*VLOOKUP('Données projet'!$B$9,Paramètres!$A$1:$I$89,5,0)</f>
        <v>81.79392</v>
      </c>
      <c r="P40" s="13">
        <f t="shared" si="33"/>
        <v>22.575239179244807</v>
      </c>
      <c r="Q40" s="20">
        <f t="shared" si="53"/>
        <v>181.77628557051801</v>
      </c>
      <c r="R40" s="59">
        <f t="shared" si="0"/>
        <v>475.10961890385136</v>
      </c>
      <c r="S40" s="59">
        <f ca="1">AVERAGE(OFFSET($R$3,0,0,'Données projet'!$E$9+1,1))-AVERAGE(OFFSET($H$3,0,0,'Données projet'!$E$9+1,1))</f>
        <v>138.8931001150624</v>
      </c>
      <c r="T40" s="59">
        <f t="shared" si="34"/>
        <v>48.964659354096625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8.6999999999999993</v>
      </c>
      <c r="AI40" s="13">
        <f>IF('Données projet'!$A$62&gt;35,AI39+AH40-AQ39,IF(A40&lt;'Données projet'!$A$62,$AF$205^A40,IF(A40='Données projet'!$A$62,'Données projet'!$B$62,AI39+AH40-AQ39)))</f>
        <v>173.89999999999989</v>
      </c>
      <c r="AJ40" s="13">
        <f>AI40*VLOOKUP('Données projet'!$B$10,Paramètres!$A$1:$I$89,3,0)*VLOOKUP('Données projet'!$B$10,Paramètres!$A$1:$I$89,5,0)</f>
        <v>151.91903999999991</v>
      </c>
      <c r="AK40" s="13">
        <f t="shared" si="35"/>
        <v>39.014371161543409</v>
      </c>
      <c r="AL40" s="20">
        <f t="shared" si="4"/>
        <v>332.54235777302125</v>
      </c>
      <c r="AM40" s="59">
        <f t="shared" si="5"/>
        <v>625.87569110635457</v>
      </c>
      <c r="AN40" s="59">
        <f ca="1">AVERAGE(OFFSET($AM$3,0,0,'Données projet'!$E$10+1,1))-AVERAGE(OFFSET($H$3,0,0,'Données projet'!$E$10+1,1))</f>
        <v>191.94797389630673</v>
      </c>
      <c r="AO40" s="59">
        <f t="shared" si="36"/>
        <v>273.52540822767878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2.2413716873630989</v>
      </c>
      <c r="AV40" s="21">
        <f>EXP(-LN(2)/25)*AV39+(1-EXP(-LN(2)/25))/(LN(2)/25)*Calculateur!AQ40*Calculateur!AS40*VLOOKUP('Données projet'!$B$10,Paramètres!$A$1:$I$89,3,0)*0.475*44/12</f>
        <v>11.569931012657618</v>
      </c>
      <c r="AW40" s="21">
        <f>EXP(-LN(2)/2)*AW39+(1-EXP(-LN(2)/2))/(LN(2)/2)*AQ40*AT40*VLOOKUP('Données projet'!$B$10,Paramètres!$A$1:$I$89,3,0)*0.475*44/12</f>
        <v>2.0508803918495433</v>
      </c>
      <c r="AX40" s="21">
        <f t="shared" si="6"/>
        <v>15.862183091870261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19.7</v>
      </c>
      <c r="BD40" s="12">
        <f>IF('Données projet'!$A$88&gt;35,BD39+BC40-BL39,IF(A40&lt;'Données projet'!$A$88,$BA$205^A40,IF(A40='Données projet'!$A$88,'Données projet'!$B$88,BD39+BC40-BL39)))</f>
        <v>319.89999999999998</v>
      </c>
      <c r="BE40" s="13">
        <f>BD40*VLOOKUP('Données projet'!$B$11,Paramètres!$A$1:$I$89,3,0)*VLOOKUP('Données projet'!$B$11,Paramètres!$A$1:$I$89,5,0)</f>
        <v>178.82409999999999</v>
      </c>
      <c r="BF40" s="13">
        <f t="shared" si="37"/>
        <v>45.060470370141232</v>
      </c>
      <c r="BG40" s="20">
        <f t="shared" si="7"/>
        <v>389.93229339466257</v>
      </c>
      <c r="BH40" s="59">
        <f t="shared" si="8"/>
        <v>683.26562672799582</v>
      </c>
      <c r="BI40" s="59">
        <f ca="1">AVERAGE(OFFSET($BH$3,0,0,'Données projet'!$E$11+1,1))-AVERAGE(OFFSET($H$3,0,0,'Données projet'!$E$11+1,1))</f>
        <v>279.98352834501759</v>
      </c>
      <c r="BJ40" s="59">
        <f t="shared" si="38"/>
        <v>281.30062655265488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3.4795487888499719</v>
      </c>
      <c r="BQ40" s="21">
        <f>EXP(-LN(2)/25)*BQ39+(1-EXP(-LN(2)/25))/(LN(2)/25)*Calculateur!BL40*Calculateur!BN40*VLOOKUP('Données projet'!$B$11,Paramètres!$A$1:$I$89,3,0)*0.475*44/12</f>
        <v>19.953096060190344</v>
      </c>
      <c r="BR40" s="21">
        <f>EXP(-LN(2)/2)*BR39+(1-EXP(-LN(2)/2))/(LN(2)/2)*BL40*BO40*VLOOKUP('Données projet'!$B$11,Paramètres!$A$1:$I$89,3,0)*0.475*44/12</f>
        <v>2.5029052479437457</v>
      </c>
      <c r="BS40" s="22">
        <f t="shared" si="9"/>
        <v>25.935550096984059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8.1</v>
      </c>
      <c r="BY40" s="12">
        <f>IF('Données projet'!$A$114&gt;35,BY39+BX40-CG39,IF(A40&lt;'Données projet'!$A$114,$BV$205^A40,IF(A40='Données projet'!$A$114,'Données projet'!$B$114,BY39+BX40-CG39)))</f>
        <v>149.69999999999999</v>
      </c>
      <c r="BZ40" s="13">
        <f>BY40*VLOOKUP('Données projet'!$B$12,Paramètres!$A$1:$I$89,3,0)*VLOOKUP('Données projet'!$B$12,Paramètres!$A$1:$I$89,5,0)</f>
        <v>109.76003999999999</v>
      </c>
      <c r="CA40" s="13">
        <f t="shared" si="39"/>
        <v>29.274440941202073</v>
      </c>
      <c r="CB40" s="20">
        <f t="shared" si="10"/>
        <v>242.15172097259355</v>
      </c>
      <c r="CC40" s="59">
        <f t="shared" si="11"/>
        <v>535.48505430592684</v>
      </c>
      <c r="CD40" s="59">
        <f ca="1">AVERAGE(OFFSET($CC$3,0,0,'Données projet'!$E$12+1,1))-AVERAGE(OFFSET($H$3,0,0,'Données projet'!$E$12+1,1))</f>
        <v>124.15919323713428</v>
      </c>
      <c r="CE40" s="59">
        <f t="shared" si="40"/>
        <v>157.85954678210715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4.1396870831939347</v>
      </c>
      <c r="CM40" s="21">
        <f>EXP(-LN(2)/2)*CM39+(1-EXP(-LN(2)/2))/(LN(2)/2)*CG40*CJ40*VLOOKUP('Données projet'!$B$12,Paramètres!$A$1:$I$89,3,0)*0.475*44/12</f>
        <v>0.65207033995133024</v>
      </c>
      <c r="CN40" s="22">
        <f t="shared" si="12"/>
        <v>4.7917574231452651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5.2</v>
      </c>
      <c r="N41" s="13">
        <f>IF('Données projet'!$A$36&gt;35,N40+M41-V40,IF(A41&lt;'Données projet'!$A$36,$K$205^A41,IF(A41='Données projet'!$A$36,'Données projet'!$B$36,N40+M41-V40)))</f>
        <v>95.600000000000009</v>
      </c>
      <c r="O41" s="13">
        <f>N41*VLOOKUP('Données projet'!$B$9,Paramètres!$A$1:$I$89,3,0)*VLOOKUP('Données projet'!$B$9,Paramètres!$A$1:$I$89,5,0)</f>
        <v>86.49888</v>
      </c>
      <c r="P41" s="13">
        <f t="shared" si="33"/>
        <v>23.718899159460385</v>
      </c>
      <c r="Q41" s="20">
        <f t="shared" si="53"/>
        <v>191.96263203606017</v>
      </c>
      <c r="R41" s="59">
        <f t="shared" si="0"/>
        <v>485.29596536939346</v>
      </c>
      <c r="S41" s="59">
        <f ca="1">AVERAGE(OFFSET($R$3,0,0,'Données projet'!$E$9+1,1))-AVERAGE(OFFSET($H$3,0,0,'Données projet'!$E$9+1,1))</f>
        <v>138.8931001150624</v>
      </c>
      <c r="T41" s="59">
        <f t="shared" si="34"/>
        <v>48.964659354096625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8.6999999999999993</v>
      </c>
      <c r="AI41" s="13">
        <f>IF('Données projet'!$A$62&gt;35,AI40+AH41-AQ40,IF(A41&lt;'Données projet'!$A$62,$AF$205^A41,IF(A41='Données projet'!$A$62,'Données projet'!$B$62,AI40+AH41-AQ40)))</f>
        <v>182.59999999999988</v>
      </c>
      <c r="AJ41" s="13">
        <f>AI41*VLOOKUP('Données projet'!$B$10,Paramètres!$A$1:$I$89,3,0)*VLOOKUP('Données projet'!$B$10,Paramètres!$A$1:$I$89,5,0)</f>
        <v>159.51935999999992</v>
      </c>
      <c r="AK41" s="13">
        <f t="shared" si="35"/>
        <v>40.734086738277284</v>
      </c>
      <c r="AL41" s="20">
        <f t="shared" si="4"/>
        <v>348.77475306916608</v>
      </c>
      <c r="AM41" s="59">
        <f t="shared" si="5"/>
        <v>642.10808640249934</v>
      </c>
      <c r="AN41" s="59">
        <f ca="1">AVERAGE(OFFSET($AM$3,0,0,'Données projet'!$E$10+1,1))-AVERAGE(OFFSET($H$3,0,0,'Données projet'!$E$10+1,1))</f>
        <v>191.94797389630673</v>
      </c>
      <c r="AO41" s="59">
        <f t="shared" si="36"/>
        <v>273.52540822767878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2.1974197556756478</v>
      </c>
      <c r="AV41" s="21">
        <f>EXP(-LN(2)/25)*AV40+(1-EXP(-LN(2)/25))/(LN(2)/25)*Calculateur!AQ41*Calculateur!AS41*VLOOKUP('Données projet'!$B$10,Paramètres!$A$1:$I$89,3,0)*0.475*44/12</f>
        <v>11.253550640680267</v>
      </c>
      <c r="AW41" s="21">
        <f>EXP(-LN(2)/2)*AW40+(1-EXP(-LN(2)/2))/(LN(2)/2)*AQ41*AT41*VLOOKUP('Données projet'!$B$10,Paramètres!$A$1:$I$89,3,0)*0.475*44/12</f>
        <v>1.4501914324793359</v>
      </c>
      <c r="AX41" s="21">
        <f t="shared" si="6"/>
        <v>14.901161828835251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19.7</v>
      </c>
      <c r="BD41" s="12">
        <f>IF('Données projet'!$A$88&gt;35,BD40+BC41-BL40,IF(A41&lt;'Données projet'!$A$88,$BA$205^A41,IF(A41='Données projet'!$A$88,'Données projet'!$B$88,BD40+BC41-BL40)))</f>
        <v>339.59999999999997</v>
      </c>
      <c r="BE41" s="13">
        <f>BD41*VLOOKUP('Données projet'!$B$11,Paramètres!$A$1:$I$89,3,0)*VLOOKUP('Données projet'!$B$11,Paramètres!$A$1:$I$89,5,0)</f>
        <v>189.8364</v>
      </c>
      <c r="BF41" s="13">
        <f t="shared" si="37"/>
        <v>47.503781400896202</v>
      </c>
      <c r="BG41" s="20">
        <f t="shared" si="7"/>
        <v>413.36748260656083</v>
      </c>
      <c r="BH41" s="59">
        <f t="shared" si="8"/>
        <v>706.70081593989414</v>
      </c>
      <c r="BI41" s="59">
        <f ca="1">AVERAGE(OFFSET($BH$3,0,0,'Données projet'!$E$11+1,1))-AVERAGE(OFFSET($H$3,0,0,'Données projet'!$E$11+1,1))</f>
        <v>279.98352834501759</v>
      </c>
      <c r="BJ41" s="59">
        <f t="shared" si="38"/>
        <v>281.30062655265488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3.4113169594158239</v>
      </c>
      <c r="BQ41" s="21">
        <f>EXP(-LN(2)/25)*BQ40+(1-EXP(-LN(2)/25))/(LN(2)/25)*Calculateur!BL41*Calculateur!BN41*VLOOKUP('Données projet'!$B$11,Paramètres!$A$1:$I$89,3,0)*0.475*44/12</f>
        <v>19.407477599136719</v>
      </c>
      <c r="BR41" s="21">
        <f>EXP(-LN(2)/2)*BR40+(1-EXP(-LN(2)/2))/(LN(2)/2)*BL41*BO41*VLOOKUP('Données projet'!$B$11,Paramètres!$A$1:$I$89,3,0)*0.475*44/12</f>
        <v>1.7698212734884198</v>
      </c>
      <c r="BS41" s="22">
        <f t="shared" si="9"/>
        <v>24.588615832040965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8.1</v>
      </c>
      <c r="BY41" s="12">
        <f>IF('Données projet'!$A$114&gt;35,BY40+BX41-CG40,IF(A41&lt;'Données projet'!$A$114,$BV$205^A41,IF(A41='Données projet'!$A$114,'Données projet'!$B$114,BY40+BX41-CG40)))</f>
        <v>157.79999999999998</v>
      </c>
      <c r="BZ41" s="13">
        <f>BY41*VLOOKUP('Données projet'!$B$12,Paramètres!$A$1:$I$89,3,0)*VLOOKUP('Données projet'!$B$12,Paramètres!$A$1:$I$89,5,0)</f>
        <v>115.69895999999997</v>
      </c>
      <c r="CA41" s="13">
        <f t="shared" si="39"/>
        <v>30.669731324156793</v>
      </c>
      <c r="CB41" s="20">
        <f t="shared" si="10"/>
        <v>254.92547072290634</v>
      </c>
      <c r="CC41" s="59">
        <f t="shared" si="11"/>
        <v>548.25880405623968</v>
      </c>
      <c r="CD41" s="59">
        <f ca="1">AVERAGE(OFFSET($CC$3,0,0,'Données projet'!$E$12+1,1))-AVERAGE(OFFSET($H$3,0,0,'Données projet'!$E$12+1,1))</f>
        <v>124.15919323713428</v>
      </c>
      <c r="CE41" s="59">
        <f t="shared" si="40"/>
        <v>157.85954678210715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4.026487122207314</v>
      </c>
      <c r="CM41" s="21">
        <f>EXP(-LN(2)/2)*CM40+(1-EXP(-LN(2)/2))/(LN(2)/2)*CG41*CJ41*VLOOKUP('Données projet'!$B$12,Paramètres!$A$1:$I$89,3,0)*0.475*44/12</f>
        <v>0.46108335919020293</v>
      </c>
      <c r="CN41" s="22">
        <f t="shared" si="12"/>
        <v>4.4875704813975172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5.2</v>
      </c>
      <c r="N42" s="13">
        <f>IF('Données projet'!$A$36&gt;35,N41+M42-V41,IF(A42&lt;'Données projet'!$A$36,$K$205^A42,IF(A42='Données projet'!$A$36,'Données projet'!$B$36,N41+M42-V41)))</f>
        <v>100.80000000000001</v>
      </c>
      <c r="O42" s="13">
        <f>N42*VLOOKUP('Données projet'!$B$9,Paramètres!$A$1:$I$89,3,0)*VLOOKUP('Données projet'!$B$9,Paramètres!$A$1:$I$89,5,0)</f>
        <v>91.203840000000014</v>
      </c>
      <c r="P42" s="13">
        <f t="shared" si="33"/>
        <v>24.855337308022524</v>
      </c>
      <c r="Q42" s="20">
        <f t="shared" si="53"/>
        <v>202.13640047813922</v>
      </c>
      <c r="R42" s="59">
        <f t="shared" si="0"/>
        <v>495.46973381147257</v>
      </c>
      <c r="S42" s="59">
        <f ca="1">AVERAGE(OFFSET($R$3,0,0,'Données projet'!$E$9+1,1))-AVERAGE(OFFSET($H$3,0,0,'Données projet'!$E$9+1,1))</f>
        <v>138.8931001150624</v>
      </c>
      <c r="T42" s="59">
        <f t="shared" si="34"/>
        <v>48.964659354096625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8.6999999999999993</v>
      </c>
      <c r="AI42" s="13">
        <f>IF('Données projet'!$A$62&gt;35,AI41+AH42-AQ41,IF(A42&lt;'Données projet'!$A$62,$AF$205^A42,IF(A42='Données projet'!$A$62,'Données projet'!$B$62,AI41+AH42-AQ41)))</f>
        <v>191.29999999999987</v>
      </c>
      <c r="AJ42" s="13">
        <f>AI42*VLOOKUP('Données projet'!$B$10,Paramètres!$A$1:$I$89,3,0)*VLOOKUP('Données projet'!$B$10,Paramètres!$A$1:$I$89,5,0)</f>
        <v>167.11967999999993</v>
      </c>
      <c r="AK42" s="13">
        <f t="shared" si="35"/>
        <v>42.444287553880535</v>
      </c>
      <c r="AL42" s="20">
        <f t="shared" si="4"/>
        <v>364.99057682300844</v>
      </c>
      <c r="AM42" s="59">
        <f t="shared" si="5"/>
        <v>658.32391015634175</v>
      </c>
      <c r="AN42" s="59">
        <f ca="1">AVERAGE(OFFSET($AM$3,0,0,'Données projet'!$E$10+1,1))-AVERAGE(OFFSET($H$3,0,0,'Données projet'!$E$10+1,1))</f>
        <v>191.94797389630673</v>
      </c>
      <c r="AO42" s="59">
        <f t="shared" si="36"/>
        <v>273.52540822767878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2.1543296945605563</v>
      </c>
      <c r="AV42" s="21">
        <f>EXP(-LN(2)/25)*AV41+(1-EXP(-LN(2)/25))/(LN(2)/25)*Calculateur!AQ42*Calculateur!AS42*VLOOKUP('Données projet'!$B$10,Paramètres!$A$1:$I$89,3,0)*0.475*44/12</f>
        <v>10.945821706612357</v>
      </c>
      <c r="AW42" s="21">
        <f>EXP(-LN(2)/2)*AW41+(1-EXP(-LN(2)/2))/(LN(2)/2)*AQ42*AT42*VLOOKUP('Données projet'!$B$10,Paramètres!$A$1:$I$89,3,0)*0.475*44/12</f>
        <v>1.0254401959247716</v>
      </c>
      <c r="AX42" s="21">
        <f t="shared" si="6"/>
        <v>14.125591597097683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19.7</v>
      </c>
      <c r="BD42" s="12">
        <f>IF('Données projet'!$A$88&gt;35,BD41+BC42-BL41,IF(A42&lt;'Données projet'!$A$88,$BA$205^A42,IF(A42='Données projet'!$A$88,'Données projet'!$B$88,BD41+BC42-BL41)))</f>
        <v>359.29999999999995</v>
      </c>
      <c r="BE42" s="13">
        <f>BD42*VLOOKUP('Données projet'!$B$11,Paramètres!$A$1:$I$89,3,0)*VLOOKUP('Données projet'!$B$11,Paramètres!$A$1:$I$89,5,0)</f>
        <v>200.84869999999995</v>
      </c>
      <c r="BF42" s="13">
        <f t="shared" si="37"/>
        <v>49.930640305560686</v>
      </c>
      <c r="BG42" s="20">
        <f t="shared" si="7"/>
        <v>436.77401769885142</v>
      </c>
      <c r="BH42" s="59">
        <f t="shared" si="8"/>
        <v>730.10735103218474</v>
      </c>
      <c r="BI42" s="59">
        <f ca="1">AVERAGE(OFFSET($BH$3,0,0,'Données projet'!$E$11+1,1))-AVERAGE(OFFSET($H$3,0,0,'Données projet'!$E$11+1,1))</f>
        <v>279.98352834501759</v>
      </c>
      <c r="BJ42" s="59">
        <f t="shared" si="38"/>
        <v>281.30062655265488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3.3444231145395729</v>
      </c>
      <c r="BQ42" s="21">
        <f>EXP(-LN(2)/25)*BQ41+(1-EXP(-LN(2)/25))/(LN(2)/25)*Calculateur!BL42*Calculateur!BN42*VLOOKUP('Données projet'!$B$11,Paramètres!$A$1:$I$89,3,0)*0.475*44/12</f>
        <v>18.876779103593435</v>
      </c>
      <c r="BR42" s="21">
        <f>EXP(-LN(2)/2)*BR41+(1-EXP(-LN(2)/2))/(LN(2)/2)*BL42*BO42*VLOOKUP('Données projet'!$B$11,Paramètres!$A$1:$I$89,3,0)*0.475*44/12</f>
        <v>1.2514526239718731</v>
      </c>
      <c r="BS42" s="22">
        <f t="shared" si="9"/>
        <v>23.47265484210488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8.1</v>
      </c>
      <c r="BY42" s="12">
        <f>IF('Données projet'!$A$114&gt;35,BY41+BX42-CG41,IF(A42&lt;'Données projet'!$A$114,$BV$205^A42,IF(A42='Données projet'!$A$114,'Données projet'!$B$114,BY41+BX42-CG41)))</f>
        <v>165.89999999999998</v>
      </c>
      <c r="BZ42" s="13">
        <f>BY42*VLOOKUP('Données projet'!$B$12,Paramètres!$A$1:$I$89,3,0)*VLOOKUP('Données projet'!$B$12,Paramètres!$A$1:$I$89,5,0)</f>
        <v>121.63787999999998</v>
      </c>
      <c r="CA42" s="13">
        <f t="shared" si="39"/>
        <v>32.05670598050596</v>
      </c>
      <c r="CB42" s="20">
        <f t="shared" si="10"/>
        <v>267.68473724938116</v>
      </c>
      <c r="CC42" s="59">
        <f t="shared" si="11"/>
        <v>561.01807058271447</v>
      </c>
      <c r="CD42" s="59">
        <f ca="1">AVERAGE(OFFSET($CC$3,0,0,'Données projet'!$E$12+1,1))-AVERAGE(OFFSET($H$3,0,0,'Données projet'!$E$12+1,1))</f>
        <v>124.15919323713428</v>
      </c>
      <c r="CE42" s="59">
        <f t="shared" si="40"/>
        <v>157.85954678210715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3.9163826201067997</v>
      </c>
      <c r="CM42" s="21">
        <f>EXP(-LN(2)/2)*CM41+(1-EXP(-LN(2)/2))/(LN(2)/2)*CG42*CJ42*VLOOKUP('Données projet'!$B$12,Paramètres!$A$1:$I$89,3,0)*0.475*44/12</f>
        <v>0.32603516997566512</v>
      </c>
      <c r="CN42" s="22">
        <f t="shared" si="12"/>
        <v>4.2424177900824649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106</v>
      </c>
      <c r="L43" s="12">
        <f>VLOOKUP(A43,'Données projet'!$A$35:$I$55,9,0)</f>
        <v>5.2</v>
      </c>
      <c r="M43" s="12">
        <f t="array" ref="M43">INDEX(L:L,MIN(IF(ISNUMBER(L43:L239),ROW(L43:L239),"")))</f>
        <v>5.2</v>
      </c>
      <c r="N43" s="13">
        <f>IF('Données projet'!$A$36&gt;35,N42+M43-V42,IF(A43&lt;'Données projet'!$A$36,$K$205^A43,IF(A43='Données projet'!$A$36,'Données projet'!$B$36,N42+M43-V42)))</f>
        <v>106.00000000000001</v>
      </c>
      <c r="O43" s="13">
        <f>N43*VLOOKUP('Données projet'!$B$9,Paramètres!$A$1:$I$89,3,0)*VLOOKUP('Données projet'!$B$9,Paramètres!$A$1:$I$89,5,0)</f>
        <v>95.908800000000014</v>
      </c>
      <c r="P43" s="13">
        <f t="shared" si="33"/>
        <v>25.984968676228355</v>
      </c>
      <c r="Q43" s="20">
        <f t="shared" si="53"/>
        <v>212.29831377776441</v>
      </c>
      <c r="R43" s="59">
        <f t="shared" si="0"/>
        <v>505.63164711109772</v>
      </c>
      <c r="S43" s="59">
        <f ca="1">AVERAGE(OFFSET($R$3,0,0,'Données projet'!$E$9+1,1))-AVERAGE(OFFSET($H$3,0,0,'Données projet'!$E$9+1,1))</f>
        <v>138.8931001150624</v>
      </c>
      <c r="T43" s="59">
        <f t="shared" si="34"/>
        <v>48.964659354096625</v>
      </c>
      <c r="U43" s="15">
        <f>IF(ISNA(VLOOKUP(A43,'Données projet'!$A$35:$I$55,3,0)),0,VLOOKUP(A43,'Données projet'!$A$35:$I$55,3,0))</f>
        <v>1</v>
      </c>
      <c r="V43" s="15">
        <f>IF(ISNA(VLOOKUP(A43,'Données projet'!$A$35:$I$55,4,0)),0,VLOOKUP(A43,'Données projet'!$A$35:$I$55,4,0))</f>
        <v>27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200</v>
      </c>
      <c r="AG43" s="12">
        <f>VLOOKUP(A43,'Données projet'!$A$61:$I$81,9,0)</f>
        <v>8.6999999999999993</v>
      </c>
      <c r="AH43" s="12">
        <f t="array" ref="AH43">INDEX(AG:AG,MIN(IF(ISNUMBER(AG43:AG239),ROW(AG43:AG239),"")))</f>
        <v>8.6999999999999993</v>
      </c>
      <c r="AI43" s="13">
        <f>IF('Données projet'!$A$62&gt;35,AI42+AH43-AQ42,IF(A43&lt;'Données projet'!$A$62,$AF$205^A43,IF(A43='Données projet'!$A$62,'Données projet'!$B$62,AI42+AH43-AQ42)))</f>
        <v>199.99999999999986</v>
      </c>
      <c r="AJ43" s="13">
        <f>AI43*VLOOKUP('Données projet'!$B$10,Paramètres!$A$1:$I$89,3,0)*VLOOKUP('Données projet'!$B$10,Paramètres!$A$1:$I$89,5,0)</f>
        <v>174.71999999999989</v>
      </c>
      <c r="AK43" s="13">
        <f t="shared" si="35"/>
        <v>44.145455754865203</v>
      </c>
      <c r="AL43" s="20">
        <f t="shared" si="4"/>
        <v>381.19066877305664</v>
      </c>
      <c r="AM43" s="59">
        <f t="shared" si="5"/>
        <v>674.52400210638996</v>
      </c>
      <c r="AN43" s="59">
        <f ca="1">AVERAGE(OFFSET($AM$3,0,0,'Données projet'!$E$10+1,1))-AVERAGE(OFFSET($H$3,0,0,'Données projet'!$E$10+1,1))</f>
        <v>191.94797389630673</v>
      </c>
      <c r="AO43" s="59">
        <f t="shared" si="36"/>
        <v>273.52540822767878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2.1120846032615899</v>
      </c>
      <c r="AV43" s="21">
        <f>EXP(-LN(2)/25)*AV42+(1-EXP(-LN(2)/25))/(LN(2)/25)*Calculateur!AQ43*Calculateur!AS43*VLOOKUP('Données projet'!$B$10,Paramètres!$A$1:$I$89,3,0)*0.475*44/12</f>
        <v>10.646507636429295</v>
      </c>
      <c r="AW43" s="21">
        <f>EXP(-LN(2)/2)*AW42+(1-EXP(-LN(2)/2))/(LN(2)/2)*AQ43*AT43*VLOOKUP('Données projet'!$B$10,Paramètres!$A$1:$I$89,3,0)*0.475*44/12</f>
        <v>0.72509571623966795</v>
      </c>
      <c r="AX43" s="21">
        <f t="shared" si="6"/>
        <v>13.483687955930552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379</v>
      </c>
      <c r="BB43" s="12">
        <f>VLOOKUP(A43,'Données projet'!$A$87:$I$107,9,0)</f>
        <v>19.7</v>
      </c>
      <c r="BC43" s="12">
        <f t="array" ref="BC43">INDEX(BB:BB,MIN(IF(ISNUMBER(BB43:BB239),ROW(BB43:BB239),"")))</f>
        <v>19.7</v>
      </c>
      <c r="BD43" s="12">
        <f>IF('Données projet'!$A$88&gt;35,BD42+BC43-BL42,IF(A43&lt;'Données projet'!$A$88,$BA$205^A43,IF(A43='Données projet'!$A$88,'Données projet'!$B$88,BD42+BC43-BL42)))</f>
        <v>378.99999999999994</v>
      </c>
      <c r="BE43" s="13">
        <f>BD43*VLOOKUP('Données projet'!$B$11,Paramètres!$A$1:$I$89,3,0)*VLOOKUP('Données projet'!$B$11,Paramètres!$A$1:$I$89,5,0)</f>
        <v>211.86099999999996</v>
      </c>
      <c r="BF43" s="13">
        <f t="shared" si="37"/>
        <v>52.342051960836379</v>
      </c>
      <c r="BG43" s="20">
        <f t="shared" si="7"/>
        <v>460.15364883178995</v>
      </c>
      <c r="BH43" s="59">
        <f t="shared" si="8"/>
        <v>753.48698216512321</v>
      </c>
      <c r="BI43" s="59">
        <f ca="1">AVERAGE(OFFSET($BH$3,0,0,'Données projet'!$E$11+1,1))-AVERAGE(OFFSET($H$3,0,0,'Données projet'!$E$11+1,1))</f>
        <v>279.98352834501759</v>
      </c>
      <c r="BJ43" s="59">
        <f t="shared" si="38"/>
        <v>281.30062655265488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98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3.2788410171601288</v>
      </c>
      <c r="BQ43" s="21">
        <f>EXP(-LN(2)/25)*BQ42+(1-EXP(-LN(2)/25))/(LN(2)/25)*Calculateur!BL43*Calculateur!BN43*VLOOKUP('Données projet'!$B$11,Paramètres!$A$1:$I$89,3,0)*0.475*44/12</f>
        <v>18.360592586319004</v>
      </c>
      <c r="BR43" s="21">
        <f>EXP(-LN(2)/2)*BR42+(1-EXP(-LN(2)/2))/(LN(2)/2)*BL43*BO43*VLOOKUP('Données projet'!$B$11,Paramètres!$A$1:$I$89,3,0)*0.475*44/12</f>
        <v>0.88491063674421</v>
      </c>
      <c r="BS43" s="22">
        <f t="shared" si="9"/>
        <v>22.524344240223343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174</v>
      </c>
      <c r="BW43" s="12">
        <f>VLOOKUP(A43,'Données projet'!$A$113:$I$133,9,0)</f>
        <v>8.1</v>
      </c>
      <c r="BX43" s="12">
        <f t="array" ref="BX43">INDEX(BW:BW,MIN(IF(ISNUMBER(BW43:BW239),ROW(BW43:BW239),"")))</f>
        <v>8.1</v>
      </c>
      <c r="BY43" s="12">
        <f>IF('Données projet'!$A$114&gt;35,BY42+BX43-CG42,IF(A43&lt;'Données projet'!$A$114,$BV$205^A43,IF(A43='Données projet'!$A$114,'Données projet'!$B$114,BY42+BX43-CG42)))</f>
        <v>173.99999999999997</v>
      </c>
      <c r="BZ43" s="13">
        <f>BY43*VLOOKUP('Données projet'!$B$12,Paramètres!$A$1:$I$89,3,0)*VLOOKUP('Données projet'!$B$12,Paramètres!$A$1:$I$89,5,0)</f>
        <v>127.57679999999998</v>
      </c>
      <c r="CA43" s="13">
        <f t="shared" si="39"/>
        <v>33.435817264319823</v>
      </c>
      <c r="CB43" s="20">
        <f t="shared" si="10"/>
        <v>280.43030840202363</v>
      </c>
      <c r="CC43" s="59">
        <f t="shared" si="11"/>
        <v>573.76364173535694</v>
      </c>
      <c r="CD43" s="59">
        <f ca="1">AVERAGE(OFFSET($CC$3,0,0,'Données projet'!$E$12+1,1))-AVERAGE(OFFSET($H$3,0,0,'Données projet'!$E$12+1,1))</f>
        <v>124.15919323713428</v>
      </c>
      <c r="CE43" s="59">
        <f t="shared" si="40"/>
        <v>157.85954678210715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42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3.8092889314063685</v>
      </c>
      <c r="CM43" s="21">
        <f>EXP(-LN(2)/2)*CM42+(1-EXP(-LN(2)/2))/(LN(2)/2)*CG43*CJ43*VLOOKUP('Données projet'!$B$12,Paramètres!$A$1:$I$89,3,0)*0.475*44/12</f>
        <v>0.23054167959510147</v>
      </c>
      <c r="CN43" s="22">
        <f t="shared" si="12"/>
        <v>4.0398306110014701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5.6</v>
      </c>
      <c r="N44" s="13">
        <f>IF('Données projet'!$A$36&gt;35,N43+M44-V43,IF(A44&lt;'Données projet'!$A$36,$K$205^A44,IF(A44='Données projet'!$A$36,'Données projet'!$B$36,N43+M44-V43)))</f>
        <v>84.600000000000009</v>
      </c>
      <c r="O44" s="13">
        <f>N44*VLOOKUP('Données projet'!$B$9,Paramètres!$A$1:$I$89,3,0)*VLOOKUP('Données projet'!$B$9,Paramètres!$A$1:$I$89,5,0)</f>
        <v>76.546080000000003</v>
      </c>
      <c r="P44" s="13">
        <f t="shared" si="33"/>
        <v>21.290525837973497</v>
      </c>
      <c r="Q44" s="20">
        <f t="shared" si="53"/>
        <v>170.39875516780384</v>
      </c>
      <c r="R44" s="59">
        <f t="shared" si="0"/>
        <v>463.73208850113713</v>
      </c>
      <c r="S44" s="59">
        <f ca="1">AVERAGE(OFFSET($R$3,0,0,'Données projet'!$E$9+1,1))-AVERAGE(OFFSET($H$3,0,0,'Données projet'!$E$9+1,1))</f>
        <v>138.8931001150624</v>
      </c>
      <c r="T44" s="59">
        <f t="shared" si="34"/>
        <v>48.964659354096625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7.2</v>
      </c>
      <c r="AI44" s="13">
        <f>IF('Données projet'!$A$62&gt;35,AI43+AH44-AQ43,IF(A44&lt;'Données projet'!$A$62,$AF$205^A44,IF(A44='Données projet'!$A$62,'Données projet'!$B$62,AI43+AH44-AQ43)))</f>
        <v>149.19999999999985</v>
      </c>
      <c r="AJ44" s="13">
        <f>AI44*VLOOKUP('Données projet'!$B$10,Paramètres!$A$1:$I$89,3,0)*VLOOKUP('Données projet'!$B$10,Paramètres!$A$1:$I$89,5,0)</f>
        <v>130.34111999999988</v>
      </c>
      <c r="AK44" s="13">
        <f t="shared" si="35"/>
        <v>34.075170122989881</v>
      </c>
      <c r="AL44" s="20">
        <f t="shared" si="4"/>
        <v>286.35837196420709</v>
      </c>
      <c r="AM44" s="59">
        <f t="shared" si="5"/>
        <v>579.69170529754047</v>
      </c>
      <c r="AN44" s="59">
        <f ca="1">AVERAGE(OFFSET($AM$3,0,0,'Données projet'!$E$10+1,1))-AVERAGE(OFFSET($H$3,0,0,'Données projet'!$E$10+1,1))</f>
        <v>191.94797389630673</v>
      </c>
      <c r="AO44" s="59">
        <f t="shared" si="36"/>
        <v>273.52540822767878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2.0706679124360345</v>
      </c>
      <c r="AV44" s="21">
        <f>EXP(-LN(2)/25)*AV43+(1-EXP(-LN(2)/25))/(LN(2)/25)*Calculateur!AQ44*Calculateur!AS44*VLOOKUP('Données projet'!$B$10,Paramètres!$A$1:$I$89,3,0)*0.475*44/12</f>
        <v>10.355378325235632</v>
      </c>
      <c r="AW44" s="21">
        <f>EXP(-LN(2)/2)*AW43+(1-EXP(-LN(2)/2))/(LN(2)/2)*AQ44*AT44*VLOOKUP('Données projet'!$B$10,Paramètres!$A$1:$I$89,3,0)*0.475*44/12</f>
        <v>0.51272009796238582</v>
      </c>
      <c r="AX44" s="21">
        <f t="shared" si="6"/>
        <v>12.938766335634053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17.399999999999999</v>
      </c>
      <c r="BD44" s="12">
        <f>IF('Données projet'!$A$88&gt;35,BD43+BC44-BL43,IF(A44&lt;'Données projet'!$A$88,$BA$205^A44,IF(A44='Données projet'!$A$88,'Données projet'!$B$88,BD43+BC44-BL43)))</f>
        <v>298.39999999999992</v>
      </c>
      <c r="BE44" s="13">
        <f>BD44*VLOOKUP('Données projet'!$B$11,Paramètres!$A$1:$I$89,3,0)*VLOOKUP('Données projet'!$B$11,Paramètres!$A$1:$I$89,5,0)</f>
        <v>166.80559999999994</v>
      </c>
      <c r="BF44" s="13">
        <f t="shared" si="37"/>
        <v>42.373796309738111</v>
      </c>
      <c r="BG44" s="20">
        <f t="shared" si="7"/>
        <v>364.32078190612714</v>
      </c>
      <c r="BH44" s="59">
        <f t="shared" si="8"/>
        <v>657.65411523946045</v>
      </c>
      <c r="BI44" s="59">
        <f ca="1">AVERAGE(OFFSET($BH$3,0,0,'Données projet'!$E$11+1,1))-AVERAGE(OFFSET($H$3,0,0,'Données projet'!$E$11+1,1))</f>
        <v>279.98352834501759</v>
      </c>
      <c r="BJ44" s="59">
        <f t="shared" si="38"/>
        <v>281.30062655265488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3.2145449447091656</v>
      </c>
      <c r="BQ44" s="21">
        <f>EXP(-LN(2)/25)*BQ43+(1-EXP(-LN(2)/25))/(LN(2)/25)*Calculateur!BL44*Calculateur!BN44*VLOOKUP('Données projet'!$B$11,Paramètres!$A$1:$I$89,3,0)*0.475*44/12</f>
        <v>17.85852121650451</v>
      </c>
      <c r="BR44" s="21">
        <f>EXP(-LN(2)/2)*BR43+(1-EXP(-LN(2)/2))/(LN(2)/2)*BL44*BO44*VLOOKUP('Données projet'!$B$11,Paramètres!$A$1:$I$89,3,0)*0.475*44/12</f>
        <v>0.62572631198593653</v>
      </c>
      <c r="BS44" s="22">
        <f t="shared" si="9"/>
        <v>21.69879247319961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</v>
      </c>
      <c r="BY44" s="12">
        <f>IF('Données projet'!$A$114&gt;35,BY43+BX44-CG43,IF(A44&lt;'Données projet'!$A$114,$BV$205^A44,IF(A44='Données projet'!$A$114,'Données projet'!$B$114,BY43+BX44-CG43)))</f>
        <v>137.99999999999997</v>
      </c>
      <c r="BZ44" s="13">
        <f>BY44*VLOOKUP('Données projet'!$B$12,Paramètres!$A$1:$I$89,3,0)*VLOOKUP('Données projet'!$B$12,Paramètres!$A$1:$I$89,5,0)</f>
        <v>101.18159999999997</v>
      </c>
      <c r="CA44" s="13">
        <f t="shared" si="39"/>
        <v>27.243304715412336</v>
      </c>
      <c r="CB44" s="20">
        <f t="shared" si="10"/>
        <v>223.6733757126764</v>
      </c>
      <c r="CC44" s="59">
        <f t="shared" si="11"/>
        <v>517.00670904600975</v>
      </c>
      <c r="CD44" s="59">
        <f ca="1">AVERAGE(OFFSET($CC$3,0,0,'Données projet'!$E$12+1,1))-AVERAGE(OFFSET($H$3,0,0,'Données projet'!$E$12+1,1))</f>
        <v>124.15919323713428</v>
      </c>
      <c r="CE44" s="59">
        <f t="shared" si="40"/>
        <v>157.85954678210715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3.7051237252552629</v>
      </c>
      <c r="CM44" s="21">
        <f>EXP(-LN(2)/2)*CM43+(1-EXP(-LN(2)/2))/(LN(2)/2)*CG44*CJ44*VLOOKUP('Données projet'!$B$12,Paramètres!$A$1:$I$89,3,0)*0.475*44/12</f>
        <v>0.16301758498783256</v>
      </c>
      <c r="CN44" s="22">
        <f t="shared" si="12"/>
        <v>3.8681413102430953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5.6</v>
      </c>
      <c r="N45" s="13">
        <f>IF('Données projet'!$A$36&gt;35,N44+M45-V44,IF(A45&lt;'Données projet'!$A$36,$K$205^A45,IF(A45='Données projet'!$A$36,'Données projet'!$B$36,N44+M45-V44)))</f>
        <v>90.2</v>
      </c>
      <c r="O45" s="13">
        <f>N45*VLOOKUP('Données projet'!$B$9,Paramètres!$A$1:$I$89,3,0)*VLOOKUP('Données projet'!$B$9,Paramètres!$A$1:$I$89,5,0)</f>
        <v>81.612960000000001</v>
      </c>
      <c r="P45" s="13">
        <f t="shared" si="33"/>
        <v>22.531101896247538</v>
      </c>
      <c r="Q45" s="20">
        <f t="shared" si="53"/>
        <v>181.38424113596443</v>
      </c>
      <c r="R45" s="59">
        <f t="shared" si="0"/>
        <v>474.71757446929774</v>
      </c>
      <c r="S45" s="59">
        <f ca="1">AVERAGE(OFFSET($R$3,0,0,'Données projet'!$E$9+1,1))-AVERAGE(OFFSET($H$3,0,0,'Données projet'!$E$9+1,1))</f>
        <v>138.8931001150624</v>
      </c>
      <c r="T45" s="59">
        <f t="shared" si="34"/>
        <v>48.964659354096625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7.2</v>
      </c>
      <c r="AI45" s="13">
        <f>IF('Données projet'!$A$62&gt;35,AI44+AH45-AQ44,IF(A45&lt;'Données projet'!$A$62,$AF$205^A45,IF(A45='Données projet'!$A$62,'Données projet'!$B$62,AI44+AH45-AQ44)))</f>
        <v>156.39999999999984</v>
      </c>
      <c r="AJ45" s="13">
        <f>AI45*VLOOKUP('Données projet'!$B$10,Paramètres!$A$1:$I$89,3,0)*VLOOKUP('Données projet'!$B$10,Paramètres!$A$1:$I$89,5,0)</f>
        <v>136.63103999999987</v>
      </c>
      <c r="AK45" s="13">
        <f t="shared" si="35"/>
        <v>35.524133363879926</v>
      </c>
      <c r="AL45" s="20">
        <f t="shared" si="4"/>
        <v>299.8369269420906</v>
      </c>
      <c r="AM45" s="59">
        <f t="shared" si="5"/>
        <v>593.17026027542397</v>
      </c>
      <c r="AN45" s="59">
        <f ca="1">AVERAGE(OFFSET($AM$3,0,0,'Données projet'!$E$10+1,1))-AVERAGE(OFFSET($H$3,0,0,'Données projet'!$E$10+1,1))</f>
        <v>191.94797389630673</v>
      </c>
      <c r="AO45" s="59">
        <f t="shared" si="36"/>
        <v>273.52540822767878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2.0300633776558814</v>
      </c>
      <c r="AV45" s="21">
        <f>EXP(-LN(2)/25)*AV44+(1-EXP(-LN(2)/25))/(LN(2)/25)*Calculateur!AQ45*Calculateur!AS45*VLOOKUP('Données projet'!$B$10,Paramètres!$A$1:$I$89,3,0)*0.475*44/12</f>
        <v>10.072209960366385</v>
      </c>
      <c r="AW45" s="21">
        <f>EXP(-LN(2)/2)*AW44+(1-EXP(-LN(2)/2))/(LN(2)/2)*AQ45*AT45*VLOOKUP('Données projet'!$B$10,Paramètres!$A$1:$I$89,3,0)*0.475*44/12</f>
        <v>0.36254785811983398</v>
      </c>
      <c r="AX45" s="21">
        <f t="shared" si="6"/>
        <v>12.4648211961421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17.399999999999999</v>
      </c>
      <c r="BD45" s="12">
        <f>IF('Données projet'!$A$88&gt;35,BD44+BC45-BL44,IF(A45&lt;'Données projet'!$A$88,$BA$205^A45,IF(A45='Données projet'!$A$88,'Données projet'!$B$88,BD44+BC45-BL44)))</f>
        <v>315.7999999999999</v>
      </c>
      <c r="BE45" s="13">
        <f>BD45*VLOOKUP('Données projet'!$B$11,Paramètres!$A$1:$I$89,3,0)*VLOOKUP('Données projet'!$B$11,Paramètres!$A$1:$I$89,5,0)</f>
        <v>176.53219999999996</v>
      </c>
      <c r="BF45" s="13">
        <f t="shared" si="37"/>
        <v>44.549793218265783</v>
      </c>
      <c r="BG45" s="20">
        <f t="shared" si="7"/>
        <v>385.05113818847946</v>
      </c>
      <c r="BH45" s="59">
        <f t="shared" si="8"/>
        <v>678.38447152181277</v>
      </c>
      <c r="BI45" s="59">
        <f ca="1">AVERAGE(OFFSET($BH$3,0,0,'Données projet'!$E$11+1,1))-AVERAGE(OFFSET($H$3,0,0,'Données projet'!$E$11+1,1))</f>
        <v>279.98352834501759</v>
      </c>
      <c r="BJ45" s="59">
        <f t="shared" si="38"/>
        <v>281.30062655265488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3.1515096790222343</v>
      </c>
      <c r="BQ45" s="21">
        <f>EXP(-LN(2)/25)*BQ44+(1-EXP(-LN(2)/25))/(LN(2)/25)*Calculateur!BL45*Calculateur!BN45*VLOOKUP('Données projet'!$B$11,Paramètres!$A$1:$I$89,3,0)*0.475*44/12</f>
        <v>17.37017901470038</v>
      </c>
      <c r="BR45" s="21">
        <f>EXP(-LN(2)/2)*BR44+(1-EXP(-LN(2)/2))/(LN(2)/2)*BL45*BO45*VLOOKUP('Données projet'!$B$11,Paramètres!$A$1:$I$89,3,0)*0.475*44/12</f>
        <v>0.442455318372105</v>
      </c>
      <c r="BS45" s="22">
        <f t="shared" si="9"/>
        <v>20.964144012094717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</v>
      </c>
      <c r="BY45" s="12">
        <f>IF('Données projet'!$A$114&gt;35,BY44+BX45-CG44,IF(A45&lt;'Données projet'!$A$114,$BV$205^A45,IF(A45='Données projet'!$A$114,'Données projet'!$B$114,BY44+BX45-CG44)))</f>
        <v>143.99999999999997</v>
      </c>
      <c r="BZ45" s="13">
        <f>BY45*VLOOKUP('Données projet'!$B$12,Paramètres!$A$1:$I$89,3,0)*VLOOKUP('Données projet'!$B$12,Paramètres!$A$1:$I$89,5,0)</f>
        <v>105.58079999999997</v>
      </c>
      <c r="CA45" s="13">
        <f t="shared" si="39"/>
        <v>28.287314908258288</v>
      </c>
      <c r="CB45" s="20">
        <f t="shared" si="10"/>
        <v>233.15363346521647</v>
      </c>
      <c r="CC45" s="59">
        <f t="shared" si="11"/>
        <v>526.48696679854982</v>
      </c>
      <c r="CD45" s="59">
        <f ca="1">AVERAGE(OFFSET($CC$3,0,0,'Données projet'!$E$12+1,1))-AVERAGE(OFFSET($H$3,0,0,'Données projet'!$E$12+1,1))</f>
        <v>124.15919323713428</v>
      </c>
      <c r="CE45" s="59">
        <f t="shared" si="40"/>
        <v>157.85954678210715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3.6038069221441691</v>
      </c>
      <c r="CM45" s="21">
        <f>EXP(-LN(2)/2)*CM44+(1-EXP(-LN(2)/2))/(LN(2)/2)*CG45*CJ45*VLOOKUP('Données projet'!$B$12,Paramètres!$A$1:$I$89,3,0)*0.475*44/12</f>
        <v>0.11527083979755073</v>
      </c>
      <c r="CN45" s="22">
        <f t="shared" si="12"/>
        <v>3.7190777619417199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5.6</v>
      </c>
      <c r="N46" s="13">
        <f>IF('Données projet'!$A$36&gt;35,N45+M46-V45,IF(A46&lt;'Données projet'!$A$36,$K$205^A46,IF(A46='Données projet'!$A$36,'Données projet'!$B$36,N45+M46-V45)))</f>
        <v>95.8</v>
      </c>
      <c r="O46" s="13">
        <f>N46*VLOOKUP('Données projet'!$B$9,Paramètres!$A$1:$I$89,3,0)*VLOOKUP('Données projet'!$B$9,Paramètres!$A$1:$I$89,5,0)</f>
        <v>86.679839999999999</v>
      </c>
      <c r="P46" s="13">
        <f t="shared" si="33"/>
        <v>23.762739053789723</v>
      </c>
      <c r="Q46" s="20">
        <f t="shared" si="53"/>
        <v>192.35415851868379</v>
      </c>
      <c r="R46" s="59">
        <f t="shared" si="0"/>
        <v>485.6874918520171</v>
      </c>
      <c r="S46" s="59">
        <f ca="1">AVERAGE(OFFSET($R$3,0,0,'Données projet'!$E$9+1,1))-AVERAGE(OFFSET($H$3,0,0,'Données projet'!$E$9+1,1))</f>
        <v>138.8931001150624</v>
      </c>
      <c r="T46" s="59">
        <f t="shared" si="34"/>
        <v>48.964659354096625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7.2</v>
      </c>
      <c r="AI46" s="13">
        <f>IF('Données projet'!$A$62&gt;35,AI45+AH46-AQ45,IF(A46&lt;'Données projet'!$A$62,$AF$205^A46,IF(A46='Données projet'!$A$62,'Données projet'!$B$62,AI45+AH46-AQ45)))</f>
        <v>163.59999999999982</v>
      </c>
      <c r="AJ46" s="13">
        <f>AI46*VLOOKUP('Données projet'!$B$10,Paramètres!$A$1:$I$89,3,0)*VLOOKUP('Données projet'!$B$10,Paramètres!$A$1:$I$89,5,0)</f>
        <v>142.92095999999987</v>
      </c>
      <c r="AK46" s="13">
        <f t="shared" si="35"/>
        <v>36.965350113713619</v>
      </c>
      <c r="AL46" s="20">
        <f t="shared" si="4"/>
        <v>313.30199011471763</v>
      </c>
      <c r="AM46" s="59">
        <f t="shared" si="5"/>
        <v>606.63532344805094</v>
      </c>
      <c r="AN46" s="59">
        <f ca="1">AVERAGE(OFFSET($AM$3,0,0,'Données projet'!$E$10+1,1))-AVERAGE(OFFSET($H$3,0,0,'Données projet'!$E$10+1,1))</f>
        <v>191.94797389630673</v>
      </c>
      <c r="AO46" s="59">
        <f t="shared" si="36"/>
        <v>273.52540822767878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1.9902550730364463</v>
      </c>
      <c r="AV46" s="21">
        <f>EXP(-LN(2)/25)*AV45+(1-EXP(-LN(2)/25))/(LN(2)/25)*Calculateur!AQ46*Calculateur!AS46*VLOOKUP('Données projet'!$B$10,Paramètres!$A$1:$I$89,3,0)*0.475*44/12</f>
        <v>9.7967848493256646</v>
      </c>
      <c r="AW46" s="21">
        <f>EXP(-LN(2)/2)*AW45+(1-EXP(-LN(2)/2))/(LN(2)/2)*AQ46*AT46*VLOOKUP('Données projet'!$B$10,Paramètres!$A$1:$I$89,3,0)*0.475*44/12</f>
        <v>0.25636004898119291</v>
      </c>
      <c r="AX46" s="21">
        <f t="shared" si="6"/>
        <v>12.043399971343304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17.399999999999999</v>
      </c>
      <c r="BD46" s="12">
        <f>IF('Données projet'!$A$88&gt;35,BD45+BC46-BL45,IF(A46&lt;'Données projet'!$A$88,$BA$205^A46,IF(A46='Données projet'!$A$88,'Données projet'!$B$88,BD45+BC46-BL45)))</f>
        <v>333.19999999999987</v>
      </c>
      <c r="BE46" s="13">
        <f>BD46*VLOOKUP('Données projet'!$B$11,Paramètres!$A$1:$I$89,3,0)*VLOOKUP('Données projet'!$B$11,Paramètres!$A$1:$I$89,5,0)</f>
        <v>186.25879999999995</v>
      </c>
      <c r="BF46" s="13">
        <f t="shared" si="37"/>
        <v>46.711871753529699</v>
      </c>
      <c r="BG46" s="20">
        <f t="shared" si="7"/>
        <v>405.75725330406408</v>
      </c>
      <c r="BH46" s="59">
        <f t="shared" si="8"/>
        <v>699.09058663739734</v>
      </c>
      <c r="BI46" s="59">
        <f ca="1">AVERAGE(OFFSET($BH$3,0,0,'Données projet'!$E$11+1,1))-AVERAGE(OFFSET($H$3,0,0,'Données projet'!$E$11+1,1))</f>
        <v>279.98352834501759</v>
      </c>
      <c r="BJ46" s="59">
        <f t="shared" si="38"/>
        <v>281.30062655265488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3.089710496447708</v>
      </c>
      <c r="BQ46" s="21">
        <f>EXP(-LN(2)/25)*BQ45+(1-EXP(-LN(2)/25))/(LN(2)/25)*Calculateur!BL46*Calculateur!BN46*VLOOKUP('Données projet'!$B$11,Paramètres!$A$1:$I$89,3,0)*0.475*44/12</f>
        <v>16.895190556085385</v>
      </c>
      <c r="BR46" s="21">
        <f>EXP(-LN(2)/2)*BR45+(1-EXP(-LN(2)/2))/(LN(2)/2)*BL46*BO46*VLOOKUP('Données projet'!$B$11,Paramètres!$A$1:$I$89,3,0)*0.475*44/12</f>
        <v>0.31286315599296827</v>
      </c>
      <c r="BS46" s="22">
        <f t="shared" si="9"/>
        <v>20.297764208526061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</v>
      </c>
      <c r="BY46" s="12">
        <f>IF('Données projet'!$A$114&gt;35,BY45+BX46-CG45,IF(A46&lt;'Données projet'!$A$114,$BV$205^A46,IF(A46='Données projet'!$A$114,'Données projet'!$B$114,BY45+BX46-CG45)))</f>
        <v>149.99999999999997</v>
      </c>
      <c r="BZ46" s="13">
        <f>BY46*VLOOKUP('Données projet'!$B$12,Paramètres!$A$1:$I$89,3,0)*VLOOKUP('Données projet'!$B$12,Paramètres!$A$1:$I$89,5,0)</f>
        <v>109.97999999999998</v>
      </c>
      <c r="CA46" s="13">
        <f t="shared" si="39"/>
        <v>29.326272366698234</v>
      </c>
      <c r="CB46" s="20">
        <f t="shared" si="10"/>
        <v>242.62509103866606</v>
      </c>
      <c r="CC46" s="59">
        <f t="shared" si="11"/>
        <v>535.9584243719994</v>
      </c>
      <c r="CD46" s="59">
        <f ca="1">AVERAGE(OFFSET($CC$3,0,0,'Données projet'!$E$12+1,1))-AVERAGE(OFFSET($H$3,0,0,'Données projet'!$E$12+1,1))</f>
        <v>124.15919323713428</v>
      </c>
      <c r="CE46" s="59">
        <f t="shared" si="40"/>
        <v>157.85954678210715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3.5052606323421673</v>
      </c>
      <c r="CM46" s="21">
        <f>EXP(-LN(2)/2)*CM45+(1-EXP(-LN(2)/2))/(LN(2)/2)*CG46*CJ46*VLOOKUP('Données projet'!$B$12,Paramètres!$A$1:$I$89,3,0)*0.475*44/12</f>
        <v>8.1508792493916279E-2</v>
      </c>
      <c r="CN46" s="22">
        <f t="shared" si="12"/>
        <v>3.5867694248360835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5.6</v>
      </c>
      <c r="N47" s="13">
        <f>IF('Données projet'!$A$36&gt;35,N46+M47-V46,IF(A47&lt;'Données projet'!$A$36,$K$205^A47,IF(A47='Données projet'!$A$36,'Données projet'!$B$36,N46+M47-V46)))</f>
        <v>101.39999999999999</v>
      </c>
      <c r="O47" s="13">
        <f>N47*VLOOKUP('Données projet'!$B$9,Paramètres!$A$1:$I$89,3,0)*VLOOKUP('Données projet'!$B$9,Paramètres!$A$1:$I$89,5,0)</f>
        <v>91.746719999999982</v>
      </c>
      <c r="P47" s="13">
        <f t="shared" si="33"/>
        <v>24.986019358738364</v>
      </c>
      <c r="Q47" s="20">
        <f t="shared" si="53"/>
        <v>203.30952104980258</v>
      </c>
      <c r="R47" s="59">
        <f t="shared" si="0"/>
        <v>496.6428543831359</v>
      </c>
      <c r="S47" s="59">
        <f ca="1">AVERAGE(OFFSET($R$3,0,0,'Données projet'!$E$9+1,1))-AVERAGE(OFFSET($H$3,0,0,'Données projet'!$E$9+1,1))</f>
        <v>138.8931001150624</v>
      </c>
      <c r="T47" s="59">
        <f t="shared" si="34"/>
        <v>48.964659354096625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7.2</v>
      </c>
      <c r="AI47" s="13">
        <f>IF('Données projet'!$A$62&gt;35,AI46+AH47-AQ46,IF(A47&lt;'Données projet'!$A$62,$AF$205^A47,IF(A47='Données projet'!$A$62,'Données projet'!$B$62,AI46+AH47-AQ46)))</f>
        <v>170.79999999999981</v>
      </c>
      <c r="AJ47" s="13">
        <f>AI47*VLOOKUP('Données projet'!$B$10,Paramètres!$A$1:$I$89,3,0)*VLOOKUP('Données projet'!$B$10,Paramètres!$A$1:$I$89,5,0)</f>
        <v>149.21087999999986</v>
      </c>
      <c r="AK47" s="13">
        <f t="shared" si="35"/>
        <v>38.399200254302187</v>
      </c>
      <c r="AL47" s="20">
        <f t="shared" si="4"/>
        <v>326.754223109576</v>
      </c>
      <c r="AM47" s="59">
        <f t="shared" si="5"/>
        <v>620.08755644290932</v>
      </c>
      <c r="AN47" s="59">
        <f ca="1">AVERAGE(OFFSET($AM$3,0,0,'Données projet'!$E$10+1,1))-AVERAGE(OFFSET($H$3,0,0,'Données projet'!$E$10+1,1))</f>
        <v>191.94797389630673</v>
      </c>
      <c r="AO47" s="59">
        <f t="shared" si="36"/>
        <v>273.52540822767878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1.95122738498993</v>
      </c>
      <c r="AV47" s="21">
        <f>EXP(-LN(2)/25)*AV46+(1-EXP(-LN(2)/25))/(LN(2)/25)*Calculateur!AQ47*Calculateur!AS47*VLOOKUP('Données projet'!$B$10,Paramètres!$A$1:$I$89,3,0)*0.475*44/12</f>
        <v>9.5288912524303306</v>
      </c>
      <c r="AW47" s="21">
        <f>EXP(-LN(2)/2)*AW46+(1-EXP(-LN(2)/2))/(LN(2)/2)*AQ47*AT47*VLOOKUP('Données projet'!$B$10,Paramètres!$A$1:$I$89,3,0)*0.475*44/12</f>
        <v>0.18127392905991699</v>
      </c>
      <c r="AX47" s="21">
        <f t="shared" si="6"/>
        <v>11.661392566480178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17.399999999999999</v>
      </c>
      <c r="BD47" s="12">
        <f>IF('Données projet'!$A$88&gt;35,BD46+BC47-BL46,IF(A47&lt;'Données projet'!$A$88,$BA$205^A47,IF(A47='Données projet'!$A$88,'Données projet'!$B$88,BD46+BC47-BL46)))</f>
        <v>350.59999999999985</v>
      </c>
      <c r="BE47" s="13">
        <f>BD47*VLOOKUP('Données projet'!$B$11,Paramètres!$A$1:$I$89,3,0)*VLOOKUP('Données projet'!$B$11,Paramètres!$A$1:$I$89,5,0)</f>
        <v>195.98539999999991</v>
      </c>
      <c r="BF47" s="13">
        <f t="shared" si="37"/>
        <v>48.860841641820492</v>
      </c>
      <c r="BG47" s="20">
        <f t="shared" si="7"/>
        <v>426.44053752617054</v>
      </c>
      <c r="BH47" s="59">
        <f t="shared" si="8"/>
        <v>719.77387085950386</v>
      </c>
      <c r="BI47" s="59">
        <f ca="1">AVERAGE(OFFSET($BH$3,0,0,'Données projet'!$E$11+1,1))-AVERAGE(OFFSET($H$3,0,0,'Données projet'!$E$11+1,1))</f>
        <v>279.98352834501759</v>
      </c>
      <c r="BJ47" s="59">
        <f t="shared" si="38"/>
        <v>281.30062655265488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3.0291231581496887</v>
      </c>
      <c r="BQ47" s="21">
        <f>EXP(-LN(2)/25)*BQ46+(1-EXP(-LN(2)/25))/(LN(2)/25)*Calculateur!BL47*Calculateur!BN47*VLOOKUP('Données projet'!$B$11,Paramètres!$A$1:$I$89,3,0)*0.475*44/12</f>
        <v>16.433190681849773</v>
      </c>
      <c r="BR47" s="21">
        <f>EXP(-LN(2)/2)*BR46+(1-EXP(-LN(2)/2))/(LN(2)/2)*BL47*BO47*VLOOKUP('Données projet'!$B$11,Paramètres!$A$1:$I$89,3,0)*0.475*44/12</f>
        <v>0.2212276591860525</v>
      </c>
      <c r="BS47" s="22">
        <f t="shared" si="9"/>
        <v>19.683541499185512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</v>
      </c>
      <c r="BY47" s="12">
        <f>IF('Données projet'!$A$114&gt;35,BY46+BX47-CG46,IF(A47&lt;'Données projet'!$A$114,$BV$205^A47,IF(A47='Données projet'!$A$114,'Données projet'!$B$114,BY46+BX47-CG46)))</f>
        <v>155.99999999999997</v>
      </c>
      <c r="BZ47" s="13">
        <f>BY47*VLOOKUP('Données projet'!$B$12,Paramètres!$A$1:$I$89,3,0)*VLOOKUP('Données projet'!$B$12,Paramètres!$A$1:$I$89,5,0)</f>
        <v>114.37919999999997</v>
      </c>
      <c r="CA47" s="13">
        <f t="shared" si="39"/>
        <v>30.360402323573549</v>
      </c>
      <c r="CB47" s="20">
        <f t="shared" si="10"/>
        <v>252.08814071355721</v>
      </c>
      <c r="CC47" s="59">
        <f t="shared" si="11"/>
        <v>545.42147404689058</v>
      </c>
      <c r="CD47" s="59">
        <f ca="1">AVERAGE(OFFSET($CC$3,0,0,'Données projet'!$E$12+1,1))-AVERAGE(OFFSET($H$3,0,0,'Données projet'!$E$12+1,1))</f>
        <v>124.15919323713428</v>
      </c>
      <c r="CE47" s="59">
        <f t="shared" si="40"/>
        <v>157.85954678210715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3.4094090960171255</v>
      </c>
      <c r="CM47" s="21">
        <f>EXP(-LN(2)/2)*CM46+(1-EXP(-LN(2)/2))/(LN(2)/2)*CG47*CJ47*VLOOKUP('Données projet'!$B$12,Paramètres!$A$1:$I$89,3,0)*0.475*44/12</f>
        <v>5.7635419898775367E-2</v>
      </c>
      <c r="CN47" s="22">
        <f t="shared" si="12"/>
        <v>3.4670445159159007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5.6</v>
      </c>
      <c r="N48" s="13">
        <f>IF('Données projet'!$A$36&gt;35,N47+M48-V47,IF(A48&lt;'Données projet'!$A$36,$K$205^A48,IF(A48='Données projet'!$A$36,'Données projet'!$B$36,N47+M48-V47)))</f>
        <v>106.99999999999999</v>
      </c>
      <c r="O48" s="13">
        <f>N48*VLOOKUP('Données projet'!$B$9,Paramètres!$A$1:$I$89,3,0)*VLOOKUP('Données projet'!$B$9,Paramètres!$A$1:$I$89,5,0)</f>
        <v>96.81359999999998</v>
      </c>
      <c r="P48" s="13">
        <f t="shared" si="33"/>
        <v>26.201456938925315</v>
      </c>
      <c r="Q48" s="20">
        <f t="shared" si="53"/>
        <v>214.25122416862823</v>
      </c>
      <c r="R48" s="59">
        <f t="shared" si="0"/>
        <v>507.58455750196151</v>
      </c>
      <c r="S48" s="59">
        <f ca="1">AVERAGE(OFFSET($R$3,0,0,'Données projet'!$E$9+1,1))-AVERAGE(OFFSET($H$3,0,0,'Données projet'!$E$9+1,1))</f>
        <v>138.8931001150624</v>
      </c>
      <c r="T48" s="59">
        <f t="shared" si="34"/>
        <v>48.964659354096625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7.2</v>
      </c>
      <c r="AI48" s="13">
        <f>IF('Données projet'!$A$62&gt;35,AI47+AH48-AQ47,IF(A48&lt;'Données projet'!$A$62,$AF$205^A48,IF(A48='Données projet'!$A$62,'Données projet'!$B$62,AI47+AH48-AQ47)))</f>
        <v>177.9999999999998</v>
      </c>
      <c r="AJ48" s="13">
        <f>AI48*VLOOKUP('Données projet'!$B$10,Paramètres!$A$1:$I$89,3,0)*VLOOKUP('Données projet'!$B$10,Paramètres!$A$1:$I$89,5,0)</f>
        <v>155.50079999999983</v>
      </c>
      <c r="AK48" s="13">
        <f t="shared" si="35"/>
        <v>39.826029828200298</v>
      </c>
      <c r="AL48" s="20">
        <f t="shared" si="4"/>
        <v>340.19422861744857</v>
      </c>
      <c r="AM48" s="59">
        <f t="shared" si="5"/>
        <v>633.52756195078189</v>
      </c>
      <c r="AN48" s="59">
        <f ca="1">AVERAGE(OFFSET($AM$3,0,0,'Données projet'!$E$10+1,1))-AVERAGE(OFFSET($H$3,0,0,'Données projet'!$E$10+1,1))</f>
        <v>191.94797389630673</v>
      </c>
      <c r="AO48" s="59">
        <f t="shared" si="36"/>
        <v>273.52540822767878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1.9129650061014667</v>
      </c>
      <c r="AV48" s="21">
        <f>EXP(-LN(2)/25)*AV47+(1-EXP(-LN(2)/25))/(LN(2)/25)*Calculateur!AQ48*Calculateur!AS48*VLOOKUP('Données projet'!$B$10,Paramètres!$A$1:$I$89,3,0)*0.475*44/12</f>
        <v>9.2683232200300107</v>
      </c>
      <c r="AW48" s="21">
        <f>EXP(-LN(2)/2)*AW47+(1-EXP(-LN(2)/2))/(LN(2)/2)*AQ48*AT48*VLOOKUP('Données projet'!$B$10,Paramètres!$A$1:$I$89,3,0)*0.475*44/12</f>
        <v>0.12818002449059646</v>
      </c>
      <c r="AX48" s="21">
        <f t="shared" si="6"/>
        <v>11.309468250622075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17.399999999999999</v>
      </c>
      <c r="BD48" s="12">
        <f>IF('Données projet'!$A$88&gt;35,BD47+BC48-BL47,IF(A48&lt;'Données projet'!$A$88,$BA$205^A48,IF(A48='Données projet'!$A$88,'Données projet'!$B$88,BD47+BC48-BL47)))</f>
        <v>367.99999999999983</v>
      </c>
      <c r="BE48" s="13">
        <f>BD48*VLOOKUP('Données projet'!$B$11,Paramètres!$A$1:$I$89,3,0)*VLOOKUP('Données projet'!$B$11,Paramètres!$A$1:$I$89,5,0)</f>
        <v>205.7119999999999</v>
      </c>
      <c r="BF48" s="13">
        <f t="shared" si="37"/>
        <v>50.99742769693372</v>
      </c>
      <c r="BG48" s="20">
        <f t="shared" si="7"/>
        <v>447.10225323882605</v>
      </c>
      <c r="BH48" s="59">
        <f t="shared" si="8"/>
        <v>740.43558657215931</v>
      </c>
      <c r="BI48" s="59">
        <f ca="1">AVERAGE(OFFSET($BH$3,0,0,'Données projet'!$E$11+1,1))-AVERAGE(OFFSET($H$3,0,0,'Données projet'!$E$11+1,1))</f>
        <v>279.98352834501759</v>
      </c>
      <c r="BJ48" s="59">
        <f t="shared" si="38"/>
        <v>281.30062655265488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2.9697239006010663</v>
      </c>
      <c r="BQ48" s="21">
        <f>EXP(-LN(2)/25)*BQ47+(1-EXP(-LN(2)/25))/(LN(2)/25)*Calculateur!BL48*Calculateur!BN48*VLOOKUP('Données projet'!$B$11,Paramètres!$A$1:$I$89,3,0)*0.475*44/12</f>
        <v>15.983824218470652</v>
      </c>
      <c r="BR48" s="21">
        <f>EXP(-LN(2)/2)*BR47+(1-EXP(-LN(2)/2))/(LN(2)/2)*BL48*BO48*VLOOKUP('Données projet'!$B$11,Paramètres!$A$1:$I$89,3,0)*0.475*44/12</f>
        <v>0.15643157799648413</v>
      </c>
      <c r="BS48" s="22">
        <f t="shared" si="9"/>
        <v>19.109979697068205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6</v>
      </c>
      <c r="BY48" s="12">
        <f>IF('Données projet'!$A$114&gt;35,BY47+BX48-CG47,IF(A48&lt;'Données projet'!$A$114,$BV$205^A48,IF(A48='Données projet'!$A$114,'Données projet'!$B$114,BY47+BX48-CG47)))</f>
        <v>161.99999999999997</v>
      </c>
      <c r="BZ48" s="13">
        <f>BY48*VLOOKUP('Données projet'!$B$12,Paramètres!$A$1:$I$89,3,0)*VLOOKUP('Données projet'!$B$12,Paramètres!$A$1:$I$89,5,0)</f>
        <v>118.77839999999998</v>
      </c>
      <c r="CA48" s="13">
        <f t="shared" si="39"/>
        <v>31.389911704951505</v>
      </c>
      <c r="CB48" s="20">
        <f t="shared" si="10"/>
        <v>261.54314288612386</v>
      </c>
      <c r="CC48" s="59">
        <f t="shared" si="11"/>
        <v>554.87647621945712</v>
      </c>
      <c r="CD48" s="59">
        <f ca="1">AVERAGE(OFFSET($CC$3,0,0,'Données projet'!$E$12+1,1))-AVERAGE(OFFSET($H$3,0,0,'Données projet'!$E$12+1,1))</f>
        <v>124.15919323713428</v>
      </c>
      <c r="CE48" s="59">
        <f t="shared" si="40"/>
        <v>157.85954678210715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3.3161786249935052</v>
      </c>
      <c r="CM48" s="21">
        <f>EXP(-LN(2)/2)*CM47+(1-EXP(-LN(2)/2))/(LN(2)/2)*CG48*CJ48*VLOOKUP('Données projet'!$B$12,Paramètres!$A$1:$I$89,3,0)*0.475*44/12</f>
        <v>4.075439624695814E-2</v>
      </c>
      <c r="CN48" s="22">
        <f t="shared" si="12"/>
        <v>3.3569330212404633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5.6</v>
      </c>
      <c r="N49" s="13">
        <f>IF('Données projet'!$A$36&gt;35,N48+M49-V48,IF(A49&lt;'Données projet'!$A$36,$K$205^A49,IF(A49='Données projet'!$A$36,'Données projet'!$B$36,N48+M49-V48)))</f>
        <v>112.59999999999998</v>
      </c>
      <c r="O49" s="13">
        <f>N49*VLOOKUP('Données projet'!$B$9,Paramètres!$A$1:$I$89,3,0)*VLOOKUP('Données projet'!$B$9,Paramètres!$A$1:$I$89,5,0)</f>
        <v>101.88047999999996</v>
      </c>
      <c r="P49" s="13">
        <f t="shared" si="33"/>
        <v>27.409509067425631</v>
      </c>
      <c r="Q49" s="20">
        <f t="shared" si="53"/>
        <v>225.18006429243292</v>
      </c>
      <c r="R49" s="59">
        <f t="shared" si="0"/>
        <v>518.51339762576617</v>
      </c>
      <c r="S49" s="59">
        <f ca="1">AVERAGE(OFFSET($R$3,0,0,'Données projet'!$E$9+1,1))-AVERAGE(OFFSET($H$3,0,0,'Données projet'!$E$9+1,1))</f>
        <v>138.8931001150624</v>
      </c>
      <c r="T49" s="59">
        <f t="shared" si="34"/>
        <v>48.964659354096625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7.2</v>
      </c>
      <c r="AI49" s="13">
        <f>IF('Données projet'!$A$62&gt;35,AI48+AH49-AQ48,IF(A49&lt;'Données projet'!$A$62,$AF$205^A49,IF(A49='Données projet'!$A$62,'Données projet'!$B$62,AI48+AH49-AQ48)))</f>
        <v>185.19999999999979</v>
      </c>
      <c r="AJ49" s="13">
        <f>AI49*VLOOKUP('Données projet'!$B$10,Paramètres!$A$1:$I$89,3,0)*VLOOKUP('Données projet'!$B$10,Paramètres!$A$1:$I$89,5,0)</f>
        <v>161.79071999999982</v>
      </c>
      <c r="AK49" s="13">
        <f t="shared" si="35"/>
        <v>41.246155299147965</v>
      </c>
      <c r="AL49" s="20">
        <f t="shared" si="4"/>
        <v>353.62255781268237</v>
      </c>
      <c r="AM49" s="59">
        <f t="shared" si="5"/>
        <v>646.95589114601569</v>
      </c>
      <c r="AN49" s="59">
        <f ca="1">AVERAGE(OFFSET($AM$3,0,0,'Données projet'!$E$10+1,1))-AVERAGE(OFFSET($H$3,0,0,'Données projet'!$E$10+1,1))</f>
        <v>191.94797389630673</v>
      </c>
      <c r="AO49" s="59">
        <f t="shared" si="36"/>
        <v>273.52540822767878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1.8754529291252593</v>
      </c>
      <c r="AV49" s="21">
        <f>EXP(-LN(2)/25)*AV48+(1-EXP(-LN(2)/25))/(LN(2)/25)*Calculateur!AQ49*Calculateur!AS49*VLOOKUP('Données projet'!$B$10,Paramètres!$A$1:$I$89,3,0)*0.475*44/12</f>
        <v>9.0148804341783553</v>
      </c>
      <c r="AW49" s="21">
        <f>EXP(-LN(2)/2)*AW48+(1-EXP(-LN(2)/2))/(LN(2)/2)*AQ49*AT49*VLOOKUP('Données projet'!$B$10,Paramètres!$A$1:$I$89,3,0)*0.475*44/12</f>
        <v>9.0636964529958494E-2</v>
      </c>
      <c r="AX49" s="21">
        <f t="shared" si="6"/>
        <v>10.980970327833573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17.399999999999999</v>
      </c>
      <c r="BD49" s="12">
        <f>IF('Données projet'!$A$88&gt;35,BD48+BC49-BL48,IF(A49&lt;'Données projet'!$A$88,$BA$205^A49,IF(A49='Données projet'!$A$88,'Données projet'!$B$88,BD48+BC49-BL48)))</f>
        <v>385.39999999999981</v>
      </c>
      <c r="BE49" s="13">
        <f>BD49*VLOOKUP('Données projet'!$B$11,Paramètres!$A$1:$I$89,3,0)*VLOOKUP('Données projet'!$B$11,Paramètres!$A$1:$I$89,5,0)</f>
        <v>215.43859999999989</v>
      </c>
      <c r="BF49" s="13">
        <f t="shared" si="37"/>
        <v>53.122282317277623</v>
      </c>
      <c r="BG49" s="20">
        <f t="shared" si="7"/>
        <v>467.74353670259165</v>
      </c>
      <c r="BH49" s="59">
        <f t="shared" si="8"/>
        <v>761.07687003592491</v>
      </c>
      <c r="BI49" s="59">
        <f ca="1">AVERAGE(OFFSET($BH$3,0,0,'Données projet'!$E$11+1,1))-AVERAGE(OFFSET($H$3,0,0,'Données projet'!$E$11+1,1))</f>
        <v>279.98352834501759</v>
      </c>
      <c r="BJ49" s="59">
        <f t="shared" si="38"/>
        <v>281.30062655265488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2.9114894262630027</v>
      </c>
      <c r="BQ49" s="21">
        <f>EXP(-LN(2)/25)*BQ48+(1-EXP(-LN(2)/25))/(LN(2)/25)*Calculateur!BL49*Calculateur!BN49*VLOOKUP('Données projet'!$B$11,Paramètres!$A$1:$I$89,3,0)*0.475*44/12</f>
        <v>15.546745704663788</v>
      </c>
      <c r="BR49" s="21">
        <f>EXP(-LN(2)/2)*BR48+(1-EXP(-LN(2)/2))/(LN(2)/2)*BL49*BO49*VLOOKUP('Données projet'!$B$11,Paramètres!$A$1:$I$89,3,0)*0.475*44/12</f>
        <v>0.11061382959302625</v>
      </c>
      <c r="BS49" s="22">
        <f t="shared" si="9"/>
        <v>18.568848960519819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</v>
      </c>
      <c r="BY49" s="12">
        <f>IF('Données projet'!$A$114&gt;35,BY48+BX49-CG48,IF(A49&lt;'Données projet'!$A$114,$BV$205^A49,IF(A49='Données projet'!$A$114,'Données projet'!$B$114,BY48+BX49-CG48)))</f>
        <v>167.99999999999997</v>
      </c>
      <c r="BZ49" s="13">
        <f>BY49*VLOOKUP('Données projet'!$B$12,Paramètres!$A$1:$I$89,3,0)*VLOOKUP('Données projet'!$B$12,Paramètres!$A$1:$I$89,5,0)</f>
        <v>123.17759999999997</v>
      </c>
      <c r="CA49" s="13">
        <f t="shared" si="39"/>
        <v>32.414991240570416</v>
      </c>
      <c r="CB49" s="20">
        <f t="shared" si="10"/>
        <v>270.99042974399339</v>
      </c>
      <c r="CC49" s="59">
        <f t="shared" si="11"/>
        <v>564.3237630773267</v>
      </c>
      <c r="CD49" s="59">
        <f ca="1">AVERAGE(OFFSET($CC$3,0,0,'Données projet'!$E$12+1,1))-AVERAGE(OFFSET($H$3,0,0,'Données projet'!$E$12+1,1))</f>
        <v>124.15919323713428</v>
      </c>
      <c r="CE49" s="59">
        <f t="shared" si="40"/>
        <v>157.85954678210715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3.2254975461028033</v>
      </c>
      <c r="CM49" s="21">
        <f>EXP(-LN(2)/2)*CM48+(1-EXP(-LN(2)/2))/(LN(2)/2)*CG49*CJ49*VLOOKUP('Données projet'!$B$12,Paramètres!$A$1:$I$89,3,0)*0.475*44/12</f>
        <v>2.8817709949387683E-2</v>
      </c>
      <c r="CN49" s="22">
        <f t="shared" si="12"/>
        <v>3.2543152560521911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5.6</v>
      </c>
      <c r="N50" s="13">
        <f>IF('Données projet'!$A$36&gt;35,N49+M50-V49,IF(A50&lt;'Données projet'!$A$36,$K$205^A50,IF(A50='Données projet'!$A$36,'Données projet'!$B$36,N49+M50-V49)))</f>
        <v>118.19999999999997</v>
      </c>
      <c r="O50" s="13">
        <f>N50*VLOOKUP('Données projet'!$B$9,Paramètres!$A$1:$I$89,3,0)*VLOOKUP('Données projet'!$B$9,Paramètres!$A$1:$I$89,5,0)</f>
        <v>106.94735999999997</v>
      </c>
      <c r="P50" s="13">
        <f t="shared" si="33"/>
        <v>28.61058496425451</v>
      </c>
      <c r="Q50" s="20">
        <f t="shared" si="53"/>
        <v>236.09675414607656</v>
      </c>
      <c r="R50" s="59">
        <f t="shared" si="0"/>
        <v>529.43008747940985</v>
      </c>
      <c r="S50" s="59">
        <f ca="1">AVERAGE(OFFSET($R$3,0,0,'Données projet'!$E$9+1,1))-AVERAGE(OFFSET($H$3,0,0,'Données projet'!$E$9+1,1))</f>
        <v>138.8931001150624</v>
      </c>
      <c r="T50" s="59">
        <f t="shared" si="34"/>
        <v>48.964659354096625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</v>
      </c>
      <c r="AI50" s="13">
        <f>IF('Données projet'!$A$62&gt;35,AI49+AH50-AQ49,IF(A50&lt;'Données projet'!$A$62,$AF$205^A50,IF(A50='Données projet'!$A$62,'Données projet'!$B$62,AI49+AH50-AQ49)))</f>
        <v>192.39999999999978</v>
      </c>
      <c r="AJ50" s="13">
        <f>AI50*VLOOKUP('Données projet'!$B$10,Paramètres!$A$1:$I$89,3,0)*VLOOKUP('Données projet'!$B$10,Paramètres!$A$1:$I$89,5,0)</f>
        <v>168.08063999999982</v>
      </c>
      <c r="AK50" s="13">
        <f t="shared" si="35"/>
        <v>42.659867131343425</v>
      </c>
      <c r="AL50" s="20">
        <f t="shared" si="4"/>
        <v>367.03971658708946</v>
      </c>
      <c r="AM50" s="59">
        <f t="shared" si="5"/>
        <v>660.37304992042277</v>
      </c>
      <c r="AN50" s="59">
        <f ca="1">AVERAGE(OFFSET($AM$3,0,0,'Données projet'!$E$10+1,1))-AVERAGE(OFFSET($H$3,0,0,'Données projet'!$E$10+1,1))</f>
        <v>191.94797389630673</v>
      </c>
      <c r="AO50" s="59">
        <f t="shared" si="36"/>
        <v>273.52540822767878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1.8386764410984477</v>
      </c>
      <c r="AV50" s="21">
        <f>EXP(-LN(2)/25)*AV49+(1-EXP(-LN(2)/25))/(LN(2)/25)*Calculateur!AQ50*Calculateur!AS50*VLOOKUP('Données projet'!$B$10,Paramètres!$A$1:$I$89,3,0)*0.475*44/12</f>
        <v>8.7683680546337897</v>
      </c>
      <c r="AW50" s="21">
        <f>EXP(-LN(2)/2)*AW49+(1-EXP(-LN(2)/2))/(LN(2)/2)*AQ50*AT50*VLOOKUP('Données projet'!$B$10,Paramètres!$A$1:$I$89,3,0)*0.475*44/12</f>
        <v>6.4090012245298228E-2</v>
      </c>
      <c r="AX50" s="21">
        <f t="shared" si="6"/>
        <v>10.671134507977536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17.399999999999999</v>
      </c>
      <c r="BD50" s="12">
        <f>IF('Données projet'!$A$88&gt;35,BD49+BC50-BL49,IF(A50&lt;'Données projet'!$A$88,$BA$205^A50,IF(A50='Données projet'!$A$88,'Données projet'!$B$88,BD49+BC50-BL49)))</f>
        <v>402.79999999999978</v>
      </c>
      <c r="BE50" s="13">
        <f>BD50*VLOOKUP('Données projet'!$B$11,Paramètres!$A$1:$I$89,3,0)*VLOOKUP('Données projet'!$B$11,Paramètres!$A$1:$I$89,5,0)</f>
        <v>225.16519999999986</v>
      </c>
      <c r="BF50" s="13">
        <f t="shared" si="37"/>
        <v>55.235995662330488</v>
      </c>
      <c r="BG50" s="20">
        <f t="shared" si="7"/>
        <v>488.3654157785586</v>
      </c>
      <c r="BH50" s="59">
        <f t="shared" si="8"/>
        <v>781.69874911189186</v>
      </c>
      <c r="BI50" s="59">
        <f ca="1">AVERAGE(OFFSET($BH$3,0,0,'Données projet'!$E$11+1,1))-AVERAGE(OFFSET($H$3,0,0,'Données projet'!$E$11+1,1))</f>
        <v>279.98352834501759</v>
      </c>
      <c r="BJ50" s="59">
        <f t="shared" si="38"/>
        <v>281.30062655265488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2.854396894447186</v>
      </c>
      <c r="BQ50" s="21">
        <f>EXP(-LN(2)/25)*BQ49+(1-EXP(-LN(2)/25))/(LN(2)/25)*Calculateur!BL50*Calculateur!BN50*VLOOKUP('Données projet'!$B$11,Paramètres!$A$1:$I$89,3,0)*0.475*44/12</f>
        <v>15.121619125801933</v>
      </c>
      <c r="BR50" s="21">
        <f>EXP(-LN(2)/2)*BR49+(1-EXP(-LN(2)/2))/(LN(2)/2)*BL50*BO50*VLOOKUP('Données projet'!$B$11,Paramètres!$A$1:$I$89,3,0)*0.475*44/12</f>
        <v>7.8215788998242067E-2</v>
      </c>
      <c r="BS50" s="22">
        <f t="shared" si="9"/>
        <v>18.054231809247362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</v>
      </c>
      <c r="BY50" s="12">
        <f>IF('Données projet'!$A$114&gt;35,BY49+BX50-CG49,IF(A50&lt;'Données projet'!$A$114,$BV$205^A50,IF(A50='Données projet'!$A$114,'Données projet'!$B$114,BY49+BX50-CG49)))</f>
        <v>173.99999999999997</v>
      </c>
      <c r="BZ50" s="13">
        <f>BY50*VLOOKUP('Données projet'!$B$12,Paramètres!$A$1:$I$89,3,0)*VLOOKUP('Données projet'!$B$12,Paramètres!$A$1:$I$89,5,0)</f>
        <v>127.57679999999998</v>
      </c>
      <c r="CA50" s="13">
        <f t="shared" si="39"/>
        <v>33.435817264319823</v>
      </c>
      <c r="CB50" s="20">
        <f t="shared" si="10"/>
        <v>280.43030840202363</v>
      </c>
      <c r="CC50" s="59">
        <f t="shared" si="11"/>
        <v>573.76364173535694</v>
      </c>
      <c r="CD50" s="59">
        <f ca="1">AVERAGE(OFFSET($CC$3,0,0,'Données projet'!$E$12+1,1))-AVERAGE(OFFSET($H$3,0,0,'Données projet'!$E$12+1,1))</f>
        <v>124.15919323713428</v>
      </c>
      <c r="CE50" s="59">
        <f t="shared" si="40"/>
        <v>157.85954678210715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3.1372961460830782</v>
      </c>
      <c r="CM50" s="21">
        <f>EXP(-LN(2)/2)*CM49+(1-EXP(-LN(2)/2))/(LN(2)/2)*CG50*CJ50*VLOOKUP('Données projet'!$B$12,Paramètres!$A$1:$I$89,3,0)*0.475*44/12</f>
        <v>2.037719812347907E-2</v>
      </c>
      <c r="CN50" s="22">
        <f t="shared" si="12"/>
        <v>3.1576733442065574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5.6</v>
      </c>
      <c r="N51" s="13">
        <f>IF('Données projet'!$A$36&gt;35,N50+M51-V50,IF(A51&lt;'Données projet'!$A$36,$K$205^A51,IF(A51='Données projet'!$A$36,'Données projet'!$B$36,N50+M51-V50)))</f>
        <v>123.79999999999997</v>
      </c>
      <c r="O51" s="13">
        <f>N51*VLOOKUP('Données projet'!$B$9,Paramètres!$A$1:$I$89,3,0)*VLOOKUP('Données projet'!$B$9,Paramètres!$A$1:$I$89,5,0)</f>
        <v>112.01423999999996</v>
      </c>
      <c r="P51" s="13">
        <f t="shared" si="33"/>
        <v>29.805052882814007</v>
      </c>
      <c r="Q51" s="20">
        <f t="shared" si="53"/>
        <v>247.00193510423426</v>
      </c>
      <c r="R51" s="59">
        <f t="shared" si="0"/>
        <v>540.33526843756761</v>
      </c>
      <c r="S51" s="59">
        <f ca="1">AVERAGE(OFFSET($R$3,0,0,'Données projet'!$E$9+1,1))-AVERAGE(OFFSET($H$3,0,0,'Données projet'!$E$9+1,1))</f>
        <v>138.8931001150624</v>
      </c>
      <c r="T51" s="59">
        <f t="shared" si="34"/>
        <v>48.964659354096625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</v>
      </c>
      <c r="AI51" s="13">
        <f>IF('Données projet'!$A$62&gt;35,AI50+AH51-AQ50,IF(A51&lt;'Données projet'!$A$62,$AF$205^A51,IF(A51='Données projet'!$A$62,'Données projet'!$B$62,AI50+AH51-AQ50)))</f>
        <v>199.59999999999977</v>
      </c>
      <c r="AJ51" s="13">
        <f>AI51*VLOOKUP('Données projet'!$B$10,Paramètres!$A$1:$I$89,3,0)*VLOOKUP('Données projet'!$B$10,Paramètres!$A$1:$I$89,5,0)</f>
        <v>174.37055999999981</v>
      </c>
      <c r="AK51" s="13">
        <f t="shared" si="35"/>
        <v>44.067432817877425</v>
      </c>
      <c r="AL51" s="20">
        <f t="shared" si="4"/>
        <v>380.44617082446945</v>
      </c>
      <c r="AM51" s="59">
        <f t="shared" si="5"/>
        <v>673.77950415780276</v>
      </c>
      <c r="AN51" s="59">
        <f ca="1">AVERAGE(OFFSET($AM$3,0,0,'Données projet'!$E$10+1,1))-AVERAGE(OFFSET($H$3,0,0,'Données projet'!$E$10+1,1))</f>
        <v>191.94797389630673</v>
      </c>
      <c r="AO51" s="59">
        <f t="shared" si="36"/>
        <v>273.52540822767878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1.8026211175703992</v>
      </c>
      <c r="AV51" s="21">
        <f>EXP(-LN(2)/25)*AV50+(1-EXP(-LN(2)/25))/(LN(2)/25)*Calculateur!AQ51*Calculateur!AS51*VLOOKUP('Données projet'!$B$10,Paramètres!$A$1:$I$89,3,0)*0.475*44/12</f>
        <v>8.528596569071393</v>
      </c>
      <c r="AW51" s="21">
        <f>EXP(-LN(2)/2)*AW50+(1-EXP(-LN(2)/2))/(LN(2)/2)*AQ51*AT51*VLOOKUP('Données projet'!$B$10,Paramètres!$A$1:$I$89,3,0)*0.475*44/12</f>
        <v>4.5318482264979247E-2</v>
      </c>
      <c r="AX51" s="21">
        <f t="shared" si="6"/>
        <v>10.376536168906773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17.399999999999999</v>
      </c>
      <c r="BD51" s="12">
        <f>IF('Données projet'!$A$88&gt;35,BD50+BC51-BL50,IF(A51&lt;'Données projet'!$A$88,$BA$205^A51,IF(A51='Données projet'!$A$88,'Données projet'!$B$88,BD50+BC51-BL50)))</f>
        <v>420.19999999999976</v>
      </c>
      <c r="BE51" s="13">
        <f>BD51*VLOOKUP('Données projet'!$B$11,Paramètres!$A$1:$I$89,3,0)*VLOOKUP('Données projet'!$B$11,Paramètres!$A$1:$I$89,5,0)</f>
        <v>234.89179999999988</v>
      </c>
      <c r="BF51" s="13">
        <f t="shared" si="37"/>
        <v>57.339104021098166</v>
      </c>
      <c r="BG51" s="20">
        <f t="shared" si="7"/>
        <v>508.96882450341235</v>
      </c>
      <c r="BH51" s="59">
        <f t="shared" si="8"/>
        <v>802.30215783674566</v>
      </c>
      <c r="BI51" s="59">
        <f ca="1">AVERAGE(OFFSET($BH$3,0,0,'Données projet'!$E$11+1,1))-AVERAGE(OFFSET($H$3,0,0,'Données projet'!$E$11+1,1))</f>
        <v>279.98352834501759</v>
      </c>
      <c r="BJ51" s="59">
        <f t="shared" si="38"/>
        <v>281.30062655265488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2.7984239123572721</v>
      </c>
      <c r="BQ51" s="21">
        <f>EXP(-LN(2)/25)*BQ50+(1-EXP(-LN(2)/25))/(LN(2)/25)*Calculateur!BL51*Calculateur!BN51*VLOOKUP('Données projet'!$B$11,Paramètres!$A$1:$I$89,3,0)*0.475*44/12</f>
        <v>14.70811765559549</v>
      </c>
      <c r="BR51" s="21">
        <f>EXP(-LN(2)/2)*BR50+(1-EXP(-LN(2)/2))/(LN(2)/2)*BL51*BO51*VLOOKUP('Données projet'!$B$11,Paramètres!$A$1:$I$89,3,0)*0.475*44/12</f>
        <v>5.5306914796513125E-2</v>
      </c>
      <c r="BS51" s="22">
        <f t="shared" si="9"/>
        <v>17.561848482749276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</v>
      </c>
      <c r="BY51" s="12">
        <f>IF('Données projet'!$A$114&gt;35,BY50+BX51-CG50,IF(A51&lt;'Données projet'!$A$114,$BV$205^A51,IF(A51='Données projet'!$A$114,'Données projet'!$B$114,BY50+BX51-CG50)))</f>
        <v>179.99999999999997</v>
      </c>
      <c r="BZ51" s="13">
        <f>BY51*VLOOKUP('Données projet'!$B$12,Paramètres!$A$1:$I$89,3,0)*VLOOKUP('Données projet'!$B$12,Paramètres!$A$1:$I$89,5,0)</f>
        <v>131.97599999999997</v>
      </c>
      <c r="CA51" s="13">
        <f t="shared" si="39"/>
        <v>34.452553259401945</v>
      </c>
      <c r="CB51" s="20">
        <f t="shared" si="10"/>
        <v>289.86306359345832</v>
      </c>
      <c r="CC51" s="59">
        <f t="shared" si="11"/>
        <v>583.19639692679164</v>
      </c>
      <c r="CD51" s="59">
        <f ca="1">AVERAGE(OFFSET($CC$3,0,0,'Données projet'!$E$12+1,1))-AVERAGE(OFFSET($H$3,0,0,'Données projet'!$E$12+1,1))</f>
        <v>124.15919323713428</v>
      </c>
      <c r="CE51" s="59">
        <f t="shared" si="40"/>
        <v>157.85954678210715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3.0515066179852024</v>
      </c>
      <c r="CM51" s="21">
        <f>EXP(-LN(2)/2)*CM50+(1-EXP(-LN(2)/2))/(LN(2)/2)*CG51*CJ51*VLOOKUP('Données projet'!$B$12,Paramètres!$A$1:$I$89,3,0)*0.475*44/12</f>
        <v>1.4408854974693842E-2</v>
      </c>
      <c r="CN51" s="22">
        <f t="shared" si="12"/>
        <v>3.0659154729598961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5.6</v>
      </c>
      <c r="N52" s="13">
        <f>IF('Données projet'!$A$36&gt;35,N51+M52-V51,IF(A52&lt;'Données projet'!$A$36,$K$205^A52,IF(A52='Données projet'!$A$36,'Données projet'!$B$36,N51+M52-V51)))</f>
        <v>129.39999999999998</v>
      </c>
      <c r="O52" s="13">
        <f>N52*VLOOKUP('Données projet'!$B$9,Paramètres!$A$1:$I$89,3,0)*VLOOKUP('Données projet'!$B$9,Paramètres!$A$1:$I$89,5,0)</f>
        <v>117.08111999999997</v>
      </c>
      <c r="P52" s="13">
        <f t="shared" si="33"/>
        <v>30.993245877902094</v>
      </c>
      <c r="Q52" s="20">
        <f t="shared" si="53"/>
        <v>257.89618723734606</v>
      </c>
      <c r="R52" s="59">
        <f t="shared" si="0"/>
        <v>551.22952057067937</v>
      </c>
      <c r="S52" s="59">
        <f ca="1">AVERAGE(OFFSET($R$3,0,0,'Données projet'!$E$9+1,1))-AVERAGE(OFFSET($H$3,0,0,'Données projet'!$E$9+1,1))</f>
        <v>138.8931001150624</v>
      </c>
      <c r="T52" s="59">
        <f t="shared" si="34"/>
        <v>48.964659354096625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</v>
      </c>
      <c r="AI52" s="13">
        <f>IF('Données projet'!$A$62&gt;35,AI51+AH52-AQ51,IF(A52&lt;'Données projet'!$A$62,$AF$205^A52,IF(A52='Données projet'!$A$62,'Données projet'!$B$62,AI51+AH52-AQ51)))</f>
        <v>206.79999999999976</v>
      </c>
      <c r="AJ52" s="13">
        <f>AI52*VLOOKUP('Données projet'!$B$10,Paramètres!$A$1:$I$89,3,0)*VLOOKUP('Données projet'!$B$10,Paramètres!$A$1:$I$89,5,0)</f>
        <v>180.66047999999981</v>
      </c>
      <c r="AK52" s="13">
        <f t="shared" si="35"/>
        <v>45.469099459918716</v>
      </c>
      <c r="AL52" s="20">
        <f t="shared" si="4"/>
        <v>393.8423508926914</v>
      </c>
      <c r="AM52" s="59">
        <f t="shared" si="5"/>
        <v>687.17568422602471</v>
      </c>
      <c r="AN52" s="59">
        <f ca="1">AVERAGE(OFFSET($AM$3,0,0,'Données projet'!$E$10+1,1))-AVERAGE(OFFSET($H$3,0,0,'Données projet'!$E$10+1,1))</f>
        <v>191.94797389630673</v>
      </c>
      <c r="AO52" s="59">
        <f t="shared" si="36"/>
        <v>273.52540822767878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1.7672728169451597</v>
      </c>
      <c r="AV52" s="21">
        <f>EXP(-LN(2)/25)*AV51+(1-EXP(-LN(2)/25))/(LN(2)/25)*Calculateur!AQ52*Calculateur!AS52*VLOOKUP('Données projet'!$B$10,Paramètres!$A$1:$I$89,3,0)*0.475*44/12</f>
        <v>8.2953816473907338</v>
      </c>
      <c r="AW52" s="21">
        <f>EXP(-LN(2)/2)*AW51+(1-EXP(-LN(2)/2))/(LN(2)/2)*AQ52*AT52*VLOOKUP('Données projet'!$B$10,Paramètres!$A$1:$I$89,3,0)*0.475*44/12</f>
        <v>3.2045006122649114E-2</v>
      </c>
      <c r="AX52" s="21">
        <f t="shared" si="6"/>
        <v>10.094699470458542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17.399999999999999</v>
      </c>
      <c r="BD52" s="12">
        <f>IF('Données projet'!$A$88&gt;35,BD51+BC52-BL51,IF(A52&lt;'Données projet'!$A$88,$BA$205^A52,IF(A52='Données projet'!$A$88,'Données projet'!$B$88,BD51+BC52-BL51)))</f>
        <v>437.59999999999974</v>
      </c>
      <c r="BE52" s="13">
        <f>BD52*VLOOKUP('Données projet'!$B$11,Paramètres!$A$1:$I$89,3,0)*VLOOKUP('Données projet'!$B$11,Paramètres!$A$1:$I$89,5,0)</f>
        <v>244.61839999999987</v>
      </c>
      <c r="BF52" s="13">
        <f t="shared" si="37"/>
        <v>59.432096755407493</v>
      </c>
      <c r="BG52" s="20">
        <f t="shared" si="7"/>
        <v>529.55461518233449</v>
      </c>
      <c r="BH52" s="59">
        <f t="shared" si="8"/>
        <v>822.88794851566786</v>
      </c>
      <c r="BI52" s="59">
        <f ca="1">AVERAGE(OFFSET($BH$3,0,0,'Données projet'!$E$11+1,1))-AVERAGE(OFFSET($H$3,0,0,'Données projet'!$E$11+1,1))</f>
        <v>279.98352834501759</v>
      </c>
      <c r="BJ52" s="59">
        <f t="shared" si="38"/>
        <v>281.30062655265488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2.7435485263059931</v>
      </c>
      <c r="BQ52" s="21">
        <f>EXP(-LN(2)/25)*BQ51+(1-EXP(-LN(2)/25))/(LN(2)/25)*Calculateur!BL52*Calculateur!BN52*VLOOKUP('Données projet'!$B$11,Paramètres!$A$1:$I$89,3,0)*0.475*44/12</f>
        <v>14.305923404836941</v>
      </c>
      <c r="BR52" s="21">
        <f>EXP(-LN(2)/2)*BR51+(1-EXP(-LN(2)/2))/(LN(2)/2)*BL52*BO52*VLOOKUP('Données projet'!$B$11,Paramètres!$A$1:$I$89,3,0)*0.475*44/12</f>
        <v>3.9107894499121033E-2</v>
      </c>
      <c r="BS52" s="22">
        <f t="shared" si="9"/>
        <v>17.088579825642054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</v>
      </c>
      <c r="BY52" s="12">
        <f>IF('Données projet'!$A$114&gt;35,BY51+BX52-CG51,IF(A52&lt;'Données projet'!$A$114,$BV$205^A52,IF(A52='Données projet'!$A$114,'Données projet'!$B$114,BY51+BX52-CG51)))</f>
        <v>185.99999999999997</v>
      </c>
      <c r="BZ52" s="13">
        <f>BY52*VLOOKUP('Données projet'!$B$12,Paramètres!$A$1:$I$89,3,0)*VLOOKUP('Données projet'!$B$12,Paramètres!$A$1:$I$89,5,0)</f>
        <v>136.37519999999998</v>
      </c>
      <c r="CA52" s="13">
        <f t="shared" si="39"/>
        <v>35.465351191683979</v>
      </c>
      <c r="CB52" s="20">
        <f t="shared" si="10"/>
        <v>299.28895999218292</v>
      </c>
      <c r="CC52" s="59">
        <f t="shared" si="11"/>
        <v>592.62229332551624</v>
      </c>
      <c r="CD52" s="59">
        <f ca="1">AVERAGE(OFFSET($CC$3,0,0,'Données projet'!$E$12+1,1))-AVERAGE(OFFSET($H$3,0,0,'Données projet'!$E$12+1,1))</f>
        <v>124.15919323713428</v>
      </c>
      <c r="CE52" s="59">
        <f t="shared" si="40"/>
        <v>157.85954678210715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2.9680630090446383</v>
      </c>
      <c r="CM52" s="21">
        <f>EXP(-LN(2)/2)*CM51+(1-EXP(-LN(2)/2))/(LN(2)/2)*CG52*CJ52*VLOOKUP('Données projet'!$B$12,Paramètres!$A$1:$I$89,3,0)*0.475*44/12</f>
        <v>1.0188599061739535E-2</v>
      </c>
      <c r="CN52" s="22">
        <f t="shared" si="12"/>
        <v>2.9782516081063779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135</v>
      </c>
      <c r="L53" s="12">
        <f>VLOOKUP(A53,'Données projet'!$A$35:$I$55,9,0)</f>
        <v>5.6</v>
      </c>
      <c r="M53" s="12">
        <f t="array" ref="M53">INDEX(L:L,MIN(IF(ISNUMBER(L53:L249),ROW(L53:L249),"")))</f>
        <v>5.6</v>
      </c>
      <c r="N53" s="13">
        <f>IF('Données projet'!$A$36&gt;35,N52+M53-V52,IF(A53&lt;'Données projet'!$A$36,$K$205^A53,IF(A53='Données projet'!$A$36,'Données projet'!$B$36,N52+M53-V52)))</f>
        <v>134.99999999999997</v>
      </c>
      <c r="O53" s="13">
        <f>N53*VLOOKUP('Données projet'!$B$9,Paramètres!$A$1:$I$89,3,0)*VLOOKUP('Données projet'!$B$9,Paramètres!$A$1:$I$89,5,0)</f>
        <v>122.14799999999998</v>
      </c>
      <c r="P53" s="13">
        <f t="shared" si="33"/>
        <v>32.175466547071615</v>
      </c>
      <c r="Q53" s="20">
        <f t="shared" si="53"/>
        <v>268.78003756948306</v>
      </c>
      <c r="R53" s="59">
        <f t="shared" si="0"/>
        <v>562.11337090281631</v>
      </c>
      <c r="S53" s="59">
        <f ca="1">AVERAGE(OFFSET($R$3,0,0,'Données projet'!$E$9+1,1))-AVERAGE(OFFSET($H$3,0,0,'Données projet'!$E$9+1,1))</f>
        <v>138.8931001150624</v>
      </c>
      <c r="T53" s="59">
        <f t="shared" si="34"/>
        <v>48.964659354096625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214</v>
      </c>
      <c r="AG53" s="12">
        <f>VLOOKUP(A53,'Données projet'!$A$61:$I$81,9,0)</f>
        <v>7.2</v>
      </c>
      <c r="AH53" s="12">
        <f t="array" ref="AH53">INDEX(AG:AG,MIN(IF(ISNUMBER(AG53:AG249),ROW(AG53:AG249),"")))</f>
        <v>7.2</v>
      </c>
      <c r="AI53" s="13">
        <f>IF('Données projet'!$A$62&gt;35,AI52+AH53-AQ52,IF(A53&lt;'Données projet'!$A$62,$AF$205^A53,IF(A53='Données projet'!$A$62,'Données projet'!$B$62,AI52+AH53-AQ52)))</f>
        <v>213.99999999999974</v>
      </c>
      <c r="AJ53" s="13">
        <f>AI53*VLOOKUP('Données projet'!$B$10,Paramètres!$A$1:$I$89,3,0)*VLOOKUP('Données projet'!$B$10,Paramètres!$A$1:$I$89,5,0)</f>
        <v>186.9503999999998</v>
      </c>
      <c r="AK53" s="13">
        <f t="shared" si="35"/>
        <v>46.86509597661761</v>
      </c>
      <c r="AL53" s="20">
        <f t="shared" si="4"/>
        <v>407.2286554926086</v>
      </c>
      <c r="AM53" s="59">
        <f t="shared" si="5"/>
        <v>700.56198882594185</v>
      </c>
      <c r="AN53" s="59">
        <f ca="1">AVERAGE(OFFSET($AM$3,0,0,'Données projet'!$E$10+1,1))-AVERAGE(OFFSET($H$3,0,0,'Données projet'!$E$10+1,1))</f>
        <v>191.94797389630673</v>
      </c>
      <c r="AO53" s="59">
        <f t="shared" si="36"/>
        <v>273.52540822767878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1.7326176749348468</v>
      </c>
      <c r="AV53" s="21">
        <f>EXP(-LN(2)/25)*AV52+(1-EXP(-LN(2)/25))/(LN(2)/25)*Calculateur!AQ53*Calculateur!AS53*VLOOKUP('Données projet'!$B$10,Paramètres!$A$1:$I$89,3,0)*0.475*44/12</f>
        <v>8.0685440000076731</v>
      </c>
      <c r="AW53" s="21">
        <f>EXP(-LN(2)/2)*AW52+(1-EXP(-LN(2)/2))/(LN(2)/2)*AQ53*AT53*VLOOKUP('Données projet'!$B$10,Paramètres!$A$1:$I$89,3,0)*0.475*44/12</f>
        <v>2.2659241132489624E-2</v>
      </c>
      <c r="AX53" s="21">
        <f t="shared" si="6"/>
        <v>9.8238209160750092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455</v>
      </c>
      <c r="BB53" s="12">
        <f>VLOOKUP(A53,'Données projet'!$A$87:$I$107,9,0)</f>
        <v>17.399999999999999</v>
      </c>
      <c r="BC53" s="12">
        <f t="array" ref="BC53">INDEX(BB:BB,MIN(IF(ISNUMBER(BB53:BB249),ROW(BB53:BB249),"")))</f>
        <v>17.399999999999999</v>
      </c>
      <c r="BD53" s="12">
        <f>IF('Données projet'!$A$88&gt;35,BD52+BC53-BL52,IF(A53&lt;'Données projet'!$A$88,$BA$205^A53,IF(A53='Données projet'!$A$88,'Données projet'!$B$88,BD52+BC53-BL52)))</f>
        <v>454.99999999999972</v>
      </c>
      <c r="BE53" s="13">
        <f>BD53*VLOOKUP('Données projet'!$B$11,Paramètres!$A$1:$I$89,3,0)*VLOOKUP('Données projet'!$B$11,Paramètres!$A$1:$I$89,5,0)</f>
        <v>254.34499999999983</v>
      </c>
      <c r="BF53" s="13">
        <f t="shared" si="37"/>
        <v>61.515422107791508</v>
      </c>
      <c r="BG53" s="20">
        <f t="shared" si="7"/>
        <v>550.12356850440324</v>
      </c>
      <c r="BH53" s="59">
        <f t="shared" si="8"/>
        <v>843.4569018377365</v>
      </c>
      <c r="BI53" s="59">
        <f ca="1">AVERAGE(OFFSET($BH$3,0,0,'Données projet'!$E$11+1,1))-AVERAGE(OFFSET($H$3,0,0,'Données projet'!$E$11+1,1))</f>
        <v>279.98352834501759</v>
      </c>
      <c r="BJ53" s="59">
        <f t="shared" si="38"/>
        <v>281.30062655265488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98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2.6897492131044993</v>
      </c>
      <c r="BQ53" s="21">
        <f>EXP(-LN(2)/25)*BQ52+(1-EXP(-LN(2)/25))/(LN(2)/25)*Calculateur!BL53*Calculateur!BN53*VLOOKUP('Données projet'!$B$11,Paramètres!$A$1:$I$89,3,0)*0.475*44/12</f>
        <v>13.914727177015859</v>
      </c>
      <c r="BR53" s="21">
        <f>EXP(-LN(2)/2)*BR52+(1-EXP(-LN(2)/2))/(LN(2)/2)*BL53*BO53*VLOOKUP('Données projet'!$B$11,Paramètres!$A$1:$I$89,3,0)*0.475*44/12</f>
        <v>2.7653457398256562E-2</v>
      </c>
      <c r="BS53" s="22">
        <f t="shared" si="9"/>
        <v>16.632129847518613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192</v>
      </c>
      <c r="BW53" s="12">
        <f>VLOOKUP(A53,'Données projet'!$A$113:$I$133,9,0)</f>
        <v>6</v>
      </c>
      <c r="BX53" s="12">
        <f t="array" ref="BX53">INDEX(BW:BW,MIN(IF(ISNUMBER(BW53:BW249),ROW(BW53:BW249),"")))</f>
        <v>6</v>
      </c>
      <c r="BY53" s="12">
        <f>IF('Données projet'!$A$114&gt;35,BY52+BX53-CG52,IF(A53&lt;'Données projet'!$A$114,$BV$205^A53,IF(A53='Données projet'!$A$114,'Données projet'!$B$114,BY52+BX53-CG52)))</f>
        <v>191.99999999999997</v>
      </c>
      <c r="BZ53" s="13">
        <f>BY53*VLOOKUP('Données projet'!$B$12,Paramètres!$A$1:$I$89,3,0)*VLOOKUP('Données projet'!$B$12,Paramètres!$A$1:$I$89,5,0)</f>
        <v>140.77439999999999</v>
      </c>
      <c r="CA53" s="13">
        <f t="shared" si="39"/>
        <v>36.474352666172102</v>
      </c>
      <c r="CB53" s="20">
        <f t="shared" si="10"/>
        <v>308.70824422691641</v>
      </c>
      <c r="CC53" s="59">
        <f t="shared" si="11"/>
        <v>602.04157756024972</v>
      </c>
      <c r="CD53" s="59">
        <f ca="1">AVERAGE(OFFSET($CC$3,0,0,'Données projet'!$E$12+1,1))-AVERAGE(OFFSET($H$3,0,0,'Données projet'!$E$12+1,1))</f>
        <v>124.15919323713428</v>
      </c>
      <c r="CE53" s="59">
        <f t="shared" si="40"/>
        <v>157.85954678210715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31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2.8869011699786626</v>
      </c>
      <c r="CM53" s="21">
        <f>EXP(-LN(2)/2)*CM52+(1-EXP(-LN(2)/2))/(LN(2)/2)*CG53*CJ53*VLOOKUP('Données projet'!$B$12,Paramètres!$A$1:$I$89,3,0)*0.475*44/12</f>
        <v>7.2044274873469209E-3</v>
      </c>
      <c r="CN53" s="22">
        <f t="shared" si="12"/>
        <v>2.8941055974660097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5.5</v>
      </c>
      <c r="N54" s="13">
        <f>IF('Données projet'!$A$36&gt;35,N53+M54-V53,IF(A54&lt;'Données projet'!$A$36,$K$205^A54,IF(A54='Données projet'!$A$36,'Données projet'!$B$36,N53+M54-V53)))</f>
        <v>112.49999999999997</v>
      </c>
      <c r="O54" s="13">
        <f>N54*VLOOKUP('Données projet'!$B$9,Paramètres!$A$1:$I$89,3,0)*VLOOKUP('Données projet'!$B$9,Paramètres!$A$1:$I$89,5,0)</f>
        <v>101.78999999999998</v>
      </c>
      <c r="P54" s="13">
        <f t="shared" si="33"/>
        <v>27.38799903683508</v>
      </c>
      <c r="Q54" s="20">
        <f t="shared" si="53"/>
        <v>224.98501498915437</v>
      </c>
      <c r="R54" s="59">
        <f t="shared" si="0"/>
        <v>518.31834832248774</v>
      </c>
      <c r="S54" s="59">
        <f ca="1">AVERAGE(OFFSET($R$3,0,0,'Données projet'!$E$9+1,1))-AVERAGE(OFFSET($H$3,0,0,'Données projet'!$E$9+1,1))</f>
        <v>138.8931001150624</v>
      </c>
      <c r="T54" s="59">
        <f t="shared" si="34"/>
        <v>48.964659354096625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169.59999999999974</v>
      </c>
      <c r="AJ54" s="13">
        <f>AI54*VLOOKUP('Données projet'!$B$10,Paramètres!$A$1:$I$89,3,0)*VLOOKUP('Données projet'!$B$10,Paramètres!$A$1:$I$89,5,0)</f>
        <v>148.16255999999979</v>
      </c>
      <c r="AK54" s="13">
        <f t="shared" si="35"/>
        <v>38.160721728430708</v>
      </c>
      <c r="AL54" s="20">
        <f t="shared" si="4"/>
        <v>324.51304901034973</v>
      </c>
      <c r="AM54" s="59">
        <f t="shared" si="5"/>
        <v>617.84638234368299</v>
      </c>
      <c r="AN54" s="59">
        <f ca="1">AVERAGE(OFFSET($AM$3,0,0,'Données projet'!$E$10+1,1))-AVERAGE(OFFSET($H$3,0,0,'Données projet'!$E$10+1,1))</f>
        <v>191.94797389630673</v>
      </c>
      <c r="AO54" s="59">
        <f t="shared" si="36"/>
        <v>273.52540822767878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1.6986420991218065</v>
      </c>
      <c r="AV54" s="21">
        <f>EXP(-LN(2)/25)*AV53+(1-EXP(-LN(2)/25))/(LN(2)/25)*Calculateur!AQ54*Calculateur!AS54*VLOOKUP('Données projet'!$B$10,Paramètres!$A$1:$I$89,3,0)*0.475*44/12</f>
        <v>7.847909240021175</v>
      </c>
      <c r="AW54" s="21">
        <f>EXP(-LN(2)/2)*AW53+(1-EXP(-LN(2)/2))/(LN(2)/2)*AQ54*AT54*VLOOKUP('Données projet'!$B$10,Paramètres!$A$1:$I$89,3,0)*0.475*44/12</f>
        <v>1.6022503061324557E-2</v>
      </c>
      <c r="AX54" s="21">
        <f t="shared" si="6"/>
        <v>9.562573842204305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14.8</v>
      </c>
      <c r="BD54" s="12">
        <f>IF('Données projet'!$A$88&gt;35,BD53+BC54-BL53,IF(A54&lt;'Données projet'!$A$88,$BA$205^A54,IF(A54='Données projet'!$A$88,'Données projet'!$B$88,BD53+BC54-BL53)))</f>
        <v>371.79999999999973</v>
      </c>
      <c r="BE54" s="13">
        <f>BD54*VLOOKUP('Données projet'!$B$11,Paramètres!$A$1:$I$89,3,0)*VLOOKUP('Données projet'!$B$11,Paramètres!$A$1:$I$89,5,0)</f>
        <v>207.83619999999985</v>
      </c>
      <c r="BF54" s="13">
        <f t="shared" si="37"/>
        <v>51.462456308309847</v>
      </c>
      <c r="BG54" s="20">
        <f t="shared" si="7"/>
        <v>451.61182640363944</v>
      </c>
      <c r="BH54" s="59">
        <f t="shared" si="8"/>
        <v>744.94515973697276</v>
      </c>
      <c r="BI54" s="59">
        <f ca="1">AVERAGE(OFFSET($BH$3,0,0,'Données projet'!$E$11+1,1))-AVERAGE(OFFSET($H$3,0,0,'Données projet'!$E$11+1,1))</f>
        <v>279.98352834501759</v>
      </c>
      <c r="BJ54" s="59">
        <f t="shared" si="38"/>
        <v>281.30062655265488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2.6370048716205456</v>
      </c>
      <c r="BQ54" s="21">
        <f>EXP(-LN(2)/25)*BQ53+(1-EXP(-LN(2)/25))/(LN(2)/25)*Calculateur!BL54*Calculateur!BN54*VLOOKUP('Données projet'!$B$11,Paramètres!$A$1:$I$89,3,0)*0.475*44/12</f>
        <v>13.534228230616661</v>
      </c>
      <c r="BR54" s="21">
        <f>EXP(-LN(2)/2)*BR53+(1-EXP(-LN(2)/2))/(LN(2)/2)*BL54*BO54*VLOOKUP('Données projet'!$B$11,Paramètres!$A$1:$I$89,3,0)*0.475*44/12</f>
        <v>1.9553947249560517E-2</v>
      </c>
      <c r="BS54" s="22">
        <f t="shared" si="9"/>
        <v>16.190787049486765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4.4000000000000004</v>
      </c>
      <c r="BY54" s="12">
        <f>IF('Données projet'!$A$114&gt;35,BY53+BX54-CG53,IF(A54&lt;'Données projet'!$A$114,$BV$205^A54,IF(A54='Données projet'!$A$114,'Données projet'!$B$114,BY53+BX54-CG53)))</f>
        <v>165.39999999999998</v>
      </c>
      <c r="BZ54" s="13">
        <f>BY54*VLOOKUP('Données projet'!$B$12,Paramètres!$A$1:$I$89,3,0)*VLOOKUP('Données projet'!$B$12,Paramètres!$A$1:$I$89,5,0)</f>
        <v>121.27127999999998</v>
      </c>
      <c r="CA54" s="13">
        <f t="shared" si="39"/>
        <v>31.971322377615959</v>
      </c>
      <c r="CB54" s="20">
        <f t="shared" si="10"/>
        <v>266.89753247434771</v>
      </c>
      <c r="CC54" s="59">
        <f t="shared" si="11"/>
        <v>560.23086580768108</v>
      </c>
      <c r="CD54" s="59">
        <f ca="1">AVERAGE(OFFSET($CC$3,0,0,'Données projet'!$E$12+1,1))-AVERAGE(OFFSET($H$3,0,0,'Données projet'!$E$12+1,1))</f>
        <v>124.15919323713428</v>
      </c>
      <c r="CE54" s="59">
        <f t="shared" si="40"/>
        <v>157.85954678210715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2.8079587056700617</v>
      </c>
      <c r="CM54" s="21">
        <f>EXP(-LN(2)/2)*CM53+(1-EXP(-LN(2)/2))/(LN(2)/2)*CG54*CJ54*VLOOKUP('Données projet'!$B$12,Paramètres!$A$1:$I$89,3,0)*0.475*44/12</f>
        <v>5.0942995308697675E-3</v>
      </c>
      <c r="CN54" s="22">
        <f t="shared" si="12"/>
        <v>2.8130530052009313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5.5</v>
      </c>
      <c r="N55" s="13">
        <f>IF('Données projet'!$A$36&gt;35,N54+M55-V54,IF(A55&lt;'Données projet'!$A$36,$K$205^A55,IF(A55='Données projet'!$A$36,'Données projet'!$B$36,N54+M55-V54)))</f>
        <v>117.99999999999997</v>
      </c>
      <c r="O55" s="13">
        <f>N55*VLOOKUP('Données projet'!$B$9,Paramètres!$A$1:$I$89,3,0)*VLOOKUP('Données projet'!$B$9,Paramètres!$A$1:$I$89,5,0)</f>
        <v>106.76639999999998</v>
      </c>
      <c r="P55" s="13">
        <f t="shared" si="33"/>
        <v>28.5678052620942</v>
      </c>
      <c r="Q55" s="20">
        <f t="shared" si="53"/>
        <v>235.707074164814</v>
      </c>
      <c r="R55" s="59">
        <f t="shared" si="0"/>
        <v>529.04040749814726</v>
      </c>
      <c r="S55" s="59">
        <f ca="1">AVERAGE(OFFSET($R$3,0,0,'Données projet'!$E$9+1,1))-AVERAGE(OFFSET($H$3,0,0,'Données projet'!$E$9+1,1))</f>
        <v>138.8931001150624</v>
      </c>
      <c r="T55" s="59">
        <f t="shared" si="34"/>
        <v>48.964659354096625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175.19999999999973</v>
      </c>
      <c r="AJ55" s="13">
        <f>AI55*VLOOKUP('Données projet'!$B$10,Paramètres!$A$1:$I$89,3,0)*VLOOKUP('Données projet'!$B$10,Paramètres!$A$1:$I$89,5,0)</f>
        <v>153.05471999999978</v>
      </c>
      <c r="AK55" s="13">
        <f t="shared" si="35"/>
        <v>39.27196508838513</v>
      </c>
      <c r="AL55" s="20">
        <f t="shared" si="4"/>
        <v>334.96897652893705</v>
      </c>
      <c r="AM55" s="59">
        <f t="shared" si="5"/>
        <v>628.30230986227036</v>
      </c>
      <c r="AN55" s="59">
        <f ca="1">AVERAGE(OFFSET($AM$3,0,0,'Données projet'!$E$10+1,1))-AVERAGE(OFFSET($H$3,0,0,'Données projet'!$E$10+1,1))</f>
        <v>191.94797389630673</v>
      </c>
      <c r="AO55" s="59">
        <f t="shared" si="36"/>
        <v>273.52540822767878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1.6653327636274049</v>
      </c>
      <c r="AV55" s="21">
        <f>EXP(-LN(2)/25)*AV54+(1-EXP(-LN(2)/25))/(LN(2)/25)*Calculateur!AQ55*Calculateur!AS55*VLOOKUP('Données projet'!$B$10,Paramètres!$A$1:$I$89,3,0)*0.475*44/12</f>
        <v>7.6333077491491856</v>
      </c>
      <c r="AW55" s="21">
        <f>EXP(-LN(2)/2)*AW54+(1-EXP(-LN(2)/2))/(LN(2)/2)*AQ55*AT55*VLOOKUP('Données projet'!$B$10,Paramètres!$A$1:$I$89,3,0)*0.475*44/12</f>
        <v>1.1329620566244812E-2</v>
      </c>
      <c r="AX55" s="21">
        <f t="shared" si="6"/>
        <v>9.3099701333428353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14.8</v>
      </c>
      <c r="BD55" s="12">
        <f>IF('Données projet'!$A$88&gt;35,BD54+BC55-BL54,IF(A55&lt;'Données projet'!$A$88,$BA$205^A55,IF(A55='Données projet'!$A$88,'Données projet'!$B$88,BD54+BC55-BL54)))</f>
        <v>386.59999999999974</v>
      </c>
      <c r="BE55" s="13">
        <f>BD55*VLOOKUP('Données projet'!$B$11,Paramètres!$A$1:$I$89,3,0)*VLOOKUP('Données projet'!$B$11,Paramètres!$A$1:$I$89,5,0)</f>
        <v>216.10939999999985</v>
      </c>
      <c r="BF55" s="13">
        <f t="shared" si="37"/>
        <v>53.268406922893078</v>
      </c>
      <c r="BG55" s="20">
        <f t="shared" si="7"/>
        <v>469.16634705737187</v>
      </c>
      <c r="BH55" s="59">
        <f t="shared" si="8"/>
        <v>762.49968039070518</v>
      </c>
      <c r="BI55" s="59">
        <f ca="1">AVERAGE(OFFSET($BH$3,0,0,'Données projet'!$E$11+1,1))-AVERAGE(OFFSET($H$3,0,0,'Données projet'!$E$11+1,1))</f>
        <v>279.98352834501759</v>
      </c>
      <c r="BJ55" s="59">
        <f t="shared" si="38"/>
        <v>281.30062655265488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2.5852948145022205</v>
      </c>
      <c r="BQ55" s="21">
        <f>EXP(-LN(2)/25)*BQ54+(1-EXP(-LN(2)/25))/(LN(2)/25)*Calculateur!BL55*Calculateur!BN55*VLOOKUP('Données projet'!$B$11,Paramètres!$A$1:$I$89,3,0)*0.475*44/12</f>
        <v>13.164134047916319</v>
      </c>
      <c r="BR55" s="21">
        <f>EXP(-LN(2)/2)*BR54+(1-EXP(-LN(2)/2))/(LN(2)/2)*BL55*BO55*VLOOKUP('Données projet'!$B$11,Paramètres!$A$1:$I$89,3,0)*0.475*44/12</f>
        <v>1.3826728699128281E-2</v>
      </c>
      <c r="BS55" s="22">
        <f t="shared" si="9"/>
        <v>15.763255591117668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4.4000000000000004</v>
      </c>
      <c r="BY55" s="12">
        <f>IF('Données projet'!$A$114&gt;35,BY54+BX55-CG54,IF(A55&lt;'Données projet'!$A$114,$BV$205^A55,IF(A55='Données projet'!$A$114,'Données projet'!$B$114,BY54+BX55-CG54)))</f>
        <v>169.79999999999998</v>
      </c>
      <c r="BZ55" s="13">
        <f>BY55*VLOOKUP('Données projet'!$B$12,Paramètres!$A$1:$I$89,3,0)*VLOOKUP('Données projet'!$B$12,Paramètres!$A$1:$I$89,5,0)</f>
        <v>124.49735999999997</v>
      </c>
      <c r="CA55" s="13">
        <f t="shared" si="39"/>
        <v>32.721677992091536</v>
      </c>
      <c r="CB55" s="20">
        <f t="shared" si="10"/>
        <v>273.82315783622602</v>
      </c>
      <c r="CC55" s="59">
        <f t="shared" si="11"/>
        <v>567.15649116955933</v>
      </c>
      <c r="CD55" s="59">
        <f ca="1">AVERAGE(OFFSET($CC$3,0,0,'Données projet'!$E$12+1,1))-AVERAGE(OFFSET($H$3,0,0,'Données projet'!$E$12+1,1))</f>
        <v>124.15919323713428</v>
      </c>
      <c r="CE55" s="59">
        <f t="shared" si="40"/>
        <v>157.85954678210715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2.7311749271993833</v>
      </c>
      <c r="CM55" s="21">
        <f>EXP(-LN(2)/2)*CM54+(1-EXP(-LN(2)/2))/(LN(2)/2)*CG55*CJ55*VLOOKUP('Données projet'!$B$12,Paramètres!$A$1:$I$89,3,0)*0.475*44/12</f>
        <v>3.6022137436734604E-3</v>
      </c>
      <c r="CN55" s="22">
        <f t="shared" si="12"/>
        <v>2.7347771409430566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5.5</v>
      </c>
      <c r="N56" s="13">
        <f>IF('Données projet'!$A$36&gt;35,N55+M56-V55,IF(A56&lt;'Données projet'!$A$36,$K$205^A56,IF(A56='Données projet'!$A$36,'Données projet'!$B$36,N55+M56-V55)))</f>
        <v>123.49999999999997</v>
      </c>
      <c r="O56" s="13">
        <f>N56*VLOOKUP('Données projet'!$B$9,Paramètres!$A$1:$I$89,3,0)*VLOOKUP('Données projet'!$B$9,Paramètres!$A$1:$I$89,5,0)</f>
        <v>111.74279999999997</v>
      </c>
      <c r="P56" s="13">
        <f t="shared" si="33"/>
        <v>29.741225429709573</v>
      </c>
      <c r="Q56" s="20">
        <f t="shared" si="53"/>
        <v>246.4180109567441</v>
      </c>
      <c r="R56" s="59">
        <f t="shared" si="0"/>
        <v>539.75134429007744</v>
      </c>
      <c r="S56" s="59">
        <f ca="1">AVERAGE(OFFSET($R$3,0,0,'Données projet'!$E$9+1,1))-AVERAGE(OFFSET($H$3,0,0,'Données projet'!$E$9+1,1))</f>
        <v>138.8931001150624</v>
      </c>
      <c r="T56" s="59">
        <f t="shared" si="34"/>
        <v>48.964659354096625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180.79999999999973</v>
      </c>
      <c r="AJ56" s="13">
        <f>AI56*VLOOKUP('Données projet'!$B$10,Paramètres!$A$1:$I$89,3,0)*VLOOKUP('Données projet'!$B$10,Paramètres!$A$1:$I$89,5,0)</f>
        <v>157.94687999999979</v>
      </c>
      <c r="AK56" s="13">
        <f t="shared" si="35"/>
        <v>40.379080953267021</v>
      </c>
      <c r="AL56" s="20">
        <f t="shared" si="4"/>
        <v>345.41771532693969</v>
      </c>
      <c r="AM56" s="59">
        <f t="shared" si="5"/>
        <v>638.751048660273</v>
      </c>
      <c r="AN56" s="59">
        <f ca="1">AVERAGE(OFFSET($AM$3,0,0,'Données projet'!$E$10+1,1))-AVERAGE(OFFSET($H$3,0,0,'Données projet'!$E$10+1,1))</f>
        <v>191.94797389630673</v>
      </c>
      <c r="AO56" s="59">
        <f t="shared" si="36"/>
        <v>273.52540822767878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1.63267660388536</v>
      </c>
      <c r="AV56" s="21">
        <f>EXP(-LN(2)/25)*AV55+(1-EXP(-LN(2)/25))/(LN(2)/25)*Calculateur!AQ56*Calculateur!AS56*VLOOKUP('Données projet'!$B$10,Paramètres!$A$1:$I$89,3,0)*0.475*44/12</f>
        <v>7.4245745473304927</v>
      </c>
      <c r="AW56" s="21">
        <f>EXP(-LN(2)/2)*AW55+(1-EXP(-LN(2)/2))/(LN(2)/2)*AQ56*AT56*VLOOKUP('Données projet'!$B$10,Paramètres!$A$1:$I$89,3,0)*0.475*44/12</f>
        <v>8.0112515306622785E-3</v>
      </c>
      <c r="AX56" s="21">
        <f t="shared" si="6"/>
        <v>9.0652624027465158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14.8</v>
      </c>
      <c r="BD56" s="12">
        <f>IF('Données projet'!$A$88&gt;35,BD55+BC56-BL55,IF(A56&lt;'Données projet'!$A$88,$BA$205^A56,IF(A56='Données projet'!$A$88,'Données projet'!$B$88,BD55+BC56-BL55)))</f>
        <v>401.39999999999975</v>
      </c>
      <c r="BE56" s="13">
        <f>BD56*VLOOKUP('Données projet'!$B$11,Paramètres!$A$1:$I$89,3,0)*VLOOKUP('Données projet'!$B$11,Paramètres!$A$1:$I$89,5,0)</f>
        <v>224.38259999999985</v>
      </c>
      <c r="BF56" s="13">
        <f t="shared" si="37"/>
        <v>55.06632591089982</v>
      </c>
      <c r="BG56" s="20">
        <f t="shared" si="7"/>
        <v>486.70687929481687</v>
      </c>
      <c r="BH56" s="59">
        <f t="shared" si="8"/>
        <v>780.04021262815013</v>
      </c>
      <c r="BI56" s="59">
        <f ca="1">AVERAGE(OFFSET($BH$3,0,0,'Données projet'!$E$11+1,1))-AVERAGE(OFFSET($H$3,0,0,'Données projet'!$E$11+1,1))</f>
        <v>279.98352834501759</v>
      </c>
      <c r="BJ56" s="59">
        <f t="shared" si="38"/>
        <v>281.30062655265488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2.5345987600639655</v>
      </c>
      <c r="BQ56" s="21">
        <f>EXP(-LN(2)/25)*BQ55+(1-EXP(-LN(2)/25))/(LN(2)/25)*Calculateur!BL56*Calculateur!BN56*VLOOKUP('Données projet'!$B$11,Paramètres!$A$1:$I$89,3,0)*0.475*44/12</f>
        <v>12.804160110104325</v>
      </c>
      <c r="BR56" s="21">
        <f>EXP(-LN(2)/2)*BR55+(1-EXP(-LN(2)/2))/(LN(2)/2)*BL56*BO56*VLOOKUP('Données projet'!$B$11,Paramètres!$A$1:$I$89,3,0)*0.475*44/12</f>
        <v>9.7769736247802583E-3</v>
      </c>
      <c r="BS56" s="22">
        <f t="shared" si="9"/>
        <v>15.348535843793071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4.4000000000000004</v>
      </c>
      <c r="BY56" s="12">
        <f>IF('Données projet'!$A$114&gt;35,BY55+BX56-CG55,IF(A56&lt;'Données projet'!$A$114,$BV$205^A56,IF(A56='Données projet'!$A$114,'Données projet'!$B$114,BY55+BX56-CG55)))</f>
        <v>174.2</v>
      </c>
      <c r="BZ56" s="13">
        <f>BY56*VLOOKUP('Données projet'!$B$12,Paramètres!$A$1:$I$89,3,0)*VLOOKUP('Données projet'!$B$12,Paramètres!$A$1:$I$89,5,0)</f>
        <v>127.72344</v>
      </c>
      <c r="CA56" s="13">
        <f t="shared" si="39"/>
        <v>33.469773485693828</v>
      </c>
      <c r="CB56" s="20">
        <f t="shared" si="10"/>
        <v>280.74484682091673</v>
      </c>
      <c r="CC56" s="59">
        <f t="shared" si="11"/>
        <v>574.07818015425005</v>
      </c>
      <c r="CD56" s="59">
        <f ca="1">AVERAGE(OFFSET($CC$3,0,0,'Données projet'!$E$12+1,1))-AVERAGE(OFFSET($H$3,0,0,'Données projet'!$E$12+1,1))</f>
        <v>124.15919323713428</v>
      </c>
      <c r="CE56" s="59">
        <f t="shared" si="40"/>
        <v>157.85954678210715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2.6564908051888687</v>
      </c>
      <c r="CM56" s="21">
        <f>EXP(-LN(2)/2)*CM55+(1-EXP(-LN(2)/2))/(LN(2)/2)*CG56*CJ56*VLOOKUP('Données projet'!$B$12,Paramètres!$A$1:$I$89,3,0)*0.475*44/12</f>
        <v>2.5471497654348837E-3</v>
      </c>
      <c r="CN56" s="22">
        <f t="shared" si="12"/>
        <v>2.6590379549543037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5.5</v>
      </c>
      <c r="N57" s="13">
        <f>IF('Données projet'!$A$36&gt;35,N56+M57-V56,IF(A57&lt;'Données projet'!$A$36,$K$205^A57,IF(A57='Données projet'!$A$36,'Données projet'!$B$36,N56+M57-V56)))</f>
        <v>128.99999999999997</v>
      </c>
      <c r="O57" s="13">
        <f>N57*VLOOKUP('Données projet'!$B$9,Paramètres!$A$1:$I$89,3,0)*VLOOKUP('Données projet'!$B$9,Paramètres!$A$1:$I$89,5,0)</f>
        <v>116.71919999999997</v>
      </c>
      <c r="P57" s="13">
        <f t="shared" si="33"/>
        <v>30.908576435525887</v>
      </c>
      <c r="Q57" s="20">
        <f t="shared" si="53"/>
        <v>257.11837729187414</v>
      </c>
      <c r="R57" s="59">
        <f t="shared" si="0"/>
        <v>550.4517106252074</v>
      </c>
      <c r="S57" s="59">
        <f ca="1">AVERAGE(OFFSET($R$3,0,0,'Données projet'!$E$9+1,1))-AVERAGE(OFFSET($H$3,0,0,'Données projet'!$E$9+1,1))</f>
        <v>138.8931001150624</v>
      </c>
      <c r="T57" s="59">
        <f t="shared" si="34"/>
        <v>48.964659354096625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186.39999999999972</v>
      </c>
      <c r="AJ57" s="13">
        <f>AI57*VLOOKUP('Données projet'!$B$10,Paramètres!$A$1:$I$89,3,0)*VLOOKUP('Données projet'!$B$10,Paramètres!$A$1:$I$89,5,0)</f>
        <v>162.83903999999978</v>
      </c>
      <c r="AK57" s="13">
        <f t="shared" si="35"/>
        <v>41.482211836000076</v>
      </c>
      <c r="AL57" s="20">
        <f t="shared" si="4"/>
        <v>355.85951361436645</v>
      </c>
      <c r="AM57" s="59">
        <f t="shared" si="5"/>
        <v>649.19284694769976</v>
      </c>
      <c r="AN57" s="59">
        <f ca="1">AVERAGE(OFFSET($AM$3,0,0,'Données projet'!$E$10+1,1))-AVERAGE(OFFSET($H$3,0,0,'Données projet'!$E$10+1,1))</f>
        <v>191.94797389630673</v>
      </c>
      <c r="AO57" s="59">
        <f t="shared" si="36"/>
        <v>273.52540822767878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1.600660811517566</v>
      </c>
      <c r="AV57" s="21">
        <f>EXP(-LN(2)/25)*AV56+(1-EXP(-LN(2)/25))/(LN(2)/25)*Calculateur!AQ57*Calculateur!AS57*VLOOKUP('Données projet'!$B$10,Paramètres!$A$1:$I$89,3,0)*0.475*44/12</f>
        <v>7.2215491658923341</v>
      </c>
      <c r="AW57" s="21">
        <f>EXP(-LN(2)/2)*AW56+(1-EXP(-LN(2)/2))/(LN(2)/2)*AQ57*AT57*VLOOKUP('Données projet'!$B$10,Paramètres!$A$1:$I$89,3,0)*0.475*44/12</f>
        <v>5.6648102831224059E-3</v>
      </c>
      <c r="AX57" s="21">
        <f t="shared" si="6"/>
        <v>8.8278747876930215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14.8</v>
      </c>
      <c r="BD57" s="12">
        <f>IF('Données projet'!$A$88&gt;35,BD56+BC57-BL56,IF(A57&lt;'Données projet'!$A$88,$BA$205^A57,IF(A57='Données projet'!$A$88,'Données projet'!$B$88,BD56+BC57-BL56)))</f>
        <v>416.19999999999976</v>
      </c>
      <c r="BE57" s="13">
        <f>BD57*VLOOKUP('Données projet'!$B$11,Paramètres!$A$1:$I$89,3,0)*VLOOKUP('Données projet'!$B$11,Paramètres!$A$1:$I$89,5,0)</f>
        <v>232.65579999999986</v>
      </c>
      <c r="BF57" s="13">
        <f t="shared" si="37"/>
        <v>56.856543319741832</v>
      </c>
      <c r="BG57" s="20">
        <f t="shared" si="7"/>
        <v>504.2339979485501</v>
      </c>
      <c r="BH57" s="59">
        <f t="shared" si="8"/>
        <v>797.56733128188341</v>
      </c>
      <c r="BI57" s="59">
        <f ca="1">AVERAGE(OFFSET($BH$3,0,0,'Données projet'!$E$11+1,1))-AVERAGE(OFFSET($H$3,0,0,'Données projet'!$E$11+1,1))</f>
        <v>279.98352834501759</v>
      </c>
      <c r="BJ57" s="59">
        <f t="shared" si="38"/>
        <v>281.30062655265488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2.4848968243317047</v>
      </c>
      <c r="BQ57" s="21">
        <f>EXP(-LN(2)/25)*BQ56+(1-EXP(-LN(2)/25))/(LN(2)/25)*Calculateur!BL57*Calculateur!BN57*VLOOKUP('Données projet'!$B$11,Paramètres!$A$1:$I$89,3,0)*0.475*44/12</f>
        <v>12.454029678552006</v>
      </c>
      <c r="BR57" s="21">
        <f>EXP(-LN(2)/2)*BR56+(1-EXP(-LN(2)/2))/(LN(2)/2)*BL57*BO57*VLOOKUP('Données projet'!$B$11,Paramètres!$A$1:$I$89,3,0)*0.475*44/12</f>
        <v>6.9133643495641406E-3</v>
      </c>
      <c r="BS57" s="22">
        <f t="shared" si="9"/>
        <v>14.945839867233275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4.4000000000000004</v>
      </c>
      <c r="BY57" s="12">
        <f>IF('Données projet'!$A$114&gt;35,BY56+BX57-CG56,IF(A57&lt;'Données projet'!$A$114,$BV$205^A57,IF(A57='Données projet'!$A$114,'Données projet'!$B$114,BY56+BX57-CG56)))</f>
        <v>178.6</v>
      </c>
      <c r="BZ57" s="13">
        <f>BY57*VLOOKUP('Données projet'!$B$12,Paramètres!$A$1:$I$89,3,0)*VLOOKUP('Données projet'!$B$12,Paramètres!$A$1:$I$89,5,0)</f>
        <v>130.94952000000001</v>
      </c>
      <c r="CA57" s="13">
        <f t="shared" si="39"/>
        <v>34.215672510296287</v>
      </c>
      <c r="CB57" s="20">
        <f t="shared" si="10"/>
        <v>287.66271028876605</v>
      </c>
      <c r="CC57" s="59">
        <f t="shared" si="11"/>
        <v>580.99604362209936</v>
      </c>
      <c r="CD57" s="59">
        <f ca="1">AVERAGE(OFFSET($CC$3,0,0,'Données projet'!$E$12+1,1))-AVERAGE(OFFSET($H$3,0,0,'Données projet'!$E$12+1,1))</f>
        <v>124.15919323713428</v>
      </c>
      <c r="CE57" s="59">
        <f t="shared" si="40"/>
        <v>157.85954678210715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2.5838489244221989</v>
      </c>
      <c r="CM57" s="21">
        <f>EXP(-LN(2)/2)*CM56+(1-EXP(-LN(2)/2))/(LN(2)/2)*CG57*CJ57*VLOOKUP('Données projet'!$B$12,Paramètres!$A$1:$I$89,3,0)*0.475*44/12</f>
        <v>1.8011068718367302E-3</v>
      </c>
      <c r="CN57" s="22">
        <f t="shared" si="12"/>
        <v>2.5856500312940356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5.5</v>
      </c>
      <c r="N58" s="13">
        <f>IF('Données projet'!$A$36&gt;35,N57+M58-V57,IF(A58&lt;'Données projet'!$A$36,$K$205^A58,IF(A58='Données projet'!$A$36,'Données projet'!$B$36,N57+M58-V57)))</f>
        <v>134.49999999999997</v>
      </c>
      <c r="O58" s="13">
        <f>N58*VLOOKUP('Données projet'!$B$9,Paramètres!$A$1:$I$89,3,0)*VLOOKUP('Données projet'!$B$9,Paramètres!$A$1:$I$89,5,0)</f>
        <v>121.69559999999997</v>
      </c>
      <c r="P58" s="13">
        <f t="shared" si="33"/>
        <v>32.070146624846785</v>
      </c>
      <c r="Q58" s="20">
        <f t="shared" si="53"/>
        <v>267.8086753716081</v>
      </c>
      <c r="R58" s="59">
        <f t="shared" si="0"/>
        <v>561.14200870494142</v>
      </c>
      <c r="S58" s="59">
        <f ca="1">AVERAGE(OFFSET($R$3,0,0,'Données projet'!$E$9+1,1))-AVERAGE(OFFSET($H$3,0,0,'Données projet'!$E$9+1,1))</f>
        <v>138.8931001150624</v>
      </c>
      <c r="T58" s="59">
        <f t="shared" si="34"/>
        <v>48.964659354096625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191.99999999999972</v>
      </c>
      <c r="AJ58" s="13">
        <f>AI58*VLOOKUP('Données projet'!$B$10,Paramètres!$A$1:$I$89,3,0)*VLOOKUP('Données projet'!$B$10,Paramètres!$A$1:$I$89,5,0)</f>
        <v>167.73119999999977</v>
      </c>
      <c r="AK58" s="13">
        <f t="shared" si="35"/>
        <v>42.581491199832612</v>
      </c>
      <c r="AL58" s="20">
        <f t="shared" si="4"/>
        <v>366.29460383970803</v>
      </c>
      <c r="AM58" s="59">
        <f t="shared" si="5"/>
        <v>659.62793717304135</v>
      </c>
      <c r="AN58" s="59">
        <f ca="1">AVERAGE(OFFSET($AM$3,0,0,'Données projet'!$E$10+1,1))-AVERAGE(OFFSET($H$3,0,0,'Données projet'!$E$10+1,1))</f>
        <v>191.94797389630673</v>
      </c>
      <c r="AO58" s="59">
        <f t="shared" si="36"/>
        <v>273.52540822767878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1.5692728293103992</v>
      </c>
      <c r="AV58" s="21">
        <f>EXP(-LN(2)/25)*AV57+(1-EXP(-LN(2)/25))/(LN(2)/25)*Calculateur!AQ58*Calculateur!AS58*VLOOKUP('Données projet'!$B$10,Paramètres!$A$1:$I$89,3,0)*0.475*44/12</f>
        <v>7.0240755241862427</v>
      </c>
      <c r="AW58" s="21">
        <f>EXP(-LN(2)/2)*AW57+(1-EXP(-LN(2)/2))/(LN(2)/2)*AQ58*AT58*VLOOKUP('Données projet'!$B$10,Paramètres!$A$1:$I$89,3,0)*0.475*44/12</f>
        <v>4.0056257653311392E-3</v>
      </c>
      <c r="AX58" s="21">
        <f t="shared" si="6"/>
        <v>8.5973539792619729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14.8</v>
      </c>
      <c r="BD58" s="12">
        <f>IF('Données projet'!$A$88&gt;35,BD57+BC58-BL57,IF(A58&lt;'Données projet'!$A$88,$BA$205^A58,IF(A58='Données projet'!$A$88,'Données projet'!$B$88,BD57+BC58-BL57)))</f>
        <v>430.99999999999977</v>
      </c>
      <c r="BE58" s="13">
        <f>BD58*VLOOKUP('Données projet'!$B$11,Paramètres!$A$1:$I$89,3,0)*VLOOKUP('Données projet'!$B$11,Paramètres!$A$1:$I$89,5,0)</f>
        <v>240.92899999999989</v>
      </c>
      <c r="BF58" s="13">
        <f t="shared" si="37"/>
        <v>58.63936439325547</v>
      </c>
      <c r="BG58" s="20">
        <f t="shared" si="7"/>
        <v>521.74823465158636</v>
      </c>
      <c r="BH58" s="59">
        <f t="shared" si="8"/>
        <v>815.08156798491973</v>
      </c>
      <c r="BI58" s="59">
        <f ca="1">AVERAGE(OFFSET($BH$3,0,0,'Données projet'!$E$11+1,1))-AVERAGE(OFFSET($H$3,0,0,'Données projet'!$E$11+1,1))</f>
        <v>279.98352834501759</v>
      </c>
      <c r="BJ58" s="59">
        <f t="shared" si="38"/>
        <v>281.30062655265488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2.436169513243966</v>
      </c>
      <c r="BQ58" s="21">
        <f>EXP(-LN(2)/25)*BQ57+(1-EXP(-LN(2)/25))/(LN(2)/25)*Calculateur!BL58*Calculateur!BN58*VLOOKUP('Données projet'!$B$11,Paramètres!$A$1:$I$89,3,0)*0.475*44/12</f>
        <v>12.113473582063044</v>
      </c>
      <c r="BR58" s="21">
        <f>EXP(-LN(2)/2)*BR57+(1-EXP(-LN(2)/2))/(LN(2)/2)*BL58*BO58*VLOOKUP('Données projet'!$B$11,Paramètres!$A$1:$I$89,3,0)*0.475*44/12</f>
        <v>4.8884868123901292E-3</v>
      </c>
      <c r="BS58" s="22">
        <f t="shared" si="9"/>
        <v>14.554531582119401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4.4000000000000004</v>
      </c>
      <c r="BY58" s="12">
        <f>IF('Données projet'!$A$114&gt;35,BY57+BX58-CG57,IF(A58&lt;'Données projet'!$A$114,$BV$205^A58,IF(A58='Données projet'!$A$114,'Données projet'!$B$114,BY57+BX58-CG57)))</f>
        <v>183</v>
      </c>
      <c r="BZ58" s="13">
        <f>BY58*VLOOKUP('Données projet'!$B$12,Paramètres!$A$1:$I$89,3,0)*VLOOKUP('Données projet'!$B$12,Paramètres!$A$1:$I$89,5,0)</f>
        <v>134.1756</v>
      </c>
      <c r="CA58" s="13">
        <f t="shared" si="39"/>
        <v>34.959435402722768</v>
      </c>
      <c r="CB58" s="20">
        <f t="shared" si="10"/>
        <v>294.57685332640881</v>
      </c>
      <c r="CC58" s="59">
        <f t="shared" si="11"/>
        <v>587.91018665974207</v>
      </c>
      <c r="CD58" s="59">
        <f ca="1">AVERAGE(OFFSET($CC$3,0,0,'Données projet'!$E$12+1,1))-AVERAGE(OFFSET($H$3,0,0,'Données projet'!$E$12+1,1))</f>
        <v>124.15919323713428</v>
      </c>
      <c r="CE58" s="59">
        <f t="shared" si="40"/>
        <v>157.85954678210715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2.5131934397051645</v>
      </c>
      <c r="CM58" s="21">
        <f>EXP(-LN(2)/2)*CM57+(1-EXP(-LN(2)/2))/(LN(2)/2)*CG58*CJ58*VLOOKUP('Données projet'!$B$12,Paramètres!$A$1:$I$89,3,0)*0.475*44/12</f>
        <v>1.2735748827174419E-3</v>
      </c>
      <c r="CN58" s="22">
        <f t="shared" si="12"/>
        <v>2.5144670145878818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5.5</v>
      </c>
      <c r="N59" s="13">
        <f>IF('Données projet'!$A$36&gt;35,N58+M59-V58,IF(A59&lt;'Données projet'!$A$36,$K$205^A59,IF(A59='Données projet'!$A$36,'Données projet'!$B$36,N58+M59-V58)))</f>
        <v>139.99999999999997</v>
      </c>
      <c r="O59" s="13">
        <f>N59*VLOOKUP('Données projet'!$B$9,Paramètres!$A$1:$I$89,3,0)*VLOOKUP('Données projet'!$B$9,Paramètres!$A$1:$I$89,5,0)</f>
        <v>126.67199999999997</v>
      </c>
      <c r="P59" s="13">
        <f t="shared" si="33"/>
        <v>33.226199426361319</v>
      </c>
      <c r="Q59" s="20">
        <f t="shared" si="53"/>
        <v>278.48936400091259</v>
      </c>
      <c r="R59" s="59">
        <f t="shared" si="0"/>
        <v>571.82269733424596</v>
      </c>
      <c r="S59" s="59">
        <f ca="1">AVERAGE(OFFSET($R$3,0,0,'Données projet'!$E$9+1,1))-AVERAGE(OFFSET($H$3,0,0,'Données projet'!$E$9+1,1))</f>
        <v>138.8931001150624</v>
      </c>
      <c r="T59" s="59">
        <f t="shared" si="34"/>
        <v>48.964659354096625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5.6</v>
      </c>
      <c r="AI59" s="13">
        <f>IF('Données projet'!$A$62&gt;35,AI58+AH59-AQ58,IF(A59&lt;'Données projet'!$A$62,$AF$205^A59,IF(A59='Données projet'!$A$62,'Données projet'!$B$62,AI58+AH59-AQ58)))</f>
        <v>197.59999999999971</v>
      </c>
      <c r="AJ59" s="13">
        <f>AI59*VLOOKUP('Données projet'!$B$10,Paramètres!$A$1:$I$89,3,0)*VLOOKUP('Données projet'!$B$10,Paramètres!$A$1:$I$89,5,0)</f>
        <v>172.62335999999976</v>
      </c>
      <c r="AK59" s="13">
        <f t="shared" si="35"/>
        <v>43.677044279986035</v>
      </c>
      <c r="AL59" s="20">
        <f t="shared" si="4"/>
        <v>376.72320412097525</v>
      </c>
      <c r="AM59" s="59">
        <f t="shared" si="5"/>
        <v>670.05653745430857</v>
      </c>
      <c r="AN59" s="59">
        <f ca="1">AVERAGE(OFFSET($AM$3,0,0,'Données projet'!$E$10+1,1))-AVERAGE(OFFSET($H$3,0,0,'Données projet'!$E$10+1,1))</f>
        <v>191.94797389630673</v>
      </c>
      <c r="AO59" s="59">
        <f t="shared" si="36"/>
        <v>273.52540822767878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1.5385003462895364</v>
      </c>
      <c r="AV59" s="21">
        <f>EXP(-LN(2)/25)*AV58+(1-EXP(-LN(2)/25))/(LN(2)/25)*Calculateur!AQ59*Calculateur!AS59*VLOOKUP('Données projet'!$B$10,Paramètres!$A$1:$I$89,3,0)*0.475*44/12</f>
        <v>6.8320018095972914</v>
      </c>
      <c r="AW59" s="21">
        <f>EXP(-LN(2)/2)*AW58+(1-EXP(-LN(2)/2))/(LN(2)/2)*AQ59*AT59*VLOOKUP('Données projet'!$B$10,Paramètres!$A$1:$I$89,3,0)*0.475*44/12</f>
        <v>2.8324051415612029E-3</v>
      </c>
      <c r="AX59" s="21">
        <f t="shared" si="6"/>
        <v>8.373334561028388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14.8</v>
      </c>
      <c r="BD59" s="12">
        <f>IF('Données projet'!$A$88&gt;35,BD58+BC59-BL58,IF(A59&lt;'Données projet'!$A$88,$BA$205^A59,IF(A59='Données projet'!$A$88,'Données projet'!$B$88,BD58+BC59-BL58)))</f>
        <v>445.79999999999978</v>
      </c>
      <c r="BE59" s="13">
        <f>BD59*VLOOKUP('Données projet'!$B$11,Paramètres!$A$1:$I$89,3,0)*VLOOKUP('Données projet'!$B$11,Paramètres!$A$1:$I$89,5,0)</f>
        <v>249.20219999999989</v>
      </c>
      <c r="BF59" s="13">
        <f t="shared" si="37"/>
        <v>60.415072222849211</v>
      </c>
      <c r="BG59" s="20">
        <f t="shared" si="7"/>
        <v>539.25008245479557</v>
      </c>
      <c r="BH59" s="59">
        <f t="shared" si="8"/>
        <v>832.58341578812883</v>
      </c>
      <c r="BI59" s="59">
        <f ca="1">AVERAGE(OFFSET($BH$3,0,0,'Données projet'!$E$11+1,1))-AVERAGE(OFFSET($H$3,0,0,'Données projet'!$E$11+1,1))</f>
        <v>279.98352834501759</v>
      </c>
      <c r="BJ59" s="59">
        <f t="shared" si="38"/>
        <v>281.30062655265488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2.388397715005933</v>
      </c>
      <c r="BQ59" s="21">
        <f>EXP(-LN(2)/25)*BQ58+(1-EXP(-LN(2)/25))/(LN(2)/25)*Calculateur!BL59*Calculateur!BN59*VLOOKUP('Données projet'!$B$11,Paramètres!$A$1:$I$89,3,0)*0.475*44/12</f>
        <v>11.782230009941641</v>
      </c>
      <c r="BR59" s="21">
        <f>EXP(-LN(2)/2)*BR58+(1-EXP(-LN(2)/2))/(LN(2)/2)*BL59*BO59*VLOOKUP('Données projet'!$B$11,Paramètres!$A$1:$I$89,3,0)*0.475*44/12</f>
        <v>3.4566821747820703E-3</v>
      </c>
      <c r="BS59" s="22">
        <f t="shared" si="9"/>
        <v>14.174084407122356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4.4000000000000004</v>
      </c>
      <c r="BY59" s="12">
        <f>IF('Données projet'!$A$114&gt;35,BY58+BX59-CG58,IF(A59&lt;'Données projet'!$A$114,$BV$205^A59,IF(A59='Données projet'!$A$114,'Données projet'!$B$114,BY58+BX59-CG58)))</f>
        <v>187.4</v>
      </c>
      <c r="BZ59" s="13">
        <f>BY59*VLOOKUP('Données projet'!$B$12,Paramètres!$A$1:$I$89,3,0)*VLOOKUP('Données projet'!$B$12,Paramètres!$A$1:$I$89,5,0)</f>
        <v>137.40168</v>
      </c>
      <c r="CA59" s="13">
        <f t="shared" si="39"/>
        <v>35.701119432892604</v>
      </c>
      <c r="CB59" s="20">
        <f t="shared" si="10"/>
        <v>301.48737567895461</v>
      </c>
      <c r="CC59" s="59">
        <f t="shared" si="11"/>
        <v>594.82070901228792</v>
      </c>
      <c r="CD59" s="59">
        <f ca="1">AVERAGE(OFFSET($CC$3,0,0,'Données projet'!$E$12+1,1))-AVERAGE(OFFSET($H$3,0,0,'Données projet'!$E$12+1,1))</f>
        <v>124.15919323713428</v>
      </c>
      <c r="CE59" s="59">
        <f t="shared" si="40"/>
        <v>157.85954678210715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2.444470032933328</v>
      </c>
      <c r="CM59" s="21">
        <f>EXP(-LN(2)/2)*CM58+(1-EXP(-LN(2)/2))/(LN(2)/2)*CG59*CJ59*VLOOKUP('Données projet'!$B$12,Paramètres!$A$1:$I$89,3,0)*0.475*44/12</f>
        <v>9.0055343591836511E-4</v>
      </c>
      <c r="CN59" s="22">
        <f t="shared" si="12"/>
        <v>2.4453705863692465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5.5</v>
      </c>
      <c r="N60" s="13">
        <f>IF('Données projet'!$A$36&gt;35,N59+M60-V59,IF(A60&lt;'Données projet'!$A$36,$K$205^A60,IF(A60='Données projet'!$A$36,'Données projet'!$B$36,N59+M60-V59)))</f>
        <v>145.49999999999997</v>
      </c>
      <c r="O60" s="13">
        <f>N60*VLOOKUP('Données projet'!$B$9,Paramètres!$A$1:$I$89,3,0)*VLOOKUP('Données projet'!$B$9,Paramètres!$A$1:$I$89,5,0)</f>
        <v>131.64839999999995</v>
      </c>
      <c r="P60" s="13">
        <f t="shared" si="33"/>
        <v>34.376976398956401</v>
      </c>
      <c r="Q60" s="20">
        <f t="shared" si="53"/>
        <v>289.16086389484894</v>
      </c>
      <c r="R60" s="59">
        <f t="shared" si="0"/>
        <v>582.4941972281822</v>
      </c>
      <c r="S60" s="59">
        <f ca="1">AVERAGE(OFFSET($R$3,0,0,'Données projet'!$E$9+1,1))-AVERAGE(OFFSET($H$3,0,0,'Données projet'!$E$9+1,1))</f>
        <v>138.8931001150624</v>
      </c>
      <c r="T60" s="59">
        <f t="shared" si="34"/>
        <v>48.964659354096625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5.6</v>
      </c>
      <c r="AI60" s="13">
        <f>IF('Données projet'!$A$62&gt;35,AI59+AH60-AQ59,IF(A60&lt;'Données projet'!$A$62,$AF$205^A60,IF(A60='Données projet'!$A$62,'Données projet'!$B$62,AI59+AH60-AQ59)))</f>
        <v>203.1999999999997</v>
      </c>
      <c r="AJ60" s="13">
        <f>AI60*VLOOKUP('Données projet'!$B$10,Paramètres!$A$1:$I$89,3,0)*VLOOKUP('Données projet'!$B$10,Paramètres!$A$1:$I$89,5,0)</f>
        <v>177.51551999999975</v>
      </c>
      <c r="AK60" s="13">
        <f t="shared" si="35"/>
        <v>44.768988809542861</v>
      </c>
      <c r="AL60" s="20">
        <f t="shared" si="4"/>
        <v>387.14551950995337</v>
      </c>
      <c r="AM60" s="59">
        <f t="shared" si="5"/>
        <v>680.47885284328663</v>
      </c>
      <c r="AN60" s="59">
        <f ca="1">AVERAGE(OFFSET($AM$3,0,0,'Données projet'!$E$10+1,1))-AVERAGE(OFFSET($H$3,0,0,'Données projet'!$E$10+1,1))</f>
        <v>191.94797389630673</v>
      </c>
      <c r="AO60" s="59">
        <f t="shared" si="36"/>
        <v>273.52540822767878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1.5083312928913513</v>
      </c>
      <c r="AV60" s="21">
        <f>EXP(-LN(2)/25)*AV59+(1-EXP(-LN(2)/25))/(LN(2)/25)*Calculateur!AQ60*Calculateur!AS60*VLOOKUP('Données projet'!$B$10,Paramètres!$A$1:$I$89,3,0)*0.475*44/12</f>
        <v>6.6451803608344928</v>
      </c>
      <c r="AW60" s="21">
        <f>EXP(-LN(2)/2)*AW59+(1-EXP(-LN(2)/2))/(LN(2)/2)*AQ60*AT60*VLOOKUP('Données projet'!$B$10,Paramètres!$A$1:$I$89,3,0)*0.475*44/12</f>
        <v>2.0028128826655696E-3</v>
      </c>
      <c r="AX60" s="21">
        <f t="shared" si="6"/>
        <v>8.1555144666085084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14.8</v>
      </c>
      <c r="BD60" s="12">
        <f>IF('Données projet'!$A$88&gt;35,BD59+BC60-BL59,IF(A60&lt;'Données projet'!$A$88,$BA$205^A60,IF(A60='Données projet'!$A$88,'Données projet'!$B$88,BD59+BC60-BL59)))</f>
        <v>460.5999999999998</v>
      </c>
      <c r="BE60" s="13">
        <f>BD60*VLOOKUP('Données projet'!$B$11,Paramètres!$A$1:$I$89,3,0)*VLOOKUP('Données projet'!$B$11,Paramètres!$A$1:$I$89,5,0)</f>
        <v>257.47539999999987</v>
      </c>
      <c r="BF60" s="13">
        <f t="shared" si="37"/>
        <v>62.183930036702598</v>
      </c>
      <c r="BG60" s="20">
        <f t="shared" si="7"/>
        <v>556.73999981392342</v>
      </c>
      <c r="BH60" s="59">
        <f t="shared" si="8"/>
        <v>850.07333314725679</v>
      </c>
      <c r="BI60" s="59">
        <f ca="1">AVERAGE(OFFSET($BH$3,0,0,'Données projet'!$E$11+1,1))-AVERAGE(OFFSET($H$3,0,0,'Données projet'!$E$11+1,1))</f>
        <v>279.98352834501759</v>
      </c>
      <c r="BJ60" s="59">
        <f t="shared" si="38"/>
        <v>281.30062655265488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2.3415626925934276</v>
      </c>
      <c r="BQ60" s="21">
        <f>EXP(-LN(2)/25)*BQ59+(1-EXP(-LN(2)/25))/(LN(2)/25)*Calculateur!BL60*Calculateur!BN60*VLOOKUP('Données projet'!$B$11,Paramètres!$A$1:$I$89,3,0)*0.475*44/12</f>
        <v>11.460044310719239</v>
      </c>
      <c r="BR60" s="21">
        <f>EXP(-LN(2)/2)*BR59+(1-EXP(-LN(2)/2))/(LN(2)/2)*BL60*BO60*VLOOKUP('Données projet'!$B$11,Paramètres!$A$1:$I$89,3,0)*0.475*44/12</f>
        <v>2.4442434061950646E-3</v>
      </c>
      <c r="BS60" s="22">
        <f t="shared" si="9"/>
        <v>13.804051246718862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4.4000000000000004</v>
      </c>
      <c r="BY60" s="12">
        <f>IF('Données projet'!$A$114&gt;35,BY59+BX60-CG59,IF(A60&lt;'Données projet'!$A$114,$BV$205^A60,IF(A60='Données projet'!$A$114,'Données projet'!$B$114,BY59+BX60-CG59)))</f>
        <v>191.8</v>
      </c>
      <c r="BZ60" s="13">
        <f>BY60*VLOOKUP('Données projet'!$B$12,Paramètres!$A$1:$I$89,3,0)*VLOOKUP('Données projet'!$B$12,Paramètres!$A$1:$I$89,5,0)</f>
        <v>140.62775999999999</v>
      </c>
      <c r="CA60" s="13">
        <f t="shared" si="39"/>
        <v>36.440779028004506</v>
      </c>
      <c r="CB60" s="20">
        <f t="shared" si="10"/>
        <v>308.39437214044113</v>
      </c>
      <c r="CC60" s="59">
        <f t="shared" si="11"/>
        <v>601.72770547377445</v>
      </c>
      <c r="CD60" s="59">
        <f ca="1">AVERAGE(OFFSET($CC$3,0,0,'Données projet'!$E$12+1,1))-AVERAGE(OFFSET($H$3,0,0,'Données projet'!$E$12+1,1))</f>
        <v>124.15919323713428</v>
      </c>
      <c r="CE60" s="59">
        <f t="shared" si="40"/>
        <v>157.85954678210715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2.3776258713336742</v>
      </c>
      <c r="CM60" s="21">
        <f>EXP(-LN(2)/2)*CM59+(1-EXP(-LN(2)/2))/(LN(2)/2)*CG60*CJ60*VLOOKUP('Données projet'!$B$12,Paramètres!$A$1:$I$89,3,0)*0.475*44/12</f>
        <v>6.3678744135872093E-4</v>
      </c>
      <c r="CN60" s="22">
        <f t="shared" si="12"/>
        <v>2.3782626587750331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5.5</v>
      </c>
      <c r="N61" s="13">
        <f>IF('Données projet'!$A$36&gt;35,N60+M61-V60,IF(A61&lt;'Données projet'!$A$36,$K$205^A61,IF(A61='Données projet'!$A$36,'Données projet'!$B$36,N60+M61-V60)))</f>
        <v>150.99999999999997</v>
      </c>
      <c r="O61" s="13">
        <f>N61*VLOOKUP('Données projet'!$B$9,Paramètres!$A$1:$I$89,3,0)*VLOOKUP('Données projet'!$B$9,Paramètres!$A$1:$I$89,5,0)</f>
        <v>136.62479999999999</v>
      </c>
      <c r="P61" s="13">
        <f t="shared" si="33"/>
        <v>35.522699804888632</v>
      </c>
      <c r="Q61" s="20">
        <f t="shared" si="53"/>
        <v>299.82356216018104</v>
      </c>
      <c r="R61" s="59">
        <f t="shared" si="0"/>
        <v>593.15689549351441</v>
      </c>
      <c r="S61" s="59">
        <f ca="1">AVERAGE(OFFSET($R$3,0,0,'Données projet'!$E$9+1,1))-AVERAGE(OFFSET($H$3,0,0,'Données projet'!$E$9+1,1))</f>
        <v>138.8931001150624</v>
      </c>
      <c r="T61" s="59">
        <f t="shared" si="34"/>
        <v>48.964659354096625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5.6</v>
      </c>
      <c r="AI61" s="13">
        <f>IF('Données projet'!$A$62&gt;35,AI60+AH61-AQ60,IF(A61&lt;'Données projet'!$A$62,$AF$205^A61,IF(A61='Données projet'!$A$62,'Données projet'!$B$62,AI60+AH61-AQ60)))</f>
        <v>208.7999999999997</v>
      </c>
      <c r="AJ61" s="13">
        <f>AI61*VLOOKUP('Données projet'!$B$10,Paramètres!$A$1:$I$89,3,0)*VLOOKUP('Données projet'!$B$10,Paramètres!$A$1:$I$89,5,0)</f>
        <v>182.40767999999977</v>
      </c>
      <c r="AK61" s="13">
        <f t="shared" si="35"/>
        <v>45.857435663065878</v>
      </c>
      <c r="AL61" s="20">
        <f t="shared" si="4"/>
        <v>397.56174311317267</v>
      </c>
      <c r="AM61" s="59">
        <f t="shared" si="5"/>
        <v>690.89507644650598</v>
      </c>
      <c r="AN61" s="59">
        <f ca="1">AVERAGE(OFFSET($AM$3,0,0,'Données projet'!$E$10+1,1))-AVERAGE(OFFSET($H$3,0,0,'Données projet'!$E$10+1,1))</f>
        <v>191.94797389630673</v>
      </c>
      <c r="AO61" s="59">
        <f t="shared" si="36"/>
        <v>273.52540822767878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1.4787538362289989</v>
      </c>
      <c r="AV61" s="21">
        <f>EXP(-LN(2)/25)*AV60+(1-EXP(-LN(2)/25))/(LN(2)/25)*Calculateur!AQ61*Calculateur!AS61*VLOOKUP('Données projet'!$B$10,Paramètres!$A$1:$I$89,3,0)*0.475*44/12</f>
        <v>6.4634675544126265</v>
      </c>
      <c r="AW61" s="21">
        <f>EXP(-LN(2)/2)*AW60+(1-EXP(-LN(2)/2))/(LN(2)/2)*AQ61*AT61*VLOOKUP('Données projet'!$B$10,Paramètres!$A$1:$I$89,3,0)*0.475*44/12</f>
        <v>1.4162025707806015E-3</v>
      </c>
      <c r="AX61" s="21">
        <f t="shared" si="6"/>
        <v>7.9436375932124061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14.8</v>
      </c>
      <c r="BD61" s="12">
        <f>IF('Données projet'!$A$88&gt;35,BD60+BC61-BL60,IF(A61&lt;'Données projet'!$A$88,$BA$205^A61,IF(A61='Données projet'!$A$88,'Données projet'!$B$88,BD60+BC61-BL60)))</f>
        <v>475.39999999999981</v>
      </c>
      <c r="BE61" s="13">
        <f>BD61*VLOOKUP('Données projet'!$B$11,Paramètres!$A$1:$I$89,3,0)*VLOOKUP('Données projet'!$B$11,Paramètres!$A$1:$I$89,5,0)</f>
        <v>265.7485999999999</v>
      </c>
      <c r="BF61" s="13">
        <f t="shared" si="37"/>
        <v>63.946183186473277</v>
      </c>
      <c r="BG61" s="20">
        <f t="shared" si="7"/>
        <v>574.21841404977397</v>
      </c>
      <c r="BH61" s="59">
        <f t="shared" si="8"/>
        <v>867.55174738310734</v>
      </c>
      <c r="BI61" s="59">
        <f ca="1">AVERAGE(OFFSET($BH$3,0,0,'Données projet'!$E$11+1,1))-AVERAGE(OFFSET($H$3,0,0,'Données projet'!$E$11+1,1))</f>
        <v>279.98352834501759</v>
      </c>
      <c r="BJ61" s="59">
        <f t="shared" si="38"/>
        <v>281.30062655265488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2.2956460764038886</v>
      </c>
      <c r="BQ61" s="21">
        <f>EXP(-LN(2)/25)*BQ60+(1-EXP(-LN(2)/25))/(LN(2)/25)*Calculateur!BL61*Calculateur!BN61*VLOOKUP('Données projet'!$B$11,Paramètres!$A$1:$I$89,3,0)*0.475*44/12</f>
        <v>11.146668796385082</v>
      </c>
      <c r="BR61" s="21">
        <f>EXP(-LN(2)/2)*BR60+(1-EXP(-LN(2)/2))/(LN(2)/2)*BL61*BO61*VLOOKUP('Données projet'!$B$11,Paramètres!$A$1:$I$89,3,0)*0.475*44/12</f>
        <v>1.7283410873910352E-3</v>
      </c>
      <c r="BS61" s="22">
        <f t="shared" si="9"/>
        <v>13.444043213876363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4.4000000000000004</v>
      </c>
      <c r="BY61" s="12">
        <f>IF('Données projet'!$A$114&gt;35,BY60+BX61-CG60,IF(A61&lt;'Données projet'!$A$114,$BV$205^A61,IF(A61='Données projet'!$A$114,'Données projet'!$B$114,BY60+BX61-CG60)))</f>
        <v>196.20000000000002</v>
      </c>
      <c r="BZ61" s="13">
        <f>BY61*VLOOKUP('Données projet'!$B$12,Paramètres!$A$1:$I$89,3,0)*VLOOKUP('Données projet'!$B$12,Paramètres!$A$1:$I$89,5,0)</f>
        <v>143.85383999999999</v>
      </c>
      <c r="CA61" s="13">
        <f t="shared" si="39"/>
        <v>37.178465975568315</v>
      </c>
      <c r="CB61" s="20">
        <f t="shared" si="10"/>
        <v>315.29793290744811</v>
      </c>
      <c r="CC61" s="59">
        <f t="shared" si="11"/>
        <v>608.63126624078143</v>
      </c>
      <c r="CD61" s="59">
        <f ca="1">AVERAGE(OFFSET($CC$3,0,0,'Données projet'!$E$12+1,1))-AVERAGE(OFFSET($H$3,0,0,'Données projet'!$E$12+1,1))</f>
        <v>124.15919323713428</v>
      </c>
      <c r="CE61" s="59">
        <f t="shared" si="40"/>
        <v>157.85954678210715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2.3126095668481446</v>
      </c>
      <c r="CM61" s="21">
        <f>EXP(-LN(2)/2)*CM60+(1-EXP(-LN(2)/2))/(LN(2)/2)*CG61*CJ61*VLOOKUP('Données projet'!$B$12,Paramètres!$A$1:$I$89,3,0)*0.475*44/12</f>
        <v>4.5027671795918255E-4</v>
      </c>
      <c r="CN61" s="22">
        <f t="shared" si="12"/>
        <v>2.3130598435661036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5.5</v>
      </c>
      <c r="N62" s="13">
        <f>IF('Données projet'!$A$36&gt;35,N61+M62-V61,IF(A62&lt;'Données projet'!$A$36,$K$205^A62,IF(A62='Données projet'!$A$36,'Données projet'!$B$36,N61+M62-V61)))</f>
        <v>156.49999999999997</v>
      </c>
      <c r="O62" s="13">
        <f>N62*VLOOKUP('Données projet'!$B$9,Paramètres!$A$1:$I$89,3,0)*VLOOKUP('Données projet'!$B$9,Paramètres!$A$1:$I$89,5,0)</f>
        <v>141.60119999999998</v>
      </c>
      <c r="P62" s="13">
        <f t="shared" si="33"/>
        <v>36.66357479752002</v>
      </c>
      <c r="Q62" s="20">
        <f t="shared" si="53"/>
        <v>310.47781610568063</v>
      </c>
      <c r="R62" s="59">
        <f t="shared" si="0"/>
        <v>603.81114943901389</v>
      </c>
      <c r="S62" s="59">
        <f ca="1">AVERAGE(OFFSET($R$3,0,0,'Données projet'!$E$9+1,1))-AVERAGE(OFFSET($H$3,0,0,'Données projet'!$E$9+1,1))</f>
        <v>138.8931001150624</v>
      </c>
      <c r="T62" s="59">
        <f t="shared" si="34"/>
        <v>48.964659354096625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5.6</v>
      </c>
      <c r="AI62" s="13">
        <f>IF('Données projet'!$A$62&gt;35,AI61+AH62-AQ61,IF(A62&lt;'Données projet'!$A$62,$AF$205^A62,IF(A62='Données projet'!$A$62,'Données projet'!$B$62,AI61+AH62-AQ61)))</f>
        <v>214.39999999999969</v>
      </c>
      <c r="AJ62" s="13">
        <f>AI62*VLOOKUP('Données projet'!$B$10,Paramètres!$A$1:$I$89,3,0)*VLOOKUP('Données projet'!$B$10,Paramètres!$A$1:$I$89,5,0)</f>
        <v>187.29983999999976</v>
      </c>
      <c r="AK62" s="13">
        <f t="shared" si="35"/>
        <v>46.942489429228068</v>
      </c>
      <c r="AL62" s="20">
        <f t="shared" si="4"/>
        <v>407.97205708923843</v>
      </c>
      <c r="AM62" s="59">
        <f t="shared" si="5"/>
        <v>701.30539042257169</v>
      </c>
      <c r="AN62" s="59">
        <f ca="1">AVERAGE(OFFSET($AM$3,0,0,'Données projet'!$E$10+1,1))-AVERAGE(OFFSET($H$3,0,0,'Données projet'!$E$10+1,1))</f>
        <v>191.94797389630673</v>
      </c>
      <c r="AO62" s="59">
        <f t="shared" si="36"/>
        <v>273.52540822767878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1.4497563754513281</v>
      </c>
      <c r="AV62" s="21">
        <f>EXP(-LN(2)/25)*AV61+(1-EXP(-LN(2)/25))/(LN(2)/25)*Calculateur!AQ62*Calculateur!AS62*VLOOKUP('Données projet'!$B$10,Paramètres!$A$1:$I$89,3,0)*0.475*44/12</f>
        <v>6.2867236942382272</v>
      </c>
      <c r="AW62" s="21">
        <f>EXP(-LN(2)/2)*AW61+(1-EXP(-LN(2)/2))/(LN(2)/2)*AQ62*AT62*VLOOKUP('Données projet'!$B$10,Paramètres!$A$1:$I$89,3,0)*0.475*44/12</f>
        <v>1.0014064413327848E-3</v>
      </c>
      <c r="AX62" s="21">
        <f t="shared" si="6"/>
        <v>7.7374814761308883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14.8</v>
      </c>
      <c r="BD62" s="12">
        <f>IF('Données projet'!$A$88&gt;35,BD61+BC62-BL61,IF(A62&lt;'Données projet'!$A$88,$BA$205^A62,IF(A62='Données projet'!$A$88,'Données projet'!$B$88,BD61+BC62-BL61)))</f>
        <v>490.19999999999982</v>
      </c>
      <c r="BE62" s="13">
        <f>BD62*VLOOKUP('Données projet'!$B$11,Paramètres!$A$1:$I$89,3,0)*VLOOKUP('Données projet'!$B$11,Paramètres!$A$1:$I$89,5,0)</f>
        <v>274.02179999999993</v>
      </c>
      <c r="BF62" s="13">
        <f t="shared" si="37"/>
        <v>65.702060879656386</v>
      </c>
      <c r="BG62" s="20">
        <f t="shared" si="7"/>
        <v>591.68572436540137</v>
      </c>
      <c r="BH62" s="59">
        <f t="shared" si="8"/>
        <v>885.01905769873474</v>
      </c>
      <c r="BI62" s="59">
        <f ca="1">AVERAGE(OFFSET($BH$3,0,0,'Données projet'!$E$11+1,1))-AVERAGE(OFFSET($H$3,0,0,'Données projet'!$E$11+1,1))</f>
        <v>279.98352834501759</v>
      </c>
      <c r="BJ62" s="59">
        <f t="shared" si="38"/>
        <v>281.30062655265488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2.250629857051456</v>
      </c>
      <c r="BQ62" s="21">
        <f>EXP(-LN(2)/25)*BQ61+(1-EXP(-LN(2)/25))/(LN(2)/25)*Calculateur!BL62*Calculateur!BN62*VLOOKUP('Données projet'!$B$11,Paramètres!$A$1:$I$89,3,0)*0.475*44/12</f>
        <v>10.841862551970097</v>
      </c>
      <c r="BR62" s="21">
        <f>EXP(-LN(2)/2)*BR61+(1-EXP(-LN(2)/2))/(LN(2)/2)*BL62*BO62*VLOOKUP('Données projet'!$B$11,Paramètres!$A$1:$I$89,3,0)*0.475*44/12</f>
        <v>1.2221217030975323E-3</v>
      </c>
      <c r="BS62" s="22">
        <f t="shared" si="9"/>
        <v>13.09371453072465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4.4000000000000004</v>
      </c>
      <c r="BY62" s="12">
        <f>IF('Données projet'!$A$114&gt;35,BY61+BX62-CG61,IF(A62&lt;'Données projet'!$A$114,$BV$205^A62,IF(A62='Données projet'!$A$114,'Données projet'!$B$114,BY61+BX62-CG61)))</f>
        <v>200.60000000000002</v>
      </c>
      <c r="BZ62" s="13">
        <f>BY62*VLOOKUP('Données projet'!$B$12,Paramètres!$A$1:$I$89,3,0)*VLOOKUP('Données projet'!$B$12,Paramètres!$A$1:$I$89,5,0)</f>
        <v>147.07992000000002</v>
      </c>
      <c r="CA62" s="13">
        <f t="shared" si="39"/>
        <v>37.914229607711135</v>
      </c>
      <c r="CB62" s="20">
        <f t="shared" si="10"/>
        <v>322.19814390009697</v>
      </c>
      <c r="CC62" s="59">
        <f t="shared" si="11"/>
        <v>615.53147723343022</v>
      </c>
      <c r="CD62" s="59">
        <f ca="1">AVERAGE(OFFSET($CC$3,0,0,'Données projet'!$E$12+1,1))-AVERAGE(OFFSET($H$3,0,0,'Données projet'!$E$12+1,1))</f>
        <v>124.15919323713428</v>
      </c>
      <c r="CE62" s="59">
        <f t="shared" si="40"/>
        <v>157.85954678210715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2.2493711366278304</v>
      </c>
      <c r="CM62" s="21">
        <f>EXP(-LN(2)/2)*CM61+(1-EXP(-LN(2)/2))/(LN(2)/2)*CG62*CJ62*VLOOKUP('Données projet'!$B$12,Paramètres!$A$1:$I$89,3,0)*0.475*44/12</f>
        <v>3.1839372067936047E-4</v>
      </c>
      <c r="CN62" s="22">
        <f t="shared" si="12"/>
        <v>2.2496895303485096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162</v>
      </c>
      <c r="L63" s="12">
        <f>VLOOKUP(A63,'Données projet'!$A$35:$I$55,9,0)</f>
        <v>5.5</v>
      </c>
      <c r="M63" s="12">
        <f t="array" ref="M63">INDEX(L:L,MIN(IF(ISNUMBER(L63:L259),ROW(L63:L259),"")))</f>
        <v>5.5</v>
      </c>
      <c r="N63" s="13">
        <f>IF('Données projet'!$A$36&gt;35,N62+M63-V62,IF(A63&lt;'Données projet'!$A$36,$K$205^A63,IF(A63='Données projet'!$A$36,'Données projet'!$B$36,N62+M63-V62)))</f>
        <v>161.99999999999997</v>
      </c>
      <c r="O63" s="13">
        <f>N63*VLOOKUP('Données projet'!$B$9,Paramètres!$A$1:$I$89,3,0)*VLOOKUP('Données projet'!$B$9,Paramètres!$A$1:$I$89,5,0)</f>
        <v>146.57759999999996</v>
      </c>
      <c r="P63" s="13">
        <f t="shared" si="33"/>
        <v>37.799791292871213</v>
      </c>
      <c r="Q63" s="20">
        <f t="shared" si="53"/>
        <v>321.12395650175063</v>
      </c>
      <c r="R63" s="59">
        <f t="shared" si="0"/>
        <v>614.45728983508388</v>
      </c>
      <c r="S63" s="59">
        <f ca="1">AVERAGE(OFFSET($R$3,0,0,'Données projet'!$E$9+1,1))-AVERAGE(OFFSET($H$3,0,0,'Données projet'!$E$9+1,1))</f>
        <v>138.8931001150624</v>
      </c>
      <c r="T63" s="59">
        <f t="shared" si="34"/>
        <v>48.964659354096625</v>
      </c>
      <c r="U63" s="15">
        <f>IF(ISNA(VLOOKUP(A63,'Données projet'!$A$35:$I$55,3,0)),0,VLOOKUP(A63,'Données projet'!$A$35:$I$55,3,0))</f>
        <v>3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220</v>
      </c>
      <c r="AG63" s="12">
        <f>VLOOKUP(A63,'Données projet'!$A$61:$I$81,9,0)</f>
        <v>5.6</v>
      </c>
      <c r="AH63" s="12">
        <f t="array" ref="AH63">INDEX(AG:AG,MIN(IF(ISNUMBER(AG63:AG259),ROW(AG63:AG259),"")))</f>
        <v>5.6</v>
      </c>
      <c r="AI63" s="13">
        <f>IF('Données projet'!$A$62&gt;35,AI62+AH63-AQ62,IF(A63&lt;'Données projet'!$A$62,$AF$205^A63,IF(A63='Données projet'!$A$62,'Données projet'!$B$62,AI62+AH63-AQ62)))</f>
        <v>219.99999999999969</v>
      </c>
      <c r="AJ63" s="13">
        <f>AI63*VLOOKUP('Données projet'!$B$10,Paramètres!$A$1:$I$89,3,0)*VLOOKUP('Données projet'!$B$10,Paramètres!$A$1:$I$89,5,0)</f>
        <v>192.19199999999975</v>
      </c>
      <c r="AK63" s="13">
        <f t="shared" si="35"/>
        <v>48.024248921932397</v>
      </c>
      <c r="AL63" s="20">
        <f t="shared" si="4"/>
        <v>418.37663353903184</v>
      </c>
      <c r="AM63" s="59">
        <f t="shared" si="5"/>
        <v>711.70996687236516</v>
      </c>
      <c r="AN63" s="59">
        <f ca="1">AVERAGE(OFFSET($AM$3,0,0,'Données projet'!$E$10+1,1))-AVERAGE(OFFSET($H$3,0,0,'Données projet'!$E$10+1,1))</f>
        <v>191.94797389630673</v>
      </c>
      <c r="AO63" s="59">
        <f t="shared" si="36"/>
        <v>273.52540822767878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1.4213275371928027</v>
      </c>
      <c r="AV63" s="21">
        <f>EXP(-LN(2)/25)*AV62+(1-EXP(-LN(2)/25))/(LN(2)/25)*Calculateur!AQ63*Calculateur!AS63*VLOOKUP('Données projet'!$B$10,Paramètres!$A$1:$I$89,3,0)*0.475*44/12</f>
        <v>6.114812904214852</v>
      </c>
      <c r="AW63" s="21">
        <f>EXP(-LN(2)/2)*AW62+(1-EXP(-LN(2)/2))/(LN(2)/2)*AQ63*AT63*VLOOKUP('Données projet'!$B$10,Paramètres!$A$1:$I$89,3,0)*0.475*44/12</f>
        <v>7.0810128539030074E-4</v>
      </c>
      <c r="AX63" s="21">
        <f t="shared" si="6"/>
        <v>7.5368485426930452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505</v>
      </c>
      <c r="BB63" s="12">
        <f>VLOOKUP(A63,'Données projet'!$A$87:$I$107,9,0)</f>
        <v>14.8</v>
      </c>
      <c r="BC63" s="12">
        <f t="array" ref="BC63">INDEX(BB:BB,MIN(IF(ISNUMBER(BB63:BB259),ROW(BB63:BB259),"")))</f>
        <v>14.8</v>
      </c>
      <c r="BD63" s="12">
        <f>IF('Données projet'!$A$88&gt;35,BD62+BC63-BL62,IF(A63&lt;'Données projet'!$A$88,$BA$205^A63,IF(A63='Données projet'!$A$88,'Données projet'!$B$88,BD62+BC63-BL62)))</f>
        <v>504.99999999999983</v>
      </c>
      <c r="BE63" s="13">
        <f>BD63*VLOOKUP('Données projet'!$B$11,Paramètres!$A$1:$I$89,3,0)*VLOOKUP('Données projet'!$B$11,Paramètres!$A$1:$I$89,5,0)</f>
        <v>282.2949999999999</v>
      </c>
      <c r="BF63" s="13">
        <f t="shared" si="37"/>
        <v>67.451777696853753</v>
      </c>
      <c r="BG63" s="20">
        <f t="shared" si="7"/>
        <v>609.14230448868682</v>
      </c>
      <c r="BH63" s="59">
        <f t="shared" si="8"/>
        <v>902.47563782202019</v>
      </c>
      <c r="BI63" s="59">
        <f ca="1">AVERAGE(OFFSET($BH$3,0,0,'Données projet'!$E$11+1,1))-AVERAGE(OFFSET($H$3,0,0,'Données projet'!$E$11+1,1))</f>
        <v>279.98352834501759</v>
      </c>
      <c r="BJ63" s="59">
        <f t="shared" si="38"/>
        <v>281.30062655265488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76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2.206496378303342</v>
      </c>
      <c r="BQ63" s="21">
        <f>EXP(-LN(2)/25)*BQ62+(1-EXP(-LN(2)/25))/(LN(2)/25)*Calculateur!BL63*Calculateur!BN63*VLOOKUP('Données projet'!$B$11,Paramètres!$A$1:$I$89,3,0)*0.475*44/12</f>
        <v>10.545391250337703</v>
      </c>
      <c r="BR63" s="21">
        <f>EXP(-LN(2)/2)*BR62+(1-EXP(-LN(2)/2))/(LN(2)/2)*BL63*BO63*VLOOKUP('Données projet'!$B$11,Paramètres!$A$1:$I$89,3,0)*0.475*44/12</f>
        <v>8.6417054369551758E-4</v>
      </c>
      <c r="BS63" s="22">
        <f t="shared" si="9"/>
        <v>12.75275179918474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205</v>
      </c>
      <c r="BW63" s="12">
        <f>VLOOKUP(A63,'Données projet'!$A$113:$I$133,9,0)</f>
        <v>4.4000000000000004</v>
      </c>
      <c r="BX63" s="12">
        <f t="array" ref="BX63">INDEX(BW:BW,MIN(IF(ISNUMBER(BW63:BW259),ROW(BW63:BW259),"")))</f>
        <v>4.4000000000000004</v>
      </c>
      <c r="BY63" s="12">
        <f>IF('Données projet'!$A$114&gt;35,BY62+BX63-CG62,IF(A63&lt;'Données projet'!$A$114,$BV$205^A63,IF(A63='Données projet'!$A$114,'Données projet'!$B$114,BY62+BX63-CG62)))</f>
        <v>205.00000000000003</v>
      </c>
      <c r="BZ63" s="13">
        <f>BY63*VLOOKUP('Données projet'!$B$12,Paramètres!$A$1:$I$89,3,0)*VLOOKUP('Données projet'!$B$12,Paramètres!$A$1:$I$89,5,0)</f>
        <v>150.30600000000001</v>
      </c>
      <c r="CA63" s="13">
        <f t="shared" si="39"/>
        <v>38.648116968856677</v>
      </c>
      <c r="CB63" s="20">
        <f t="shared" si="10"/>
        <v>329.09508705409206</v>
      </c>
      <c r="CC63" s="59">
        <f t="shared" si="11"/>
        <v>622.42842038742538</v>
      </c>
      <c r="CD63" s="59">
        <f ca="1">AVERAGE(OFFSET($CC$3,0,0,'Données projet'!$E$12+1,1))-AVERAGE(OFFSET($H$3,0,0,'Données projet'!$E$12+1,1))</f>
        <v>124.15919323713428</v>
      </c>
      <c r="CE63" s="59">
        <f t="shared" si="40"/>
        <v>157.85954678210715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20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2.1878619646074555</v>
      </c>
      <c r="CM63" s="21">
        <f>EXP(-LN(2)/2)*CM62+(1-EXP(-LN(2)/2))/(LN(2)/2)*CG63*CJ63*VLOOKUP('Données projet'!$B$12,Paramètres!$A$1:$I$89,3,0)*0.475*44/12</f>
        <v>2.2513835897959128E-4</v>
      </c>
      <c r="CN63" s="22">
        <f t="shared" si="12"/>
        <v>2.1880871029664353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5.2</v>
      </c>
      <c r="N64" s="13">
        <f>IF('Données projet'!$A$36&gt;35,N63+M64-V63,IF(A64&lt;'Données projet'!$A$36,$K$205^A64,IF(A64='Données projet'!$A$36,'Données projet'!$B$36,N63+M64-V63)))</f>
        <v>139.19999999999996</v>
      </c>
      <c r="O64" s="13">
        <f>N64*VLOOKUP('Données projet'!$B$9,Paramètres!$A$1:$I$89,3,0)*VLOOKUP('Données projet'!$B$9,Paramètres!$A$1:$I$89,5,0)</f>
        <v>125.94815999999997</v>
      </c>
      <c r="P64" s="13">
        <f t="shared" si="33"/>
        <v>33.058379686398482</v>
      </c>
      <c r="Q64" s="20">
        <f t="shared" si="53"/>
        <v>276.93638995381065</v>
      </c>
      <c r="R64" s="59">
        <f t="shared" si="0"/>
        <v>570.26972328714396</v>
      </c>
      <c r="S64" s="59">
        <f ca="1">AVERAGE(OFFSET($R$3,0,0,'Données projet'!$E$9+1,1))-AVERAGE(OFFSET($H$3,0,0,'Données projet'!$E$9+1,1))</f>
        <v>138.8931001150624</v>
      </c>
      <c r="T64" s="59">
        <f t="shared" si="34"/>
        <v>48.964659354096625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4.3</v>
      </c>
      <c r="AI64" s="13">
        <f>IF('Données projet'!$A$62&gt;35,AI63+AH64-AQ63,IF(A64&lt;'Données projet'!$A$62,$AF$205^A64,IF(A64='Données projet'!$A$62,'Données projet'!$B$62,AI63+AH64-AQ63)))</f>
        <v>184.2999999999997</v>
      </c>
      <c r="AJ64" s="13">
        <f>AI64*VLOOKUP('Données projet'!$B$10,Paramètres!$A$1:$I$89,3,0)*VLOOKUP('Données projet'!$B$10,Paramètres!$A$1:$I$89,5,0)</f>
        <v>161.00447999999975</v>
      </c>
      <c r="AK64" s="13">
        <f t="shared" si="35"/>
        <v>41.068996085697087</v>
      </c>
      <c r="AL64" s="20">
        <f t="shared" si="4"/>
        <v>351.9446375159219</v>
      </c>
      <c r="AM64" s="59">
        <f t="shared" si="5"/>
        <v>645.27797084925521</v>
      </c>
      <c r="AN64" s="59">
        <f ca="1">AVERAGE(OFFSET($AM$3,0,0,'Données projet'!$E$10+1,1))-AVERAGE(OFFSET($H$3,0,0,'Données projet'!$E$10+1,1))</f>
        <v>191.94797389630673</v>
      </c>
      <c r="AO64" s="59">
        <f t="shared" si="36"/>
        <v>273.52540822767878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1.3934561711126479</v>
      </c>
      <c r="AV64" s="21">
        <f>EXP(-LN(2)/25)*AV63+(1-EXP(-LN(2)/25))/(LN(2)/25)*Calculateur!AQ64*Calculateur!AS64*VLOOKUP('Données projet'!$B$10,Paramètres!$A$1:$I$89,3,0)*0.475*44/12</f>
        <v>5.9476030237850619</v>
      </c>
      <c r="AW64" s="21">
        <f>EXP(-LN(2)/2)*AW63+(1-EXP(-LN(2)/2))/(LN(2)/2)*AQ64*AT64*VLOOKUP('Données projet'!$B$10,Paramètres!$A$1:$I$89,3,0)*0.475*44/12</f>
        <v>5.0070322066639241E-4</v>
      </c>
      <c r="AX64" s="21">
        <f t="shared" si="6"/>
        <v>7.3415598981183763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12.1</v>
      </c>
      <c r="BD64" s="12">
        <f>IF('Données projet'!$A$88&gt;35,BD63+BC64-BL63,IF(A64&lt;'Données projet'!$A$88,$BA$205^A64,IF(A64='Données projet'!$A$88,'Données projet'!$B$88,BD63+BC64-BL63)))</f>
        <v>441.0999999999998</v>
      </c>
      <c r="BE64" s="13">
        <f>BD64*VLOOKUP('Données projet'!$B$11,Paramètres!$A$1:$I$89,3,0)*VLOOKUP('Données projet'!$B$11,Paramètres!$A$1:$I$89,5,0)</f>
        <v>246.5748999999999</v>
      </c>
      <c r="BF64" s="13">
        <f t="shared" si="37"/>
        <v>59.851919420902142</v>
      </c>
      <c r="BG64" s="20">
        <f t="shared" si="7"/>
        <v>533.69337715807103</v>
      </c>
      <c r="BH64" s="59">
        <f t="shared" si="8"/>
        <v>827.0267104914044</v>
      </c>
      <c r="BI64" s="59">
        <f ca="1">AVERAGE(OFFSET($BH$3,0,0,'Données projet'!$E$11+1,1))-AVERAGE(OFFSET($H$3,0,0,'Données projet'!$E$11+1,1))</f>
        <v>279.98352834501759</v>
      </c>
      <c r="BJ64" s="59">
        <f t="shared" si="38"/>
        <v>281.30062655265488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2.1632283301547144</v>
      </c>
      <c r="BQ64" s="21">
        <f>EXP(-LN(2)/25)*BQ63+(1-EXP(-LN(2)/25))/(LN(2)/25)*Calculateur!BL64*Calculateur!BN64*VLOOKUP('Données projet'!$B$11,Paramètres!$A$1:$I$89,3,0)*0.475*44/12</f>
        <v>10.257026972039194</v>
      </c>
      <c r="BR64" s="21">
        <f>EXP(-LN(2)/2)*BR63+(1-EXP(-LN(2)/2))/(LN(2)/2)*BL64*BO64*VLOOKUP('Données projet'!$B$11,Paramètres!$A$1:$I$89,3,0)*0.475*44/12</f>
        <v>6.1106085154876615E-4</v>
      </c>
      <c r="BS64" s="22">
        <f t="shared" si="9"/>
        <v>12.420866363045457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3.2</v>
      </c>
      <c r="BY64" s="12">
        <f>IF('Données projet'!$A$114&gt;35,BY63+BX64-CG63,IF(A64&lt;'Données projet'!$A$114,$BV$205^A64,IF(A64='Données projet'!$A$114,'Données projet'!$B$114,BY63+BX64-CG63)))</f>
        <v>188.20000000000002</v>
      </c>
      <c r="BZ64" s="13">
        <f>BY64*VLOOKUP('Données projet'!$B$12,Paramètres!$A$1:$I$89,3,0)*VLOOKUP('Données projet'!$B$12,Paramètres!$A$1:$I$89,5,0)</f>
        <v>137.98824000000002</v>
      </c>
      <c r="CA64" s="13">
        <f t="shared" si="39"/>
        <v>35.83575202197639</v>
      </c>
      <c r="CB64" s="20">
        <f t="shared" si="10"/>
        <v>302.74345277160893</v>
      </c>
      <c r="CC64" s="59">
        <f t="shared" si="11"/>
        <v>596.07678610494224</v>
      </c>
      <c r="CD64" s="59">
        <f ca="1">AVERAGE(OFFSET($CC$3,0,0,'Données projet'!$E$12+1,1))-AVERAGE(OFFSET($H$3,0,0,'Données projet'!$E$12+1,1))</f>
        <v>124.15919323713428</v>
      </c>
      <c r="CE64" s="59">
        <f t="shared" si="40"/>
        <v>157.85954678210715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2.1280347641306046</v>
      </c>
      <c r="CM64" s="21">
        <f>EXP(-LN(2)/2)*CM63+(1-EXP(-LN(2)/2))/(LN(2)/2)*CG64*CJ64*VLOOKUP('Données projet'!$B$12,Paramètres!$A$1:$I$89,3,0)*0.475*44/12</f>
        <v>1.5919686033968023E-4</v>
      </c>
      <c r="CN64" s="22">
        <f t="shared" si="12"/>
        <v>2.1281939609909442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5.2</v>
      </c>
      <c r="N65" s="13">
        <f>IF('Données projet'!$A$36&gt;35,N64+M65-V64,IF(A65&lt;'Données projet'!$A$36,$K$205^A65,IF(A65='Données projet'!$A$36,'Données projet'!$B$36,N64+M65-V64)))</f>
        <v>144.39999999999995</v>
      </c>
      <c r="O65" s="13">
        <f>N65*VLOOKUP('Données projet'!$B$9,Paramètres!$A$1:$I$89,3,0)*VLOOKUP('Données projet'!$B$9,Paramètres!$A$1:$I$89,5,0)</f>
        <v>130.65311999999994</v>
      </c>
      <c r="P65" s="13">
        <f t="shared" si="33"/>
        <v>34.147232142951147</v>
      </c>
      <c r="Q65" s="20">
        <f t="shared" si="53"/>
        <v>287.02727998230642</v>
      </c>
      <c r="R65" s="59">
        <f t="shared" si="0"/>
        <v>580.36061331563974</v>
      </c>
      <c r="S65" s="59">
        <f ca="1">AVERAGE(OFFSET($R$3,0,0,'Données projet'!$E$9+1,1))-AVERAGE(OFFSET($H$3,0,0,'Données projet'!$E$9+1,1))</f>
        <v>138.8931001150624</v>
      </c>
      <c r="T65" s="59">
        <f t="shared" si="34"/>
        <v>48.964659354096625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4.3</v>
      </c>
      <c r="AI65" s="13">
        <f>IF('Données projet'!$A$62&gt;35,AI64+AH65-AQ64,IF(A65&lt;'Données projet'!$A$62,$AF$205^A65,IF(A65='Données projet'!$A$62,'Données projet'!$B$62,AI64+AH65-AQ64)))</f>
        <v>188.59999999999971</v>
      </c>
      <c r="AJ65" s="13">
        <f>AI65*VLOOKUP('Données projet'!$B$10,Paramètres!$A$1:$I$89,3,0)*VLOOKUP('Données projet'!$B$10,Paramètres!$A$1:$I$89,5,0)</f>
        <v>164.76095999999976</v>
      </c>
      <c r="AK65" s="13">
        <f t="shared" si="35"/>
        <v>41.914523809719867</v>
      </c>
      <c r="AL65" s="20">
        <f t="shared" si="4"/>
        <v>359.95980096859495</v>
      </c>
      <c r="AM65" s="59">
        <f t="shared" si="5"/>
        <v>653.29313430192826</v>
      </c>
      <c r="AN65" s="59">
        <f ca="1">AVERAGE(OFFSET($AM$3,0,0,'Données projet'!$E$10+1,1))-AVERAGE(OFFSET($H$3,0,0,'Données projet'!$E$10+1,1))</f>
        <v>191.94797389630673</v>
      </c>
      <c r="AO65" s="59">
        <f t="shared" si="36"/>
        <v>273.52540822767878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1.3661313455214701</v>
      </c>
      <c r="AV65" s="21">
        <f>EXP(-LN(2)/25)*AV64+(1-EXP(-LN(2)/25))/(LN(2)/25)*Calculateur!AQ65*Calculateur!AS65*VLOOKUP('Données projet'!$B$10,Paramètres!$A$1:$I$89,3,0)*0.475*44/12</f>
        <v>5.7849655063288097</v>
      </c>
      <c r="AW65" s="21">
        <f>EXP(-LN(2)/2)*AW64+(1-EXP(-LN(2)/2))/(LN(2)/2)*AQ65*AT65*VLOOKUP('Données projet'!$B$10,Paramètres!$A$1:$I$89,3,0)*0.475*44/12</f>
        <v>3.5405064269515037E-4</v>
      </c>
      <c r="AX65" s="21">
        <f t="shared" si="6"/>
        <v>7.1514509024929751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12.1</v>
      </c>
      <c r="BD65" s="12">
        <f>IF('Données projet'!$A$88&gt;35,BD64+BC65-BL64,IF(A65&lt;'Données projet'!$A$88,$BA$205^A65,IF(A65='Données projet'!$A$88,'Données projet'!$B$88,BD64+BC65-BL64)))</f>
        <v>453.19999999999982</v>
      </c>
      <c r="BE65" s="13">
        <f>BD65*VLOOKUP('Données projet'!$B$11,Paramètres!$A$1:$I$89,3,0)*VLOOKUP('Données projet'!$B$11,Paramètres!$A$1:$I$89,5,0)</f>
        <v>253.33879999999991</v>
      </c>
      <c r="BF65" s="13">
        <f t="shared" si="37"/>
        <v>61.300341649722661</v>
      </c>
      <c r="BG65" s="20">
        <f t="shared" si="7"/>
        <v>547.99650503993337</v>
      </c>
      <c r="BH65" s="59">
        <f t="shared" si="8"/>
        <v>841.32983837326674</v>
      </c>
      <c r="BI65" s="59">
        <f ca="1">AVERAGE(OFFSET($BH$3,0,0,'Données projet'!$E$11+1,1))-AVERAGE(OFFSET($H$3,0,0,'Données projet'!$E$11+1,1))</f>
        <v>279.98352834501759</v>
      </c>
      <c r="BJ65" s="59">
        <f t="shared" si="38"/>
        <v>281.30062655265488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2.1208087420393782</v>
      </c>
      <c r="BQ65" s="21">
        <f>EXP(-LN(2)/25)*BQ64+(1-EXP(-LN(2)/25))/(LN(2)/25)*Calculateur!BL65*Calculateur!BN65*VLOOKUP('Données projet'!$B$11,Paramètres!$A$1:$I$89,3,0)*0.475*44/12</f>
        <v>9.9765480300951754</v>
      </c>
      <c r="BR65" s="21">
        <f>EXP(-LN(2)/2)*BR64+(1-EXP(-LN(2)/2))/(LN(2)/2)*BL65*BO65*VLOOKUP('Données projet'!$B$11,Paramètres!$A$1:$I$89,3,0)*0.475*44/12</f>
        <v>4.3208527184775879E-4</v>
      </c>
      <c r="BS65" s="22">
        <f t="shared" si="9"/>
        <v>12.097788857406401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3.2</v>
      </c>
      <c r="BY65" s="12">
        <f>IF('Données projet'!$A$114&gt;35,BY64+BX65-CG64,IF(A65&lt;'Données projet'!$A$114,$BV$205^A65,IF(A65='Données projet'!$A$114,'Données projet'!$B$114,BY64+BX65-CG64)))</f>
        <v>191.4</v>
      </c>
      <c r="BZ65" s="13">
        <f>BY65*VLOOKUP('Données projet'!$B$12,Paramètres!$A$1:$I$89,3,0)*VLOOKUP('Données projet'!$B$12,Paramètres!$A$1:$I$89,5,0)</f>
        <v>140.33448000000001</v>
      </c>
      <c r="CA65" s="13">
        <f t="shared" si="39"/>
        <v>36.3736195210302</v>
      </c>
      <c r="CB65" s="20">
        <f t="shared" si="10"/>
        <v>307.76660666579431</v>
      </c>
      <c r="CC65" s="59">
        <f t="shared" si="11"/>
        <v>601.09993999912763</v>
      </c>
      <c r="CD65" s="59">
        <f ca="1">AVERAGE(OFFSET($CC$3,0,0,'Données projet'!$E$12+1,1))-AVERAGE(OFFSET($H$3,0,0,'Données projet'!$E$12+1,1))</f>
        <v>124.15919323713428</v>
      </c>
      <c r="CE65" s="59">
        <f t="shared" si="40"/>
        <v>157.85954678210715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2.0698435415969687</v>
      </c>
      <c r="CM65" s="21">
        <f>EXP(-LN(2)/2)*CM64+(1-EXP(-LN(2)/2))/(LN(2)/2)*CG65*CJ65*VLOOKUP('Données projet'!$B$12,Paramètres!$A$1:$I$89,3,0)*0.475*44/12</f>
        <v>1.1256917948979564E-4</v>
      </c>
      <c r="CN65" s="22">
        <f t="shared" si="12"/>
        <v>2.0699561107764586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5.2</v>
      </c>
      <c r="N66" s="13">
        <f>IF('Données projet'!$A$36&gt;35,N65+M66-V65,IF(A66&lt;'Données projet'!$A$36,$K$205^A66,IF(A66='Données projet'!$A$36,'Données projet'!$B$36,N65+M66-V65)))</f>
        <v>149.59999999999994</v>
      </c>
      <c r="O66" s="13">
        <f>N66*VLOOKUP('Données projet'!$B$9,Paramètres!$A$1:$I$89,3,0)*VLOOKUP('Données projet'!$B$9,Paramètres!$A$1:$I$89,5,0)</f>
        <v>135.35807999999994</v>
      </c>
      <c r="P66" s="13">
        <f t="shared" si="33"/>
        <v>35.231528980112806</v>
      </c>
      <c r="Q66" s="20">
        <f t="shared" si="53"/>
        <v>297.11023564036304</v>
      </c>
      <c r="R66" s="59">
        <f t="shared" si="0"/>
        <v>590.4435689736963</v>
      </c>
      <c r="S66" s="59">
        <f ca="1">AVERAGE(OFFSET($R$3,0,0,'Données projet'!$E$9+1,1))-AVERAGE(OFFSET($H$3,0,0,'Données projet'!$E$9+1,1))</f>
        <v>138.8931001150624</v>
      </c>
      <c r="T66" s="59">
        <f t="shared" si="34"/>
        <v>48.964659354096625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4.3</v>
      </c>
      <c r="AI66" s="13">
        <f>IF('Données projet'!$A$62&gt;35,AI65+AH66-AQ65,IF(A66&lt;'Données projet'!$A$62,$AF$205^A66,IF(A66='Données projet'!$A$62,'Données projet'!$B$62,AI65+AH66-AQ65)))</f>
        <v>192.89999999999972</v>
      </c>
      <c r="AJ66" s="13">
        <f>AI66*VLOOKUP('Données projet'!$B$10,Paramètres!$A$1:$I$89,3,0)*VLOOKUP('Données projet'!$B$10,Paramètres!$A$1:$I$89,5,0)</f>
        <v>168.51743999999979</v>
      </c>
      <c r="AK66" s="13">
        <f t="shared" si="35"/>
        <v>42.757810382238745</v>
      </c>
      <c r="AL66" s="20">
        <f t="shared" si="4"/>
        <v>367.97106108239876</v>
      </c>
      <c r="AM66" s="59">
        <f t="shared" si="5"/>
        <v>661.30439441573208</v>
      </c>
      <c r="AN66" s="59">
        <f ca="1">AVERAGE(OFFSET($AM$3,0,0,'Données projet'!$E$10+1,1))-AVERAGE(OFFSET($H$3,0,0,'Données projet'!$E$10+1,1))</f>
        <v>191.94797389630673</v>
      </c>
      <c r="AO66" s="59">
        <f t="shared" si="36"/>
        <v>273.52540822767878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1.3393423430936375</v>
      </c>
      <c r="AV66" s="21">
        <f>EXP(-LN(2)/25)*AV65+(1-EXP(-LN(2)/25))/(LN(2)/25)*Calculateur!AQ66*Calculateur!AS66*VLOOKUP('Données projet'!$B$10,Paramètres!$A$1:$I$89,3,0)*0.475*44/12</f>
        <v>5.6267753203401343</v>
      </c>
      <c r="AW66" s="21">
        <f>EXP(-LN(2)/2)*AW65+(1-EXP(-LN(2)/2))/(LN(2)/2)*AQ66*AT66*VLOOKUP('Données projet'!$B$10,Paramètres!$A$1:$I$89,3,0)*0.475*44/12</f>
        <v>2.503516103331962E-4</v>
      </c>
      <c r="AX66" s="21">
        <f t="shared" si="6"/>
        <v>6.9663680150441047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12.1</v>
      </c>
      <c r="BD66" s="12">
        <f>IF('Données projet'!$A$88&gt;35,BD65+BC66-BL65,IF(A66&lt;'Données projet'!$A$88,$BA$205^A66,IF(A66='Données projet'!$A$88,'Données projet'!$B$88,BD65+BC66-BL65)))</f>
        <v>465.29999999999984</v>
      </c>
      <c r="BE66" s="13">
        <f>BD66*VLOOKUP('Données projet'!$B$11,Paramètres!$A$1:$I$89,3,0)*VLOOKUP('Données projet'!$B$11,Paramètres!$A$1:$I$89,5,0)</f>
        <v>260.10269999999991</v>
      </c>
      <c r="BF66" s="13">
        <f t="shared" si="37"/>
        <v>62.744268942772209</v>
      </c>
      <c r="BG66" s="20">
        <f t="shared" si="7"/>
        <v>562.29180424199478</v>
      </c>
      <c r="BH66" s="59">
        <f t="shared" si="8"/>
        <v>855.62513757532815</v>
      </c>
      <c r="BI66" s="59">
        <f ca="1">AVERAGE(OFFSET($BH$3,0,0,'Données projet'!$E$11+1,1))-AVERAGE(OFFSET($H$3,0,0,'Données projet'!$E$11+1,1))</f>
        <v>279.98352834501759</v>
      </c>
      <c r="BJ66" s="59">
        <f t="shared" si="38"/>
        <v>281.30062655265488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2.0792209761735898</v>
      </c>
      <c r="BQ66" s="21">
        <f>EXP(-LN(2)/25)*BQ65+(1-EXP(-LN(2)/25))/(LN(2)/25)*Calculateur!BL66*Calculateur!BN66*VLOOKUP('Données projet'!$B$11,Paramètres!$A$1:$I$89,3,0)*0.475*44/12</f>
        <v>9.703738799568363</v>
      </c>
      <c r="BR66" s="21">
        <f>EXP(-LN(2)/2)*BR65+(1-EXP(-LN(2)/2))/(LN(2)/2)*BL66*BO66*VLOOKUP('Données projet'!$B$11,Paramètres!$A$1:$I$89,3,0)*0.475*44/12</f>
        <v>3.0553042577438307E-4</v>
      </c>
      <c r="BS66" s="22">
        <f t="shared" si="9"/>
        <v>11.783265306167726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3.2</v>
      </c>
      <c r="BY66" s="12">
        <f>IF('Données projet'!$A$114&gt;35,BY65+BX66-CG65,IF(A66&lt;'Données projet'!$A$114,$BV$205^A66,IF(A66='Données projet'!$A$114,'Données projet'!$B$114,BY65+BX66-CG65)))</f>
        <v>194.6</v>
      </c>
      <c r="BZ66" s="13">
        <f>BY66*VLOOKUP('Données projet'!$B$12,Paramètres!$A$1:$I$89,3,0)*VLOOKUP('Données projet'!$B$12,Paramètres!$A$1:$I$89,5,0)</f>
        <v>142.68071999999998</v>
      </c>
      <c r="CA66" s="13">
        <f t="shared" si="39"/>
        <v>36.910441252438588</v>
      </c>
      <c r="CB66" s="20">
        <f t="shared" si="10"/>
        <v>312.78793918133044</v>
      </c>
      <c r="CC66" s="59">
        <f t="shared" si="11"/>
        <v>606.12127251466381</v>
      </c>
      <c r="CD66" s="59">
        <f ca="1">AVERAGE(OFFSET($CC$3,0,0,'Données projet'!$E$12+1,1))-AVERAGE(OFFSET($H$3,0,0,'Données projet'!$E$12+1,1))</f>
        <v>124.15919323713428</v>
      </c>
      <c r="CE66" s="59">
        <f t="shared" si="40"/>
        <v>157.85954678210715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2.0132435611036583</v>
      </c>
      <c r="CM66" s="21">
        <f>EXP(-LN(2)/2)*CM65+(1-EXP(-LN(2)/2))/(LN(2)/2)*CG66*CJ66*VLOOKUP('Données projet'!$B$12,Paramètres!$A$1:$I$89,3,0)*0.475*44/12</f>
        <v>7.9598430169840117E-5</v>
      </c>
      <c r="CN66" s="22">
        <f t="shared" si="12"/>
        <v>2.0133231595338281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5.2</v>
      </c>
      <c r="N67" s="13">
        <f>IF('Données projet'!$A$36&gt;35,N66+M67-V66,IF(A67&lt;'Données projet'!$A$36,$K$205^A67,IF(A67='Données projet'!$A$36,'Données projet'!$B$36,N66+M67-V66)))</f>
        <v>154.79999999999993</v>
      </c>
      <c r="O67" s="13">
        <f>N67*VLOOKUP('Données projet'!$B$9,Paramètres!$A$1:$I$89,3,0)*VLOOKUP('Données projet'!$B$9,Paramètres!$A$1:$I$89,5,0)</f>
        <v>140.06303999999992</v>
      </c>
      <c r="P67" s="13">
        <f t="shared" si="33"/>
        <v>36.311446695369504</v>
      </c>
      <c r="Q67" s="20">
        <f t="shared" ref="Q67:Q98" si="54">(O67+P67)*0.475*44/12</f>
        <v>307.18556432776842</v>
      </c>
      <c r="R67" s="59">
        <f t="shared" ref="R67:R130" si="55">Q67+(I67+J67)*44/12</f>
        <v>600.51889766110173</v>
      </c>
      <c r="S67" s="59">
        <f ca="1">AVERAGE(OFFSET($R$3,0,0,'Données projet'!$E$9+1,1))-AVERAGE(OFFSET($H$3,0,0,'Données projet'!$E$9+1,1))</f>
        <v>138.8931001150624</v>
      </c>
      <c r="T67" s="59">
        <f t="shared" si="34"/>
        <v>48.964659354096625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4.3</v>
      </c>
      <c r="AI67" s="13">
        <f>IF('Données projet'!$A$62&gt;35,AI66+AH67-AQ66,IF(A67&lt;'Données projet'!$A$62,$AF$205^A67,IF(A67='Données projet'!$A$62,'Données projet'!$B$62,AI66+AH67-AQ66)))</f>
        <v>197.19999999999973</v>
      </c>
      <c r="AJ67" s="13">
        <f>AI67*VLOOKUP('Données projet'!$B$10,Paramètres!$A$1:$I$89,3,0)*VLOOKUP('Données projet'!$B$10,Paramètres!$A$1:$I$89,5,0)</f>
        <v>172.27391999999978</v>
      </c>
      <c r="AK67" s="13">
        <f t="shared" si="35"/>
        <v>43.598911513699527</v>
      </c>
      <c r="AL67" s="20">
        <f t="shared" si="4"/>
        <v>375.97851488635962</v>
      </c>
      <c r="AM67" s="59">
        <f t="shared" si="5"/>
        <v>669.31184821969293</v>
      </c>
      <c r="AN67" s="59">
        <f ca="1">AVERAGE(OFFSET($AM$3,0,0,'Données projet'!$E$10+1,1))-AVERAGE(OFFSET($H$3,0,0,'Données projet'!$E$10+1,1))</f>
        <v>191.94797389630673</v>
      </c>
      <c r="AO67" s="59">
        <f t="shared" si="36"/>
        <v>273.52540822767878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1.3130786566637367</v>
      </c>
      <c r="AV67" s="21">
        <f>EXP(-LN(2)/25)*AV66+(1-EXP(-LN(2)/25))/(LN(2)/25)*Calculateur!AQ67*Calculateur!AS67*VLOOKUP('Données projet'!$B$10,Paramètres!$A$1:$I$89,3,0)*0.475*44/12</f>
        <v>5.4729108533061792</v>
      </c>
      <c r="AW67" s="21">
        <f>EXP(-LN(2)/2)*AW66+(1-EXP(-LN(2)/2))/(LN(2)/2)*AQ67*AT67*VLOOKUP('Données projet'!$B$10,Paramètres!$A$1:$I$89,3,0)*0.475*44/12</f>
        <v>1.7702532134757518E-4</v>
      </c>
      <c r="AX67" s="21">
        <f t="shared" si="6"/>
        <v>6.7861665352912635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12.1</v>
      </c>
      <c r="BD67" s="12">
        <f>IF('Données projet'!$A$88&gt;35,BD66+BC67-BL66,IF(A67&lt;'Données projet'!$A$88,$BA$205^A67,IF(A67='Données projet'!$A$88,'Données projet'!$B$88,BD66+BC67-BL66)))</f>
        <v>477.39999999999986</v>
      </c>
      <c r="BE67" s="13">
        <f>BD67*VLOOKUP('Données projet'!$B$11,Paramètres!$A$1:$I$89,3,0)*VLOOKUP('Données projet'!$B$11,Paramètres!$A$1:$I$89,5,0)</f>
        <v>266.86659999999989</v>
      </c>
      <c r="BF67" s="13">
        <f t="shared" si="37"/>
        <v>64.18383162800842</v>
      </c>
      <c r="BG67" s="20">
        <f t="shared" si="7"/>
        <v>576.57950175211442</v>
      </c>
      <c r="BH67" s="59">
        <f t="shared" si="8"/>
        <v>869.9128350854478</v>
      </c>
      <c r="BI67" s="59">
        <f ca="1">AVERAGE(OFFSET($BH$3,0,0,'Données projet'!$E$11+1,1))-AVERAGE(OFFSET($H$3,0,0,'Données projet'!$E$11+1,1))</f>
        <v>279.98352834501759</v>
      </c>
      <c r="BJ67" s="59">
        <f t="shared" si="38"/>
        <v>281.30062655265488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2.038448721030397</v>
      </c>
      <c r="BQ67" s="21">
        <f>EXP(-LN(2)/25)*BQ66+(1-EXP(-LN(2)/25))/(LN(2)/25)*Calculateur!BL67*Calculateur!BN67*VLOOKUP('Données projet'!$B$11,Paramètres!$A$1:$I$89,3,0)*0.475*44/12</f>
        <v>9.4383895517967211</v>
      </c>
      <c r="BR67" s="21">
        <f>EXP(-LN(2)/2)*BR66+(1-EXP(-LN(2)/2))/(LN(2)/2)*BL67*BO67*VLOOKUP('Données projet'!$B$11,Paramètres!$A$1:$I$89,3,0)*0.475*44/12</f>
        <v>2.1604263592387939E-4</v>
      </c>
      <c r="BS67" s="22">
        <f t="shared" si="9"/>
        <v>11.477054315463041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3.2</v>
      </c>
      <c r="BY67" s="12">
        <f>IF('Données projet'!$A$114&gt;35,BY66+BX67-CG66,IF(A67&lt;'Données projet'!$A$114,$BV$205^A67,IF(A67='Données projet'!$A$114,'Données projet'!$B$114,BY66+BX67-CG66)))</f>
        <v>197.79999999999998</v>
      </c>
      <c r="BZ67" s="13">
        <f>BY67*VLOOKUP('Données projet'!$B$12,Paramètres!$A$1:$I$89,3,0)*VLOOKUP('Données projet'!$B$12,Paramètres!$A$1:$I$89,5,0)</f>
        <v>145.02695999999997</v>
      </c>
      <c r="CA67" s="13">
        <f t="shared" si="39"/>
        <v>37.446236397854975</v>
      </c>
      <c r="CB67" s="20">
        <f t="shared" si="10"/>
        <v>317.80748372626402</v>
      </c>
      <c r="CC67" s="59">
        <f t="shared" si="11"/>
        <v>611.14081705959734</v>
      </c>
      <c r="CD67" s="59">
        <f ca="1">AVERAGE(OFFSET($CC$3,0,0,'Données projet'!$E$12+1,1))-AVERAGE(OFFSET($H$3,0,0,'Données projet'!$E$12+1,1))</f>
        <v>124.15919323713428</v>
      </c>
      <c r="CE67" s="59">
        <f t="shared" si="40"/>
        <v>157.85954678210715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1.9581913100534012</v>
      </c>
      <c r="CM67" s="21">
        <f>EXP(-LN(2)/2)*CM66+(1-EXP(-LN(2)/2))/(LN(2)/2)*CG67*CJ67*VLOOKUP('Données projet'!$B$12,Paramètres!$A$1:$I$89,3,0)*0.475*44/12</f>
        <v>5.6284589744897819E-5</v>
      </c>
      <c r="CN67" s="22">
        <f t="shared" si="12"/>
        <v>1.9582475946431461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5.2</v>
      </c>
      <c r="N68" s="13">
        <f>IF('Données projet'!$A$36&gt;35,N67+M68-V67,IF(A68&lt;'Données projet'!$A$36,$K$205^A68,IF(A68='Données projet'!$A$36,'Données projet'!$B$36,N67+M68-V67)))</f>
        <v>159.99999999999991</v>
      </c>
      <c r="O68" s="13">
        <f>N68*VLOOKUP('Données projet'!$B$9,Paramètres!$A$1:$I$89,3,0)*VLOOKUP('Données projet'!$B$9,Paramètres!$A$1:$I$89,5,0)</f>
        <v>144.76799999999992</v>
      </c>
      <c r="P68" s="13">
        <f t="shared" si="33"/>
        <v>37.387149255707826</v>
      </c>
      <c r="Q68" s="20">
        <f t="shared" si="54"/>
        <v>317.2535516203576</v>
      </c>
      <c r="R68" s="59">
        <f t="shared" si="55"/>
        <v>610.58688495369097</v>
      </c>
      <c r="S68" s="59">
        <f ca="1">AVERAGE(OFFSET($R$3,0,0,'Données projet'!$E$9+1,1))-AVERAGE(OFFSET($H$3,0,0,'Données projet'!$E$9+1,1))</f>
        <v>138.8931001150624</v>
      </c>
      <c r="T68" s="59">
        <f t="shared" si="34"/>
        <v>48.964659354096625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4.3</v>
      </c>
      <c r="AI68" s="13">
        <f>IF('Données projet'!$A$62&gt;35,AI67+AH68-AQ67,IF(A68&lt;'Données projet'!$A$62,$AF$205^A68,IF(A68='Données projet'!$A$62,'Données projet'!$B$62,AI67+AH68-AQ67)))</f>
        <v>201.49999999999974</v>
      </c>
      <c r="AJ68" s="13">
        <f>AI68*VLOOKUP('Données projet'!$B$10,Paramètres!$A$1:$I$89,3,0)*VLOOKUP('Données projet'!$B$10,Paramètres!$A$1:$I$89,5,0)</f>
        <v>176.03039999999979</v>
      </c>
      <c r="AK68" s="13">
        <f t="shared" si="35"/>
        <v>44.437880346232902</v>
      </c>
      <c r="AL68" s="20">
        <f t="shared" ref="AL68:AL131" si="58">(AJ68+AK68)*0.475*44/12</f>
        <v>383.98225493635528</v>
      </c>
      <c r="AM68" s="59">
        <f t="shared" ref="AM68:AM131" si="59">AL68+(AD68+AE68)*44/12</f>
        <v>677.31558826968853</v>
      </c>
      <c r="AN68" s="59">
        <f ca="1">AVERAGE(OFFSET($AM$3,0,0,'Données projet'!$E$10+1,1))-AVERAGE(OFFSET($H$3,0,0,'Données projet'!$E$10+1,1))</f>
        <v>191.94797389630673</v>
      </c>
      <c r="AO68" s="59">
        <f t="shared" si="36"/>
        <v>273.52540822767878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1.2873299851054592</v>
      </c>
      <c r="AV68" s="21">
        <f>EXP(-LN(2)/25)*AV67+(1-EXP(-LN(2)/25))/(LN(2)/25)*Calculateur!AQ68*Calculateur!AS68*VLOOKUP('Données projet'!$B$10,Paramètres!$A$1:$I$89,3,0)*0.475*44/12</f>
        <v>5.3232538182146483</v>
      </c>
      <c r="AW68" s="21">
        <f>EXP(-LN(2)/2)*AW67+(1-EXP(-LN(2)/2))/(LN(2)/2)*AQ68*AT68*VLOOKUP('Données projet'!$B$10,Paramètres!$A$1:$I$89,3,0)*0.475*44/12</f>
        <v>1.251758051665981E-4</v>
      </c>
      <c r="AX68" s="21">
        <f t="shared" ref="AX68:AX131" si="60">SUM(AU68:AW68)</f>
        <v>6.610708979125274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12.1</v>
      </c>
      <c r="BD68" s="12">
        <f>IF('Données projet'!$A$88&gt;35,BD67+BC68-BL67,IF(A68&lt;'Données projet'!$A$88,$BA$205^A68,IF(A68='Données projet'!$A$88,'Données projet'!$B$88,BD67+BC68-BL67)))</f>
        <v>489.49999999999989</v>
      </c>
      <c r="BE68" s="13">
        <f>BD68*VLOOKUP('Données projet'!$B$11,Paramètres!$A$1:$I$89,3,0)*VLOOKUP('Données projet'!$B$11,Paramètres!$A$1:$I$89,5,0)</f>
        <v>273.63049999999993</v>
      </c>
      <c r="BF68" s="13">
        <f t="shared" si="37"/>
        <v>65.619153050453022</v>
      </c>
      <c r="BG68" s="20">
        <f t="shared" ref="BG68:BG131" si="61">(BE68+BF68)*0.475*44/12</f>
        <v>590.85981239620548</v>
      </c>
      <c r="BH68" s="59">
        <f t="shared" ref="BH68:BH131" si="62">BG68+(AY68+AZ68)*44/12</f>
        <v>884.19314572953886</v>
      </c>
      <c r="BI68" s="59">
        <f ca="1">AVERAGE(OFFSET($BH$3,0,0,'Données projet'!$E$11+1,1))-AVERAGE(OFFSET($H$3,0,0,'Données projet'!$E$11+1,1))</f>
        <v>279.98352834501759</v>
      </c>
      <c r="BJ68" s="59">
        <f t="shared" si="38"/>
        <v>281.30062655265488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1.998475984941942</v>
      </c>
      <c r="BQ68" s="21">
        <f>EXP(-LN(2)/25)*BQ67+(1-EXP(-LN(2)/25))/(LN(2)/25)*Calculateur!BL68*Calculateur!BN68*VLOOKUP('Données projet'!$B$11,Paramètres!$A$1:$I$89,3,0)*0.475*44/12</f>
        <v>9.1802962931595058</v>
      </c>
      <c r="BR68" s="21">
        <f>EXP(-LN(2)/2)*BR67+(1-EXP(-LN(2)/2))/(LN(2)/2)*BL68*BO68*VLOOKUP('Données projet'!$B$11,Paramètres!$A$1:$I$89,3,0)*0.475*44/12</f>
        <v>1.5276521288719154E-4</v>
      </c>
      <c r="BS68" s="22">
        <f t="shared" ref="BS68:BS131" si="63">SUM(BP68:BR68)</f>
        <v>11.178925043314335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3.2</v>
      </c>
      <c r="BY68" s="12">
        <f>IF('Données projet'!$A$114&gt;35,BY67+BX68-CG67,IF(A68&lt;'Données projet'!$A$114,$BV$205^A68,IF(A68='Données projet'!$A$114,'Données projet'!$B$114,BY67+BX68-CG67)))</f>
        <v>200.99999999999997</v>
      </c>
      <c r="BZ68" s="13">
        <f>BY68*VLOOKUP('Données projet'!$B$12,Paramètres!$A$1:$I$89,3,0)*VLOOKUP('Données projet'!$B$12,Paramètres!$A$1:$I$89,5,0)</f>
        <v>147.37319999999997</v>
      </c>
      <c r="CA68" s="13">
        <f t="shared" si="39"/>
        <v>37.981023482703954</v>
      </c>
      <c r="CB68" s="20">
        <f t="shared" ref="CB68:CB131" si="64">(BZ68+CA68)*0.475*44/12</f>
        <v>322.82527256570933</v>
      </c>
      <c r="CC68" s="59">
        <f t="shared" ref="CC68:CC131" si="65">CB68+(BT68+BU68)*44/12</f>
        <v>616.15860589904264</v>
      </c>
      <c r="CD68" s="59">
        <f ca="1">AVERAGE(OFFSET($CC$3,0,0,'Données projet'!$E$12+1,1))-AVERAGE(OFFSET($H$3,0,0,'Données projet'!$E$12+1,1))</f>
        <v>124.15919323713428</v>
      </c>
      <c r="CE68" s="59">
        <f t="shared" si="40"/>
        <v>157.85954678210715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1.9046444657031854</v>
      </c>
      <c r="CM68" s="21">
        <f>EXP(-LN(2)/2)*CM67+(1-EXP(-LN(2)/2))/(LN(2)/2)*CG68*CJ68*VLOOKUP('Données projet'!$B$12,Paramètres!$A$1:$I$89,3,0)*0.475*44/12</f>
        <v>3.9799215084920058E-5</v>
      </c>
      <c r="CN68" s="22">
        <f t="shared" ref="CN68:CN131" si="66">SUM(CK68:CM68)</f>
        <v>1.9046842649182703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5.2</v>
      </c>
      <c r="N69" s="13">
        <f>IF('Données projet'!$A$36&gt;35,N68+M69-V68,IF(A69&lt;'Données projet'!$A$36,$K$205^A69,IF(A69='Données projet'!$A$36,'Données projet'!$B$36,N68+M69-V68)))</f>
        <v>165.1999999999999</v>
      </c>
      <c r="O69" s="13">
        <f>N69*VLOOKUP('Données projet'!$B$9,Paramètres!$A$1:$I$89,3,0)*VLOOKUP('Données projet'!$B$9,Paramètres!$A$1:$I$89,5,0)</f>
        <v>149.47295999999989</v>
      </c>
      <c r="P69" s="13">
        <f t="shared" ref="P69:P132" si="87">EXP(-1.0587+0.8836*LN(O69)+0.284)</f>
        <v>38.458789365254951</v>
      </c>
      <c r="Q69" s="20">
        <f t="shared" si="54"/>
        <v>327.31446347781883</v>
      </c>
      <c r="R69" s="59">
        <f t="shared" si="55"/>
        <v>620.64779681115215</v>
      </c>
      <c r="S69" s="59">
        <f ca="1">AVERAGE(OFFSET($R$3,0,0,'Données projet'!$E$9+1,1))-AVERAGE(OFFSET($H$3,0,0,'Données projet'!$E$9+1,1))</f>
        <v>138.8931001150624</v>
      </c>
      <c r="T69" s="59">
        <f t="shared" ref="T69:T132" si="88">$T$3</f>
        <v>48.964659354096625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4.3</v>
      </c>
      <c r="AI69" s="13">
        <f>IF('Données projet'!$A$62&gt;35,AI68+AH69-AQ68,IF(A69&lt;'Données projet'!$A$62,$AF$205^A69,IF(A69='Données projet'!$A$62,'Données projet'!$B$62,AI68+AH69-AQ68)))</f>
        <v>205.79999999999976</v>
      </c>
      <c r="AJ69" s="13">
        <f>AI69*VLOOKUP('Données projet'!$B$10,Paramètres!$A$1:$I$89,3,0)*VLOOKUP('Données projet'!$B$10,Paramètres!$A$1:$I$89,5,0)</f>
        <v>179.78687999999983</v>
      </c>
      <c r="AK69" s="13">
        <f t="shared" ref="AK69:AK132" si="89">EXP(-1.0587+0.8836*LN(AJ69)+0.284)</f>
        <v>45.274767624296899</v>
      </c>
      <c r="AL69" s="20">
        <f t="shared" si="58"/>
        <v>391.98236961231675</v>
      </c>
      <c r="AM69" s="59">
        <f t="shared" si="59"/>
        <v>685.31570294565006</v>
      </c>
      <c r="AN69" s="59">
        <f ca="1">AVERAGE(OFFSET($AM$3,0,0,'Données projet'!$E$10+1,1))-AVERAGE(OFFSET($H$3,0,0,'Données projet'!$E$10+1,1))</f>
        <v>191.94797389630673</v>
      </c>
      <c r="AO69" s="59">
        <f t="shared" ref="AO69:AO132" si="90">$AO$3</f>
        <v>273.52540822767878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1.2620862292913007</v>
      </c>
      <c r="AV69" s="21">
        <f>EXP(-LN(2)/25)*AV68+(1-EXP(-LN(2)/25))/(LN(2)/25)*Calculateur!AQ69*Calculateur!AS69*VLOOKUP('Données projet'!$B$10,Paramètres!$A$1:$I$89,3,0)*0.475*44/12</f>
        <v>5.177689162617817</v>
      </c>
      <c r="AW69" s="21">
        <f>EXP(-LN(2)/2)*AW68+(1-EXP(-LN(2)/2))/(LN(2)/2)*AQ69*AT69*VLOOKUP('Données projet'!$B$10,Paramètres!$A$1:$I$89,3,0)*0.475*44/12</f>
        <v>8.8512660673787592E-5</v>
      </c>
      <c r="AX69" s="21">
        <f t="shared" si="60"/>
        <v>6.4398639045697914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12.1</v>
      </c>
      <c r="BD69" s="12">
        <f>IF('Données projet'!$A$88&gt;35,BD68+BC69-BL68,IF(A69&lt;'Données projet'!$A$88,$BA$205^A69,IF(A69='Données projet'!$A$88,'Données projet'!$B$88,BD68+BC69-BL68)))</f>
        <v>501.59999999999991</v>
      </c>
      <c r="BE69" s="13">
        <f>BD69*VLOOKUP('Données projet'!$B$11,Paramètres!$A$1:$I$89,3,0)*VLOOKUP('Données projet'!$B$11,Paramètres!$A$1:$I$89,5,0)</f>
        <v>280.39439999999996</v>
      </c>
      <c r="BF69" s="13">
        <f t="shared" ref="BF69:BF132" si="91">EXP(-1.0587+0.8836*LN(BE69)+0.284)</f>
        <v>67.050350109566494</v>
      </c>
      <c r="BG69" s="20">
        <f t="shared" si="61"/>
        <v>605.13293977416163</v>
      </c>
      <c r="BH69" s="59">
        <f t="shared" si="62"/>
        <v>898.466273107495</v>
      </c>
      <c r="BI69" s="59">
        <f ca="1">AVERAGE(OFFSET($BH$3,0,0,'Données projet'!$E$11+1,1))-AVERAGE(OFFSET($H$3,0,0,'Données projet'!$E$11+1,1))</f>
        <v>279.98352834501759</v>
      </c>
      <c r="BJ69" s="59">
        <f t="shared" ref="BJ69:BJ132" si="92">$BJ$3</f>
        <v>281.30062655265488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1.9592870898272201</v>
      </c>
      <c r="BQ69" s="21">
        <f>EXP(-LN(2)/25)*BQ68+(1-EXP(-LN(2)/25))/(LN(2)/25)*Calculateur!BL69*Calculateur!BN69*VLOOKUP('Données projet'!$B$11,Paramètres!$A$1:$I$89,3,0)*0.475*44/12</f>
        <v>8.9292606082522585</v>
      </c>
      <c r="BR69" s="21">
        <f>EXP(-LN(2)/2)*BR68+(1-EXP(-LN(2)/2))/(LN(2)/2)*BL69*BO69*VLOOKUP('Données projet'!$B$11,Paramètres!$A$1:$I$89,3,0)*0.475*44/12</f>
        <v>1.080213179619397E-4</v>
      </c>
      <c r="BS69" s="22">
        <f t="shared" si="63"/>
        <v>10.888655719397439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3.2</v>
      </c>
      <c r="BY69" s="12">
        <f>IF('Données projet'!$A$114&gt;35,BY68+BX69-CG68,IF(A69&lt;'Données projet'!$A$114,$BV$205^A69,IF(A69='Données projet'!$A$114,'Données projet'!$B$114,BY68+BX69-CG68)))</f>
        <v>204.19999999999996</v>
      </c>
      <c r="BZ69" s="13">
        <f>BY69*VLOOKUP('Données projet'!$B$12,Paramètres!$A$1:$I$89,3,0)*VLOOKUP('Données projet'!$B$12,Paramètres!$A$1:$I$89,5,0)</f>
        <v>149.71943999999996</v>
      </c>
      <c r="CA69" s="13">
        <f t="shared" ref="CA69:CA132" si="93">EXP(-1.0587+0.8836*LN(BZ69)+0.284)</f>
        <v>38.514820408715103</v>
      </c>
      <c r="CB69" s="20">
        <f t="shared" si="64"/>
        <v>327.84133687851204</v>
      </c>
      <c r="CC69" s="59">
        <f t="shared" si="65"/>
        <v>621.1746702118453</v>
      </c>
      <c r="CD69" s="59">
        <f ca="1">AVERAGE(OFFSET($CC$3,0,0,'Données projet'!$E$12+1,1))-AVERAGE(OFFSET($H$3,0,0,'Données projet'!$E$12+1,1))</f>
        <v>124.15919323713428</v>
      </c>
      <c r="CE69" s="59">
        <f t="shared" ref="CE69:CE132" si="94">$CE$3</f>
        <v>157.85954678210715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1.8525618626276323</v>
      </c>
      <c r="CM69" s="21">
        <f>EXP(-LN(2)/2)*CM68+(1-EXP(-LN(2)/2))/(LN(2)/2)*CG69*CJ69*VLOOKUP('Données projet'!$B$12,Paramètres!$A$1:$I$89,3,0)*0.475*44/12</f>
        <v>2.814229487244891E-5</v>
      </c>
      <c r="CN69" s="22">
        <f t="shared" si="66"/>
        <v>1.8525900049225048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5.2</v>
      </c>
      <c r="N70" s="13">
        <f>IF('Données projet'!$A$36&gt;35,N69+M70-V69,IF(A70&lt;'Données projet'!$A$36,$K$205^A70,IF(A70='Données projet'!$A$36,'Données projet'!$B$36,N69+M70-V69)))</f>
        <v>170.39999999999989</v>
      </c>
      <c r="O70" s="13">
        <f>N70*VLOOKUP('Données projet'!$B$9,Paramètres!$A$1:$I$89,3,0)*VLOOKUP('Données projet'!$B$9,Paramètres!$A$1:$I$89,5,0)</f>
        <v>154.17791999999992</v>
      </c>
      <c r="P70" s="13">
        <f t="shared" si="87"/>
        <v>39.526509568829233</v>
      </c>
      <c r="Q70" s="20">
        <f t="shared" si="54"/>
        <v>337.36854816571076</v>
      </c>
      <c r="R70" s="59">
        <f t="shared" si="55"/>
        <v>630.70188149904402</v>
      </c>
      <c r="S70" s="59">
        <f ca="1">AVERAGE(OFFSET($R$3,0,0,'Données projet'!$E$9+1,1))-AVERAGE(OFFSET($H$3,0,0,'Données projet'!$E$9+1,1))</f>
        <v>138.8931001150624</v>
      </c>
      <c r="T70" s="59">
        <f t="shared" si="88"/>
        <v>48.964659354096625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4.3</v>
      </c>
      <c r="AI70" s="13">
        <f>IF('Données projet'!$A$62&gt;35,AI69+AH70-AQ69,IF(A70&lt;'Données projet'!$A$62,$AF$205^A70,IF(A70='Données projet'!$A$62,'Données projet'!$B$62,AI69+AH70-AQ69)))</f>
        <v>210.09999999999977</v>
      </c>
      <c r="AJ70" s="13">
        <f>AI70*VLOOKUP('Données projet'!$B$10,Paramètres!$A$1:$I$89,3,0)*VLOOKUP('Données projet'!$B$10,Paramètres!$A$1:$I$89,5,0)</f>
        <v>183.54335999999981</v>
      </c>
      <c r="AK70" s="13">
        <f t="shared" si="89"/>
        <v>46.109621850655671</v>
      </c>
      <c r="AL70" s="20">
        <f t="shared" si="58"/>
        <v>399.97894338989158</v>
      </c>
      <c r="AM70" s="59">
        <f t="shared" si="59"/>
        <v>693.31227672322484</v>
      </c>
      <c r="AN70" s="59">
        <f ca="1">AVERAGE(OFFSET($AM$3,0,0,'Données projet'!$E$10+1,1))-AVERAGE(OFFSET($H$3,0,0,'Données projet'!$E$10+1,1))</f>
        <v>191.94797389630673</v>
      </c>
      <c r="AO70" s="59">
        <f t="shared" si="90"/>
        <v>273.52540822767878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1.2373374881314869</v>
      </c>
      <c r="AV70" s="21">
        <f>EXP(-LN(2)/25)*AV69+(1-EXP(-LN(2)/25))/(LN(2)/25)*Calculateur!AQ70*Calculateur!AS70*VLOOKUP('Données projet'!$B$10,Paramètres!$A$1:$I$89,3,0)*0.475*44/12</f>
        <v>5.0361049801831932</v>
      </c>
      <c r="AW70" s="21">
        <f>EXP(-LN(2)/2)*AW69+(1-EXP(-LN(2)/2))/(LN(2)/2)*AQ70*AT70*VLOOKUP('Données projet'!$B$10,Paramètres!$A$1:$I$89,3,0)*0.475*44/12</f>
        <v>6.2587902583299051E-5</v>
      </c>
      <c r="AX70" s="21">
        <f t="shared" si="60"/>
        <v>6.2735050562172638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12.1</v>
      </c>
      <c r="BD70" s="12">
        <f>IF('Données projet'!$A$88&gt;35,BD69+BC70-BL69,IF(A70&lt;'Données projet'!$A$88,$BA$205^A70,IF(A70='Données projet'!$A$88,'Données projet'!$B$88,BD69+BC70-BL69)))</f>
        <v>513.69999999999993</v>
      </c>
      <c r="BE70" s="13">
        <f>BD70*VLOOKUP('Données projet'!$B$11,Paramètres!$A$1:$I$89,3,0)*VLOOKUP('Données projet'!$B$11,Paramètres!$A$1:$I$89,5,0)</f>
        <v>287.15829999999994</v>
      </c>
      <c r="BF70" s="13">
        <f t="shared" si="91"/>
        <v>68.477533743311554</v>
      </c>
      <c r="BG70" s="20">
        <f t="shared" si="61"/>
        <v>619.39907710293414</v>
      </c>
      <c r="BH70" s="59">
        <f t="shared" si="62"/>
        <v>912.7324104362674</v>
      </c>
      <c r="BI70" s="59">
        <f ca="1">AVERAGE(OFFSET($BH$3,0,0,'Données projet'!$E$11+1,1))-AVERAGE(OFFSET($H$3,0,0,'Données projet'!$E$11+1,1))</f>
        <v>279.98352834501759</v>
      </c>
      <c r="BJ70" s="59">
        <f t="shared" si="92"/>
        <v>281.30062655265488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1.9208666650428321</v>
      </c>
      <c r="BQ70" s="21">
        <f>EXP(-LN(2)/25)*BQ69+(1-EXP(-LN(2)/25))/(LN(2)/25)*Calculateur!BL70*Calculateur!BN70*VLOOKUP('Données projet'!$B$11,Paramètres!$A$1:$I$89,3,0)*0.475*44/12</f>
        <v>8.6850895073501935</v>
      </c>
      <c r="BR70" s="21">
        <f>EXP(-LN(2)/2)*BR69+(1-EXP(-LN(2)/2))/(LN(2)/2)*BL70*BO70*VLOOKUP('Données projet'!$B$11,Paramètres!$A$1:$I$89,3,0)*0.475*44/12</f>
        <v>7.6382606443595768E-5</v>
      </c>
      <c r="BS70" s="22">
        <f t="shared" si="63"/>
        <v>10.606032554999469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3.2</v>
      </c>
      <c r="BY70" s="12">
        <f>IF('Données projet'!$A$114&gt;35,BY69+BX70-CG69,IF(A70&lt;'Données projet'!$A$114,$BV$205^A70,IF(A70='Données projet'!$A$114,'Données projet'!$B$114,BY69+BX70-CG69)))</f>
        <v>207.39999999999995</v>
      </c>
      <c r="BZ70" s="13">
        <f>BY70*VLOOKUP('Données projet'!$B$12,Paramètres!$A$1:$I$89,3,0)*VLOOKUP('Données projet'!$B$12,Paramètres!$A$1:$I$89,5,0)</f>
        <v>152.06567999999996</v>
      </c>
      <c r="CA70" s="13">
        <f t="shared" si="93"/>
        <v>39.04764448435953</v>
      </c>
      <c r="CB70" s="20">
        <f t="shared" si="64"/>
        <v>332.85570681025939</v>
      </c>
      <c r="CC70" s="59">
        <f t="shared" si="65"/>
        <v>626.18904014359271</v>
      </c>
      <c r="CD70" s="59">
        <f ca="1">AVERAGE(OFFSET($CC$3,0,0,'Données projet'!$E$12+1,1))-AVERAGE(OFFSET($H$3,0,0,'Données projet'!$E$12+1,1))</f>
        <v>124.15919323713428</v>
      </c>
      <c r="CE70" s="59">
        <f t="shared" si="94"/>
        <v>157.85954678210715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1.8019034610720854</v>
      </c>
      <c r="CM70" s="21">
        <f>EXP(-LN(2)/2)*CM69+(1-EXP(-LN(2)/2))/(LN(2)/2)*CG70*CJ70*VLOOKUP('Données projet'!$B$12,Paramètres!$A$1:$I$89,3,0)*0.475*44/12</f>
        <v>1.9899607542460029E-5</v>
      </c>
      <c r="CN70" s="22">
        <f t="shared" si="66"/>
        <v>1.8019233606796279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5.2</v>
      </c>
      <c r="N71" s="13">
        <f>IF('Données projet'!$A$36&gt;35,N70+M71-V70,IF(A71&lt;'Données projet'!$A$36,$K$205^A71,IF(A71='Données projet'!$A$36,'Données projet'!$B$36,N70+M71-V70)))</f>
        <v>175.59999999999988</v>
      </c>
      <c r="O71" s="13">
        <f>N71*VLOOKUP('Données projet'!$B$9,Paramètres!$A$1:$I$89,3,0)*VLOOKUP('Données projet'!$B$9,Paramètres!$A$1:$I$89,5,0)</f>
        <v>158.88287999999989</v>
      </c>
      <c r="P71" s="13">
        <f t="shared" si="87"/>
        <v>40.590443217000136</v>
      </c>
      <c r="Q71" s="20">
        <f t="shared" si="54"/>
        <v>347.41603793627502</v>
      </c>
      <c r="R71" s="59">
        <f t="shared" si="55"/>
        <v>640.74937126960833</v>
      </c>
      <c r="S71" s="59">
        <f ca="1">AVERAGE(OFFSET($R$3,0,0,'Données projet'!$E$9+1,1))-AVERAGE(OFFSET($H$3,0,0,'Données projet'!$E$9+1,1))</f>
        <v>138.8931001150624</v>
      </c>
      <c r="T71" s="59">
        <f t="shared" si="88"/>
        <v>48.964659354096625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4.3</v>
      </c>
      <c r="AI71" s="13">
        <f>IF('Données projet'!$A$62&gt;35,AI70+AH71-AQ70,IF(A71&lt;'Données projet'!$A$62,$AF$205^A71,IF(A71='Données projet'!$A$62,'Données projet'!$B$62,AI70+AH71-AQ70)))</f>
        <v>214.39999999999978</v>
      </c>
      <c r="AJ71" s="13">
        <f>AI71*VLOOKUP('Données projet'!$B$10,Paramètres!$A$1:$I$89,3,0)*VLOOKUP('Données projet'!$B$10,Paramètres!$A$1:$I$89,5,0)</f>
        <v>187.29983999999985</v>
      </c>
      <c r="AK71" s="13">
        <f t="shared" si="89"/>
        <v>46.942489429228111</v>
      </c>
      <c r="AL71" s="20">
        <f t="shared" si="58"/>
        <v>407.97205708923872</v>
      </c>
      <c r="AM71" s="59">
        <f t="shared" si="59"/>
        <v>701.30539042257203</v>
      </c>
      <c r="AN71" s="59">
        <f ca="1">AVERAGE(OFFSET($AM$3,0,0,'Données projet'!$E$10+1,1))-AVERAGE(OFFSET($H$3,0,0,'Données projet'!$E$10+1,1))</f>
        <v>191.94797389630673</v>
      </c>
      <c r="AO71" s="59">
        <f t="shared" si="90"/>
        <v>273.52540822767878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1.2130740546905756</v>
      </c>
      <c r="AV71" s="21">
        <f>EXP(-LN(2)/25)*AV70+(1-EXP(-LN(2)/25))/(LN(2)/25)*Calculateur!AQ71*Calculateur!AS71*VLOOKUP('Données projet'!$B$10,Paramètres!$A$1:$I$89,3,0)*0.475*44/12</f>
        <v>4.8983924246628332</v>
      </c>
      <c r="AW71" s="21">
        <f>EXP(-LN(2)/2)*AW70+(1-EXP(-LN(2)/2))/(LN(2)/2)*AQ71*AT71*VLOOKUP('Données projet'!$B$10,Paramètres!$A$1:$I$89,3,0)*0.475*44/12</f>
        <v>4.4256330336893796E-5</v>
      </c>
      <c r="AX71" s="21">
        <f t="shared" si="60"/>
        <v>6.1115107356837459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12.1</v>
      </c>
      <c r="BD71" s="12">
        <f>IF('Données projet'!$A$88&gt;35,BD70+BC71-BL70,IF(A71&lt;'Données projet'!$A$88,$BA$205^A71,IF(A71='Données projet'!$A$88,'Données projet'!$B$88,BD70+BC71-BL70)))</f>
        <v>525.79999999999995</v>
      </c>
      <c r="BE71" s="13">
        <f>BD71*VLOOKUP('Données projet'!$B$11,Paramètres!$A$1:$I$89,3,0)*VLOOKUP('Données projet'!$B$11,Paramètres!$A$1:$I$89,5,0)</f>
        <v>293.92219999999998</v>
      </c>
      <c r="BF71" s="13">
        <f t="shared" si="91"/>
        <v>69.900809365323312</v>
      </c>
      <c r="BG71" s="20">
        <f t="shared" si="61"/>
        <v>633.65840797793805</v>
      </c>
      <c r="BH71" s="59">
        <f t="shared" si="62"/>
        <v>926.99174131127143</v>
      </c>
      <c r="BI71" s="59">
        <f ca="1">AVERAGE(OFFSET($BH$3,0,0,'Données projet'!$E$11+1,1))-AVERAGE(OFFSET($H$3,0,0,'Données projet'!$E$11+1,1))</f>
        <v>279.98352834501759</v>
      </c>
      <c r="BJ71" s="59">
        <f t="shared" si="92"/>
        <v>281.30062655265488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1.8831996413543206</v>
      </c>
      <c r="BQ71" s="21">
        <f>EXP(-LN(2)/25)*BQ70+(1-EXP(-LN(2)/25))/(LN(2)/25)*Calculateur!BL71*Calculateur!BN71*VLOOKUP('Données projet'!$B$11,Paramètres!$A$1:$I$89,3,0)*0.475*44/12</f>
        <v>8.4475952780426962</v>
      </c>
      <c r="BR71" s="21">
        <f>EXP(-LN(2)/2)*BR70+(1-EXP(-LN(2)/2))/(LN(2)/2)*BL71*BO71*VLOOKUP('Données projet'!$B$11,Paramètres!$A$1:$I$89,3,0)*0.475*44/12</f>
        <v>5.4010658980969849E-5</v>
      </c>
      <c r="BS71" s="22">
        <f t="shared" si="63"/>
        <v>10.330848930055998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3.2</v>
      </c>
      <c r="BY71" s="12">
        <f>IF('Données projet'!$A$114&gt;35,BY70+BX71-CG70,IF(A71&lt;'Données projet'!$A$114,$BV$205^A71,IF(A71='Données projet'!$A$114,'Données projet'!$B$114,BY70+BX71-CG70)))</f>
        <v>210.59999999999994</v>
      </c>
      <c r="BZ71" s="13">
        <f>BY71*VLOOKUP('Données projet'!$B$12,Paramètres!$A$1:$I$89,3,0)*VLOOKUP('Données projet'!$B$12,Paramètres!$A$1:$I$89,5,0)</f>
        <v>154.41191999999995</v>
      </c>
      <c r="CA71" s="13">
        <f t="shared" si="93"/>
        <v>39.579512453354198</v>
      </c>
      <c r="CB71" s="20">
        <f t="shared" si="64"/>
        <v>337.8684115229251</v>
      </c>
      <c r="CC71" s="59">
        <f t="shared" si="65"/>
        <v>631.20174485625841</v>
      </c>
      <c r="CD71" s="59">
        <f ca="1">AVERAGE(OFFSET($CC$3,0,0,'Données projet'!$E$12+1,1))-AVERAGE(OFFSET($H$3,0,0,'Données projet'!$E$12+1,1))</f>
        <v>124.15919323713428</v>
      </c>
      <c r="CE71" s="59">
        <f t="shared" si="94"/>
        <v>157.85954678210715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1.7526303161710846</v>
      </c>
      <c r="CM71" s="21">
        <f>EXP(-LN(2)/2)*CM70+(1-EXP(-LN(2)/2))/(LN(2)/2)*CG71*CJ71*VLOOKUP('Données projet'!$B$12,Paramètres!$A$1:$I$89,3,0)*0.475*44/12</f>
        <v>1.4071147436224455E-5</v>
      </c>
      <c r="CN71" s="22">
        <f t="shared" si="66"/>
        <v>1.7526443873185207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5.2</v>
      </c>
      <c r="N72" s="13">
        <f>IF('Données projet'!$A$36&gt;35,N71+M72-V71,IF(A72&lt;'Données projet'!$A$36,$K$205^A72,IF(A72='Données projet'!$A$36,'Données projet'!$B$36,N71+M72-V71)))</f>
        <v>180.79999999999987</v>
      </c>
      <c r="O72" s="13">
        <f>N72*VLOOKUP('Données projet'!$B$9,Paramètres!$A$1:$I$89,3,0)*VLOOKUP('Données projet'!$B$9,Paramètres!$A$1:$I$89,5,0)</f>
        <v>163.58783999999989</v>
      </c>
      <c r="P72" s="13">
        <f t="shared" si="87"/>
        <v>41.650715313623969</v>
      </c>
      <c r="Q72" s="20">
        <f t="shared" si="54"/>
        <v>357.45715050456153</v>
      </c>
      <c r="R72" s="59">
        <f t="shared" si="55"/>
        <v>650.79048383789484</v>
      </c>
      <c r="S72" s="59">
        <f ca="1">AVERAGE(OFFSET($R$3,0,0,'Données projet'!$E$9+1,1))-AVERAGE(OFFSET($H$3,0,0,'Données projet'!$E$9+1,1))</f>
        <v>138.8931001150624</v>
      </c>
      <c r="T72" s="59">
        <f t="shared" si="88"/>
        <v>48.964659354096625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4.3</v>
      </c>
      <c r="AI72" s="13">
        <f>IF('Données projet'!$A$62&gt;35,AI71+AH72-AQ71,IF(A72&lt;'Données projet'!$A$62,$AF$205^A72,IF(A72='Données projet'!$A$62,'Données projet'!$B$62,AI71+AH72-AQ71)))</f>
        <v>218.69999999999979</v>
      </c>
      <c r="AJ72" s="13">
        <f>AI72*VLOOKUP('Données projet'!$B$10,Paramètres!$A$1:$I$89,3,0)*VLOOKUP('Données projet'!$B$10,Paramètres!$A$1:$I$89,5,0)</f>
        <v>191.05631999999983</v>
      </c>
      <c r="AK72" s="13">
        <f t="shared" si="89"/>
        <v>47.773414796152679</v>
      </c>
      <c r="AL72" s="20">
        <f t="shared" si="58"/>
        <v>415.96178810329894</v>
      </c>
      <c r="AM72" s="59">
        <f t="shared" si="59"/>
        <v>709.29512143663226</v>
      </c>
      <c r="AN72" s="59">
        <f ca="1">AVERAGE(OFFSET($AM$3,0,0,'Données projet'!$E$10+1,1))-AVERAGE(OFFSET($H$3,0,0,'Données projet'!$E$10+1,1))</f>
        <v>191.94797389630673</v>
      </c>
      <c r="AO72" s="59">
        <f t="shared" si="90"/>
        <v>273.52540822767878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1.1892864123802076</v>
      </c>
      <c r="AV72" s="21">
        <f>EXP(-LN(2)/25)*AV71+(1-EXP(-LN(2)/25))/(LN(2)/25)*Calculateur!AQ72*Calculateur!AS72*VLOOKUP('Données projet'!$B$10,Paramètres!$A$1:$I$89,3,0)*0.475*44/12</f>
        <v>4.7644456262151662</v>
      </c>
      <c r="AW72" s="21">
        <f>EXP(-LN(2)/2)*AW71+(1-EXP(-LN(2)/2))/(LN(2)/2)*AQ72*AT72*VLOOKUP('Données projet'!$B$10,Paramètres!$A$1:$I$89,3,0)*0.475*44/12</f>
        <v>3.1293951291649525E-5</v>
      </c>
      <c r="AX72" s="21">
        <f t="shared" si="60"/>
        <v>5.9537633325466652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12.1</v>
      </c>
      <c r="BD72" s="12">
        <f>IF('Données projet'!$A$88&gt;35,BD71+BC72-BL71,IF(A72&lt;'Données projet'!$A$88,$BA$205^A72,IF(A72='Données projet'!$A$88,'Données projet'!$B$88,BD71+BC72-BL71)))</f>
        <v>537.9</v>
      </c>
      <c r="BE72" s="13">
        <f>BD72*VLOOKUP('Données projet'!$B$11,Paramètres!$A$1:$I$89,3,0)*VLOOKUP('Données projet'!$B$11,Paramètres!$A$1:$I$89,5,0)</f>
        <v>300.68610000000001</v>
      </c>
      <c r="BF72" s="13">
        <f t="shared" si="91"/>
        <v>71.320277260703975</v>
      </c>
      <c r="BG72" s="20">
        <f t="shared" si="61"/>
        <v>647.91110706239272</v>
      </c>
      <c r="BH72" s="59">
        <f t="shared" si="62"/>
        <v>941.24444039572609</v>
      </c>
      <c r="BI72" s="59">
        <f ca="1">AVERAGE(OFFSET($BH$3,0,0,'Données projet'!$E$11+1,1))-AVERAGE(OFFSET($H$3,0,0,'Données projet'!$E$11+1,1))</f>
        <v>279.98352834501759</v>
      </c>
      <c r="BJ72" s="59">
        <f t="shared" si="92"/>
        <v>281.30062655265488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1.846271245025725</v>
      </c>
      <c r="BQ72" s="21">
        <f>EXP(-LN(2)/25)*BQ71+(1-EXP(-LN(2)/25))/(LN(2)/25)*Calculateur!BL72*Calculateur!BN72*VLOOKUP('Données projet'!$B$11,Paramètres!$A$1:$I$89,3,0)*0.475*44/12</f>
        <v>8.21659534092489</v>
      </c>
      <c r="BR72" s="21">
        <f>EXP(-LN(2)/2)*BR71+(1-EXP(-LN(2)/2))/(LN(2)/2)*BL72*BO72*VLOOKUP('Données projet'!$B$11,Paramètres!$A$1:$I$89,3,0)*0.475*44/12</f>
        <v>3.8191303221797884E-5</v>
      </c>
      <c r="BS72" s="22">
        <f t="shared" si="63"/>
        <v>10.062904777253838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3.2</v>
      </c>
      <c r="BY72" s="12">
        <f>IF('Données projet'!$A$114&gt;35,BY71+BX72-CG71,IF(A72&lt;'Données projet'!$A$114,$BV$205^A72,IF(A72='Données projet'!$A$114,'Données projet'!$B$114,BY71+BX72-CG71)))</f>
        <v>213.79999999999993</v>
      </c>
      <c r="BZ72" s="13">
        <f>BY72*VLOOKUP('Données projet'!$B$12,Paramètres!$A$1:$I$89,3,0)*VLOOKUP('Données projet'!$B$12,Paramètres!$A$1:$I$89,5,0)</f>
        <v>156.75815999999995</v>
      </c>
      <c r="CA72" s="13">
        <f t="shared" si="93"/>
        <v>40.110440521385584</v>
      </c>
      <c r="CB72" s="20">
        <f t="shared" si="64"/>
        <v>342.87947924141309</v>
      </c>
      <c r="CC72" s="59">
        <f t="shared" si="65"/>
        <v>636.21281257474641</v>
      </c>
      <c r="CD72" s="59">
        <f ca="1">AVERAGE(OFFSET($CC$3,0,0,'Données projet'!$E$12+1,1))-AVERAGE(OFFSET($H$3,0,0,'Données projet'!$E$12+1,1))</f>
        <v>124.15919323713428</v>
      </c>
      <c r="CE72" s="59">
        <f t="shared" si="94"/>
        <v>157.85954678210715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1.7047045480085636</v>
      </c>
      <c r="CM72" s="21">
        <f>EXP(-LN(2)/2)*CM71+(1-EXP(-LN(2)/2))/(LN(2)/2)*CG72*CJ72*VLOOKUP('Données projet'!$B$12,Paramètres!$A$1:$I$89,3,0)*0.475*44/12</f>
        <v>9.9498037712300146E-6</v>
      </c>
      <c r="CN72" s="22">
        <f t="shared" si="66"/>
        <v>1.704714497812335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186</v>
      </c>
      <c r="L73" s="12">
        <f>VLOOKUP(A73,'Données projet'!$A$35:$I$55,9,0)</f>
        <v>5.2</v>
      </c>
      <c r="M73" s="12">
        <f t="array" ref="M73">INDEX(L:L,MIN(IF(ISNUMBER(L73:L269),ROW(L73:L269),"")))</f>
        <v>5.2</v>
      </c>
      <c r="N73" s="13">
        <f>IF('Données projet'!$A$36&gt;35,N72+M73-V72,IF(A73&lt;'Données projet'!$A$36,$K$205^A73,IF(A73='Données projet'!$A$36,'Données projet'!$B$36,N72+M73-V72)))</f>
        <v>185.99999999999986</v>
      </c>
      <c r="O73" s="13">
        <f>N73*VLOOKUP('Données projet'!$B$9,Paramètres!$A$1:$I$89,3,0)*VLOOKUP('Données projet'!$B$9,Paramètres!$A$1:$I$89,5,0)</f>
        <v>168.29279999999986</v>
      </c>
      <c r="P73" s="13">
        <f t="shared" si="87"/>
        <v>42.707443263135069</v>
      </c>
      <c r="Q73" s="20">
        <f t="shared" si="54"/>
        <v>367.49209034995994</v>
      </c>
      <c r="R73" s="59">
        <f t="shared" si="55"/>
        <v>660.82542368329325</v>
      </c>
      <c r="S73" s="59">
        <f ca="1">AVERAGE(OFFSET($R$3,0,0,'Données projet'!$E$9+1,1))-AVERAGE(OFFSET($H$3,0,0,'Données projet'!$E$9+1,1))</f>
        <v>138.8931001150624</v>
      </c>
      <c r="T73" s="59">
        <f t="shared" si="88"/>
        <v>48.964659354096625</v>
      </c>
      <c r="U73" s="15">
        <f>IF(ISNA(VLOOKUP(A73,'Données projet'!$A$35:$I$55,3,0)),0,VLOOKUP(A73,'Données projet'!$A$35:$I$55,3,0))</f>
        <v>4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223</v>
      </c>
      <c r="AG73" s="12">
        <f>VLOOKUP(A73,'Données projet'!$A$61:$I$81,9,0)</f>
        <v>4.3</v>
      </c>
      <c r="AH73" s="12">
        <f t="array" ref="AH73">INDEX(AG:AG,MIN(IF(ISNUMBER(AG73:AG269),ROW(AG73:AG269),"")))</f>
        <v>4.3</v>
      </c>
      <c r="AI73" s="13">
        <f>IF('Données projet'!$A$62&gt;35,AI72+AH73-AQ72,IF(A73&lt;'Données projet'!$A$62,$AF$205^A73,IF(A73='Données projet'!$A$62,'Données projet'!$B$62,AI72+AH73-AQ72)))</f>
        <v>222.9999999999998</v>
      </c>
      <c r="AJ73" s="13">
        <f>AI73*VLOOKUP('Données projet'!$B$10,Paramètres!$A$1:$I$89,3,0)*VLOOKUP('Données projet'!$B$10,Paramètres!$A$1:$I$89,5,0)</f>
        <v>194.81279999999984</v>
      </c>
      <c r="AK73" s="13">
        <f t="shared" si="89"/>
        <v>48.602440540253809</v>
      </c>
      <c r="AL73" s="20">
        <f t="shared" si="58"/>
        <v>423.94821060760842</v>
      </c>
      <c r="AM73" s="59">
        <f t="shared" si="59"/>
        <v>717.28154394094167</v>
      </c>
      <c r="AN73" s="59">
        <f ca="1">AVERAGE(OFFSET($AM$3,0,0,'Données projet'!$E$10+1,1))-AVERAGE(OFFSET($H$3,0,0,'Données projet'!$E$10+1,1))</f>
        <v>191.94797389630673</v>
      </c>
      <c r="AO73" s="59">
        <f t="shared" si="90"/>
        <v>273.52540822767878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32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1.1659652312265167</v>
      </c>
      <c r="AV73" s="21">
        <f>EXP(-LN(2)/25)*AV72+(1-EXP(-LN(2)/25))/(LN(2)/25)*Calculateur!AQ73*Calculateur!AS73*VLOOKUP('Données projet'!$B$10,Paramètres!$A$1:$I$89,3,0)*0.475*44/12</f>
        <v>4.6341616100150063</v>
      </c>
      <c r="AW73" s="21">
        <f>EXP(-LN(2)/2)*AW72+(1-EXP(-LN(2)/2))/(LN(2)/2)*AQ73*AT73*VLOOKUP('Données projet'!$B$10,Paramètres!$A$1:$I$89,3,0)*0.475*44/12</f>
        <v>2.2128165168446898E-5</v>
      </c>
      <c r="AX73" s="21">
        <f t="shared" si="60"/>
        <v>5.8001489694066919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550</v>
      </c>
      <c r="BB73" s="12">
        <f>VLOOKUP(A73,'Données projet'!$A$87:$I$107,9,0)</f>
        <v>12.1</v>
      </c>
      <c r="BC73" s="12">
        <f t="array" ref="BC73">INDEX(BB:BB,MIN(IF(ISNUMBER(BB73:BB269),ROW(BB73:BB269),"")))</f>
        <v>12.1</v>
      </c>
      <c r="BD73" s="12">
        <f>IF('Données projet'!$A$88&gt;35,BD72+BC73-BL72,IF(A73&lt;'Données projet'!$A$88,$BA$205^A73,IF(A73='Données projet'!$A$88,'Données projet'!$B$88,BD72+BC73-BL72)))</f>
        <v>550</v>
      </c>
      <c r="BE73" s="13">
        <f>BD73*VLOOKUP('Données projet'!$B$11,Paramètres!$A$1:$I$89,3,0)*VLOOKUP('Données projet'!$B$11,Paramètres!$A$1:$I$89,5,0)</f>
        <v>307.45</v>
      </c>
      <c r="BF73" s="13">
        <f t="shared" si="91"/>
        <v>72.736032945200179</v>
      </c>
      <c r="BG73" s="20">
        <f t="shared" si="61"/>
        <v>662.15734071289023</v>
      </c>
      <c r="BH73" s="59">
        <f t="shared" si="62"/>
        <v>955.4906740462236</v>
      </c>
      <c r="BI73" s="59">
        <f ca="1">AVERAGE(OFFSET($BH$3,0,0,'Données projet'!$E$11+1,1))-AVERAGE(OFFSET($H$3,0,0,'Données projet'!$E$11+1,1))</f>
        <v>279.98352834501759</v>
      </c>
      <c r="BJ73" s="59">
        <f t="shared" si="92"/>
        <v>281.30062655265488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61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1.8100669920250354</v>
      </c>
      <c r="BQ73" s="21">
        <f>EXP(-LN(2)/25)*BQ72+(1-EXP(-LN(2)/25))/(LN(2)/25)*Calculateur!BL73*Calculateur!BN73*VLOOKUP('Données projet'!$B$11,Paramètres!$A$1:$I$89,3,0)*0.475*44/12</f>
        <v>7.9919121092353294</v>
      </c>
      <c r="BR73" s="21">
        <f>EXP(-LN(2)/2)*BR72+(1-EXP(-LN(2)/2))/(LN(2)/2)*BL73*BO73*VLOOKUP('Données projet'!$B$11,Paramètres!$A$1:$I$89,3,0)*0.475*44/12</f>
        <v>2.7005329490484924E-5</v>
      </c>
      <c r="BS73" s="22">
        <f t="shared" si="63"/>
        <v>9.8020061065898556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217</v>
      </c>
      <c r="BW73" s="12">
        <f>VLOOKUP(A73,'Données projet'!$A$113:$I$133,9,0)</f>
        <v>3.2</v>
      </c>
      <c r="BX73" s="12">
        <f t="array" ref="BX73">INDEX(BW:BW,MIN(IF(ISNUMBER(BW73:BW269),ROW(BW73:BW269),"")))</f>
        <v>3.2</v>
      </c>
      <c r="BY73" s="12">
        <f>IF('Données projet'!$A$114&gt;35,BY72+BX73-CG72,IF(A73&lt;'Données projet'!$A$114,$BV$205^A73,IF(A73='Données projet'!$A$114,'Données projet'!$B$114,BY72+BX73-CG72)))</f>
        <v>216.99999999999991</v>
      </c>
      <c r="BZ73" s="13">
        <f>BY73*VLOOKUP('Données projet'!$B$12,Paramètres!$A$1:$I$89,3,0)*VLOOKUP('Données projet'!$B$12,Paramètres!$A$1:$I$89,5,0)</f>
        <v>159.10439999999994</v>
      </c>
      <c r="CA73" s="13">
        <f t="shared" si="93"/>
        <v>40.64044438118686</v>
      </c>
      <c r="CB73" s="20">
        <f t="shared" si="64"/>
        <v>347.88893729723367</v>
      </c>
      <c r="CC73" s="59">
        <f t="shared" si="65"/>
        <v>641.22227063056698</v>
      </c>
      <c r="CD73" s="59">
        <f ca="1">AVERAGE(OFFSET($CC$3,0,0,'Données projet'!$E$12+1,1))-AVERAGE(OFFSET($H$3,0,0,'Données projet'!$E$12+1,1))</f>
        <v>124.15919323713428</v>
      </c>
      <c r="CE73" s="59">
        <f t="shared" si="94"/>
        <v>157.85954678210715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16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1.6580893124967535</v>
      </c>
      <c r="CM73" s="21">
        <f>EXP(-LN(2)/2)*CM72+(1-EXP(-LN(2)/2))/(LN(2)/2)*CG73*CJ73*VLOOKUP('Données projet'!$B$12,Paramètres!$A$1:$I$89,3,0)*0.475*44/12</f>
        <v>7.0355737181122274E-6</v>
      </c>
      <c r="CN73" s="22">
        <f t="shared" si="66"/>
        <v>1.6580963480704716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4.8</v>
      </c>
      <c r="N74" s="13">
        <f>IF('Données projet'!$A$36&gt;35,N73+M74-V73,IF(A74&lt;'Données projet'!$A$36,$K$205^A74,IF(A74='Données projet'!$A$36,'Données projet'!$B$36,N73+M74-V73)))</f>
        <v>162.79999999999987</v>
      </c>
      <c r="O74" s="13">
        <f>N74*VLOOKUP('Données projet'!$B$9,Paramètres!$A$1:$I$89,3,0)*VLOOKUP('Données projet'!$B$9,Paramètres!$A$1:$I$89,5,0)</f>
        <v>147.30143999999987</v>
      </c>
      <c r="P74" s="13">
        <f t="shared" si="87"/>
        <v>37.964681731408312</v>
      </c>
      <c r="Q74" s="20">
        <f t="shared" si="54"/>
        <v>322.6718286822026</v>
      </c>
      <c r="R74" s="59">
        <f t="shared" si="55"/>
        <v>616.00516201553592</v>
      </c>
      <c r="S74" s="59">
        <f ca="1">AVERAGE(OFFSET($R$3,0,0,'Données projet'!$E$9+1,1))-AVERAGE(OFFSET($H$3,0,0,'Données projet'!$E$9+1,1))</f>
        <v>138.8931001150624</v>
      </c>
      <c r="T74" s="59">
        <f t="shared" si="88"/>
        <v>48.964659354096625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3.3</v>
      </c>
      <c r="AI74" s="13">
        <f>IF('Données projet'!$A$62&gt;35,AI73+AH74-AQ73,IF(A74&lt;'Données projet'!$A$62,$AF$205^A74,IF(A74='Données projet'!$A$62,'Données projet'!$B$62,AI73+AH74-AQ73)))</f>
        <v>194.29999999999981</v>
      </c>
      <c r="AJ74" s="13">
        <f>AI74*VLOOKUP('Données projet'!$B$10,Paramètres!$A$1:$I$89,3,0)*VLOOKUP('Données projet'!$B$10,Paramètres!$A$1:$I$89,5,0)</f>
        <v>169.74047999999985</v>
      </c>
      <c r="AK74" s="13">
        <f t="shared" si="89"/>
        <v>43.03189457132202</v>
      </c>
      <c r="AL74" s="20">
        <f t="shared" si="58"/>
        <v>370.57855237838561</v>
      </c>
      <c r="AM74" s="59">
        <f t="shared" si="59"/>
        <v>663.91188571171892</v>
      </c>
      <c r="AN74" s="59">
        <f ca="1">AVERAGE(OFFSET($AM$3,0,0,'Données projet'!$E$10+1,1))-AVERAGE(OFFSET($H$3,0,0,'Données projet'!$E$10+1,1))</f>
        <v>191.94797389630673</v>
      </c>
      <c r="AO74" s="59">
        <f t="shared" si="90"/>
        <v>273.52540822767878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1.1431013642107337</v>
      </c>
      <c r="AV74" s="21">
        <f>EXP(-LN(2)/25)*AV73+(1-EXP(-LN(2)/25))/(LN(2)/25)*Calculateur!AQ74*Calculateur!AS74*VLOOKUP('Données projet'!$B$10,Paramètres!$A$1:$I$89,3,0)*0.475*44/12</f>
        <v>4.5074402170891785</v>
      </c>
      <c r="AW74" s="21">
        <f>EXP(-LN(2)/2)*AW73+(1-EXP(-LN(2)/2))/(LN(2)/2)*AQ74*AT74*VLOOKUP('Données projet'!$B$10,Paramètres!$A$1:$I$89,3,0)*0.475*44/12</f>
        <v>1.5646975645824763E-5</v>
      </c>
      <c r="AX74" s="21">
        <f t="shared" si="60"/>
        <v>5.6505572282755576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9.3000000000000007</v>
      </c>
      <c r="BD74" s="12">
        <f>IF('Données projet'!$A$88&gt;35,BD73+BC74-BL73,IF(A74&lt;'Données projet'!$A$88,$BA$205^A74,IF(A74='Données projet'!$A$88,'Données projet'!$B$88,BD73+BC74-BL73)))</f>
        <v>498.29999999999995</v>
      </c>
      <c r="BE74" s="13">
        <f>BD74*VLOOKUP('Données projet'!$B$11,Paramètres!$A$1:$I$89,3,0)*VLOOKUP('Données projet'!$B$11,Paramètres!$A$1:$I$89,5,0)</f>
        <v>278.54969999999997</v>
      </c>
      <c r="BF74" s="13">
        <f t="shared" si="91"/>
        <v>66.660426228305411</v>
      </c>
      <c r="BG74" s="20">
        <f t="shared" si="61"/>
        <v>601.24096984763185</v>
      </c>
      <c r="BH74" s="59">
        <f t="shared" si="62"/>
        <v>894.57430318096522</v>
      </c>
      <c r="BI74" s="59">
        <f ca="1">AVERAGE(OFFSET($BH$3,0,0,'Données projet'!$E$11+1,1))-AVERAGE(OFFSET($H$3,0,0,'Données projet'!$E$11+1,1))</f>
        <v>279.98352834501759</v>
      </c>
      <c r="BJ74" s="59">
        <f t="shared" si="92"/>
        <v>281.30062655265488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1.7745726823432755</v>
      </c>
      <c r="BQ74" s="21">
        <f>EXP(-LN(2)/25)*BQ73+(1-EXP(-LN(2)/25))/(LN(2)/25)*Calculateur!BL74*Calculateur!BN74*VLOOKUP('Données projet'!$B$11,Paramètres!$A$1:$I$89,3,0)*0.475*44/12</f>
        <v>7.7733728523318968</v>
      </c>
      <c r="BR74" s="21">
        <f>EXP(-LN(2)/2)*BR73+(1-EXP(-LN(2)/2))/(LN(2)/2)*BL74*BO74*VLOOKUP('Données projet'!$B$11,Paramètres!$A$1:$I$89,3,0)*0.475*44/12</f>
        <v>1.9095651610898942E-5</v>
      </c>
      <c r="BS74" s="22">
        <f t="shared" si="63"/>
        <v>9.5479646303267831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2.5</v>
      </c>
      <c r="BY74" s="12">
        <f>IF('Données projet'!$A$114&gt;35,BY73+BX74-CG73,IF(A74&lt;'Données projet'!$A$114,$BV$205^A74,IF(A74='Données projet'!$A$114,'Données projet'!$B$114,BY73+BX74-CG73)))</f>
        <v>203.49999999999991</v>
      </c>
      <c r="BZ74" s="13">
        <f>BY74*VLOOKUP('Données projet'!$B$12,Paramètres!$A$1:$I$89,3,0)*VLOOKUP('Données projet'!$B$12,Paramètres!$A$1:$I$89,5,0)</f>
        <v>149.20619999999994</v>
      </c>
      <c r="CA74" s="13">
        <f t="shared" si="93"/>
        <v>38.398136052375925</v>
      </c>
      <c r="CB74" s="20">
        <f t="shared" si="64"/>
        <v>326.74421862455461</v>
      </c>
      <c r="CC74" s="59">
        <f t="shared" si="65"/>
        <v>620.07755195788786</v>
      </c>
      <c r="CD74" s="59">
        <f ca="1">AVERAGE(OFFSET($CC$3,0,0,'Données projet'!$E$12+1,1))-AVERAGE(OFFSET($H$3,0,0,'Données projet'!$E$12+1,1))</f>
        <v>124.15919323713428</v>
      </c>
      <c r="CE74" s="59">
        <f t="shared" si="94"/>
        <v>157.85954678210715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1.6127487730514025</v>
      </c>
      <c r="CM74" s="21">
        <f>EXP(-LN(2)/2)*CM73+(1-EXP(-LN(2)/2))/(LN(2)/2)*CG74*CJ74*VLOOKUP('Données projet'!$B$12,Paramètres!$A$1:$I$89,3,0)*0.475*44/12</f>
        <v>4.9749018856150073E-6</v>
      </c>
      <c r="CN74" s="22">
        <f t="shared" si="66"/>
        <v>1.6127537479532881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4.8</v>
      </c>
      <c r="N75" s="13">
        <f>IF('Données projet'!$A$36&gt;35,N74+M75-V74,IF(A75&lt;'Données projet'!$A$36,$K$205^A75,IF(A75='Données projet'!$A$36,'Données projet'!$B$36,N74+M75-V74)))</f>
        <v>167.59999999999988</v>
      </c>
      <c r="O75" s="13">
        <f>N75*VLOOKUP('Données projet'!$B$9,Paramètres!$A$1:$I$89,3,0)*VLOOKUP('Données projet'!$B$9,Paramètres!$A$1:$I$89,5,0)</f>
        <v>151.6444799999999</v>
      </c>
      <c r="P75" s="13">
        <f t="shared" si="87"/>
        <v>38.952062117783541</v>
      </c>
      <c r="Q75" s="20">
        <f t="shared" si="54"/>
        <v>331.95564418847277</v>
      </c>
      <c r="R75" s="59">
        <f t="shared" si="55"/>
        <v>625.28897752180615</v>
      </c>
      <c r="S75" s="59">
        <f ca="1">AVERAGE(OFFSET($R$3,0,0,'Données projet'!$E$9+1,1))-AVERAGE(OFFSET($H$3,0,0,'Données projet'!$E$9+1,1))</f>
        <v>138.8931001150624</v>
      </c>
      <c r="T75" s="59">
        <f t="shared" si="88"/>
        <v>48.964659354096625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3.3</v>
      </c>
      <c r="AI75" s="13">
        <f>IF('Données projet'!$A$62&gt;35,AI74+AH75-AQ74,IF(A75&lt;'Données projet'!$A$62,$AF$205^A75,IF(A75='Données projet'!$A$62,'Données projet'!$B$62,AI74+AH75-AQ74)))</f>
        <v>197.59999999999982</v>
      </c>
      <c r="AJ75" s="13">
        <f>AI75*VLOOKUP('Données projet'!$B$10,Paramètres!$A$1:$I$89,3,0)*VLOOKUP('Données projet'!$B$10,Paramètres!$A$1:$I$89,5,0)</f>
        <v>172.62335999999985</v>
      </c>
      <c r="AK75" s="13">
        <f t="shared" si="89"/>
        <v>43.677044279986035</v>
      </c>
      <c r="AL75" s="20">
        <f t="shared" si="58"/>
        <v>376.72320412097542</v>
      </c>
      <c r="AM75" s="59">
        <f t="shared" si="59"/>
        <v>670.05653745430868</v>
      </c>
      <c r="AN75" s="59">
        <f ca="1">AVERAGE(OFFSET($AM$3,0,0,'Données projet'!$E$10+1,1))-AVERAGE(OFFSET($H$3,0,0,'Données projet'!$E$10+1,1))</f>
        <v>191.94797389630673</v>
      </c>
      <c r="AO75" s="59">
        <f t="shared" si="90"/>
        <v>273.52540822767878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1.1206858436815483</v>
      </c>
      <c r="AV75" s="21">
        <f>EXP(-LN(2)/25)*AV74+(1-EXP(-LN(2)/25))/(LN(2)/25)*Calculateur!AQ75*Calculateur!AS75*VLOOKUP('Données projet'!$B$10,Paramètres!$A$1:$I$89,3,0)*0.475*44/12</f>
        <v>4.3841840273168957</v>
      </c>
      <c r="AW75" s="21">
        <f>EXP(-LN(2)/2)*AW74+(1-EXP(-LN(2)/2))/(LN(2)/2)*AQ75*AT75*VLOOKUP('Données projet'!$B$10,Paramètres!$A$1:$I$89,3,0)*0.475*44/12</f>
        <v>1.1064082584223449E-5</v>
      </c>
      <c r="AX75" s="21">
        <f t="shared" si="60"/>
        <v>5.5048809350810286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9.3000000000000007</v>
      </c>
      <c r="BD75" s="12">
        <f>IF('Données projet'!$A$88&gt;35,BD74+BC75-BL74,IF(A75&lt;'Données projet'!$A$88,$BA$205^A75,IF(A75='Données projet'!$A$88,'Données projet'!$B$88,BD74+BC75-BL74)))</f>
        <v>507.59999999999997</v>
      </c>
      <c r="BE75" s="13">
        <f>BD75*VLOOKUP('Données projet'!$B$11,Paramètres!$A$1:$I$89,3,0)*VLOOKUP('Données projet'!$B$11,Paramètres!$A$1:$I$89,5,0)</f>
        <v>283.74839999999995</v>
      </c>
      <c r="BF75" s="13">
        <f t="shared" si="91"/>
        <v>67.758539422912406</v>
      </c>
      <c r="BG75" s="20">
        <f t="shared" si="61"/>
        <v>612.2079194949057</v>
      </c>
      <c r="BH75" s="59">
        <f t="shared" si="62"/>
        <v>905.54125282823907</v>
      </c>
      <c r="BI75" s="59">
        <f ca="1">AVERAGE(OFFSET($BH$3,0,0,'Données projet'!$E$11+1,1))-AVERAGE(OFFSET($H$3,0,0,'Données projet'!$E$11+1,1))</f>
        <v>279.98352834501759</v>
      </c>
      <c r="BJ75" s="59">
        <f t="shared" si="92"/>
        <v>281.30062655265488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1.7397743944249837</v>
      </c>
      <c r="BQ75" s="21">
        <f>EXP(-LN(2)/25)*BQ74+(1-EXP(-LN(2)/25))/(LN(2)/25)*Calculateur!BL75*Calculateur!BN75*VLOOKUP('Données projet'!$B$11,Paramètres!$A$1:$I$89,3,0)*0.475*44/12</f>
        <v>7.5608095629009693</v>
      </c>
      <c r="BR75" s="21">
        <f>EXP(-LN(2)/2)*BR74+(1-EXP(-LN(2)/2))/(LN(2)/2)*BL75*BO75*VLOOKUP('Données projet'!$B$11,Paramètres!$A$1:$I$89,3,0)*0.475*44/12</f>
        <v>1.3502664745242462E-5</v>
      </c>
      <c r="BS75" s="22">
        <f t="shared" si="63"/>
        <v>9.3005974599906978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2.5</v>
      </c>
      <c r="BY75" s="12">
        <f>IF('Données projet'!$A$114&gt;35,BY74+BX75-CG74,IF(A75&lt;'Données projet'!$A$114,$BV$205^A75,IF(A75='Données projet'!$A$114,'Données projet'!$B$114,BY74+BX75-CG74)))</f>
        <v>205.99999999999991</v>
      </c>
      <c r="BZ75" s="13">
        <f>BY75*VLOOKUP('Données projet'!$B$12,Paramètres!$A$1:$I$89,3,0)*VLOOKUP('Données projet'!$B$12,Paramètres!$A$1:$I$89,5,0)</f>
        <v>151.03919999999994</v>
      </c>
      <c r="CA75" s="13">
        <f t="shared" si="93"/>
        <v>38.814652571726043</v>
      </c>
      <c r="CB75" s="20">
        <f t="shared" si="64"/>
        <v>330.66212656242277</v>
      </c>
      <c r="CC75" s="59">
        <f t="shared" si="65"/>
        <v>623.99545989575608</v>
      </c>
      <c r="CD75" s="59">
        <f ca="1">AVERAGE(OFFSET($CC$3,0,0,'Données projet'!$E$12+1,1))-AVERAGE(OFFSET($H$3,0,0,'Données projet'!$E$12+1,1))</f>
        <v>124.15919323713428</v>
      </c>
      <c r="CE75" s="59">
        <f t="shared" si="94"/>
        <v>157.85954678210715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1.56864807304154</v>
      </c>
      <c r="CM75" s="21">
        <f>EXP(-LN(2)/2)*CM74+(1-EXP(-LN(2)/2))/(LN(2)/2)*CG75*CJ75*VLOOKUP('Données projet'!$B$12,Paramètres!$A$1:$I$89,3,0)*0.475*44/12</f>
        <v>3.5177868590561137E-6</v>
      </c>
      <c r="CN75" s="22">
        <f t="shared" si="66"/>
        <v>1.5686515908283991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4.8</v>
      </c>
      <c r="N76" s="13">
        <f>IF('Données projet'!$A$36&gt;35,N75+M76-V75,IF(A76&lt;'Données projet'!$A$36,$K$205^A76,IF(A76='Données projet'!$A$36,'Données projet'!$B$36,N75+M76-V75)))</f>
        <v>172.39999999999989</v>
      </c>
      <c r="O76" s="13">
        <f>N76*VLOOKUP('Données projet'!$B$9,Paramètres!$A$1:$I$89,3,0)*VLOOKUP('Données projet'!$B$9,Paramètres!$A$1:$I$89,5,0)</f>
        <v>155.9875199999999</v>
      </c>
      <c r="P76" s="13">
        <f t="shared" si="87"/>
        <v>39.936155927663087</v>
      </c>
      <c r="Q76" s="20">
        <f t="shared" si="54"/>
        <v>341.23373557401305</v>
      </c>
      <c r="R76" s="59">
        <f t="shared" si="55"/>
        <v>634.56706890734631</v>
      </c>
      <c r="S76" s="59">
        <f ca="1">AVERAGE(OFFSET($R$3,0,0,'Données projet'!$E$9+1,1))-AVERAGE(OFFSET($H$3,0,0,'Données projet'!$E$9+1,1))</f>
        <v>138.8931001150624</v>
      </c>
      <c r="T76" s="59">
        <f t="shared" si="88"/>
        <v>48.964659354096625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3.3</v>
      </c>
      <c r="AI76" s="13">
        <f>IF('Données projet'!$A$62&gt;35,AI75+AH76-AQ75,IF(A76&lt;'Données projet'!$A$62,$AF$205^A76,IF(A76='Données projet'!$A$62,'Données projet'!$B$62,AI75+AH76-AQ75)))</f>
        <v>200.89999999999984</v>
      </c>
      <c r="AJ76" s="13">
        <f>AI76*VLOOKUP('Données projet'!$B$10,Paramètres!$A$1:$I$89,3,0)*VLOOKUP('Données projet'!$B$10,Paramètres!$A$1:$I$89,5,0)</f>
        <v>175.50623999999988</v>
      </c>
      <c r="AK76" s="13">
        <f t="shared" si="89"/>
        <v>44.320941021227853</v>
      </c>
      <c r="AL76" s="20">
        <f t="shared" si="58"/>
        <v>382.86567361197154</v>
      </c>
      <c r="AM76" s="59">
        <f t="shared" si="59"/>
        <v>676.19900694530486</v>
      </c>
      <c r="AN76" s="59">
        <f ca="1">AVERAGE(OFFSET($AM$3,0,0,'Données projet'!$E$10+1,1))-AVERAGE(OFFSET($H$3,0,0,'Données projet'!$E$10+1,1))</f>
        <v>191.94797389630673</v>
      </c>
      <c r="AO76" s="59">
        <f t="shared" si="90"/>
        <v>273.52540822767878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1.0987098778378228</v>
      </c>
      <c r="AV76" s="21">
        <f>EXP(-LN(2)/25)*AV75+(1-EXP(-LN(2)/25))/(LN(2)/25)*Calculateur!AQ76*Calculateur!AS76*VLOOKUP('Données projet'!$B$10,Paramètres!$A$1:$I$89,3,0)*0.475*44/12</f>
        <v>4.2642982845356974</v>
      </c>
      <c r="AW76" s="21">
        <f>EXP(-LN(2)/2)*AW75+(1-EXP(-LN(2)/2))/(LN(2)/2)*AQ76*AT76*VLOOKUP('Données projet'!$B$10,Paramètres!$A$1:$I$89,3,0)*0.475*44/12</f>
        <v>7.8234878229123813E-6</v>
      </c>
      <c r="AX76" s="21">
        <f t="shared" si="60"/>
        <v>5.3630159858613426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9.3000000000000007</v>
      </c>
      <c r="BD76" s="12">
        <f>IF('Données projet'!$A$88&gt;35,BD75+BC76-BL75,IF(A76&lt;'Données projet'!$A$88,$BA$205^A76,IF(A76='Données projet'!$A$88,'Données projet'!$B$88,BD75+BC76-BL75)))</f>
        <v>516.9</v>
      </c>
      <c r="BE76" s="13">
        <f>BD76*VLOOKUP('Données projet'!$B$11,Paramètres!$A$1:$I$89,3,0)*VLOOKUP('Données projet'!$B$11,Paramètres!$A$1:$I$89,5,0)</f>
        <v>288.94709999999998</v>
      </c>
      <c r="BF76" s="13">
        <f t="shared" si="91"/>
        <v>68.854313111855461</v>
      </c>
      <c r="BG76" s="20">
        <f t="shared" si="61"/>
        <v>623.17079450314816</v>
      </c>
      <c r="BH76" s="59">
        <f t="shared" si="62"/>
        <v>916.50412783648153</v>
      </c>
      <c r="BI76" s="59">
        <f ca="1">AVERAGE(OFFSET($BH$3,0,0,'Données projet'!$E$11+1,1))-AVERAGE(OFFSET($H$3,0,0,'Données projet'!$E$11+1,1))</f>
        <v>279.98352834501759</v>
      </c>
      <c r="BJ76" s="59">
        <f t="shared" si="92"/>
        <v>281.30062655265488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1.7056584797079097</v>
      </c>
      <c r="BQ76" s="21">
        <f>EXP(-LN(2)/25)*BQ75+(1-EXP(-LN(2)/25))/(LN(2)/25)*Calculateur!BL76*Calculateur!BN76*VLOOKUP('Données projet'!$B$11,Paramètres!$A$1:$I$89,3,0)*0.475*44/12</f>
        <v>7.3540588277977479</v>
      </c>
      <c r="BR76" s="21">
        <f>EXP(-LN(2)/2)*BR75+(1-EXP(-LN(2)/2))/(LN(2)/2)*BL76*BO76*VLOOKUP('Données projet'!$B$11,Paramètres!$A$1:$I$89,3,0)*0.475*44/12</f>
        <v>9.547825805449471E-6</v>
      </c>
      <c r="BS76" s="22">
        <f t="shared" si="63"/>
        <v>9.059726855331462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2.5</v>
      </c>
      <c r="BY76" s="12">
        <f>IF('Données projet'!$A$114&gt;35,BY75+BX76-CG75,IF(A76&lt;'Données projet'!$A$114,$BV$205^A76,IF(A76='Données projet'!$A$114,'Données projet'!$B$114,BY75+BX76-CG75)))</f>
        <v>208.49999999999991</v>
      </c>
      <c r="BZ76" s="13">
        <f>BY76*VLOOKUP('Données projet'!$B$12,Paramètres!$A$1:$I$89,3,0)*VLOOKUP('Données projet'!$B$12,Paramètres!$A$1:$I$89,5,0)</f>
        <v>152.87219999999994</v>
      </c>
      <c r="CA76" s="13">
        <f t="shared" si="93"/>
        <v>39.230581111065234</v>
      </c>
      <c r="CB76" s="20">
        <f t="shared" si="64"/>
        <v>334.57901043510515</v>
      </c>
      <c r="CC76" s="59">
        <f t="shared" si="65"/>
        <v>627.9123437684384</v>
      </c>
      <c r="CD76" s="59">
        <f ca="1">AVERAGE(OFFSET($CC$3,0,0,'Données projet'!$E$12+1,1))-AVERAGE(OFFSET($H$3,0,0,'Données projet'!$E$12+1,1))</f>
        <v>124.15919323713428</v>
      </c>
      <c r="CE76" s="59">
        <f t="shared" si="94"/>
        <v>157.85954678210715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1.5257533089926021</v>
      </c>
      <c r="CM76" s="21">
        <f>EXP(-LN(2)/2)*CM75+(1-EXP(-LN(2)/2))/(LN(2)/2)*CG76*CJ76*VLOOKUP('Données projet'!$B$12,Paramètres!$A$1:$I$89,3,0)*0.475*44/12</f>
        <v>2.4874509428075036E-6</v>
      </c>
      <c r="CN76" s="22">
        <f t="shared" si="66"/>
        <v>1.5257557964435449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4.8</v>
      </c>
      <c r="N77" s="13">
        <f>IF('Données projet'!$A$36&gt;35,N76+M77-V76,IF(A77&lt;'Données projet'!$A$36,$K$205^A77,IF(A77='Données projet'!$A$36,'Données projet'!$B$36,N76+M77-V76)))</f>
        <v>177.1999999999999</v>
      </c>
      <c r="O77" s="13">
        <f>N77*VLOOKUP('Données projet'!$B$9,Paramètres!$A$1:$I$89,3,0)*VLOOKUP('Données projet'!$B$9,Paramètres!$A$1:$I$89,5,0)</f>
        <v>160.33055999999991</v>
      </c>
      <c r="P77" s="13">
        <f t="shared" si="87"/>
        <v>40.917065179252795</v>
      </c>
      <c r="Q77" s="20">
        <f t="shared" si="54"/>
        <v>350.50628052053179</v>
      </c>
      <c r="R77" s="59">
        <f t="shared" si="55"/>
        <v>643.8396138538651</v>
      </c>
      <c r="S77" s="59">
        <f ca="1">AVERAGE(OFFSET($R$3,0,0,'Données projet'!$E$9+1,1))-AVERAGE(OFFSET($H$3,0,0,'Données projet'!$E$9+1,1))</f>
        <v>138.8931001150624</v>
      </c>
      <c r="T77" s="59">
        <f t="shared" si="88"/>
        <v>48.964659354096625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3.3</v>
      </c>
      <c r="AI77" s="13">
        <f>IF('Données projet'!$A$62&gt;35,AI76+AH77-AQ76,IF(A77&lt;'Données projet'!$A$62,$AF$205^A77,IF(A77='Données projet'!$A$62,'Données projet'!$B$62,AI76+AH77-AQ76)))</f>
        <v>204.19999999999985</v>
      </c>
      <c r="AJ77" s="13">
        <f>AI77*VLOOKUP('Données projet'!$B$10,Paramètres!$A$1:$I$89,3,0)*VLOOKUP('Données projet'!$B$10,Paramètres!$A$1:$I$89,5,0)</f>
        <v>178.38911999999988</v>
      </c>
      <c r="AK77" s="13">
        <f t="shared" si="89"/>
        <v>44.963607752190804</v>
      </c>
      <c r="AL77" s="20">
        <f t="shared" si="58"/>
        <v>389.00600083506538</v>
      </c>
      <c r="AM77" s="59">
        <f t="shared" si="59"/>
        <v>682.33933416839864</v>
      </c>
      <c r="AN77" s="59">
        <f ca="1">AVERAGE(OFFSET($AM$3,0,0,'Données projet'!$E$10+1,1))-AVERAGE(OFFSET($H$3,0,0,'Données projet'!$E$10+1,1))</f>
        <v>191.94797389630673</v>
      </c>
      <c r="AO77" s="59">
        <f t="shared" si="90"/>
        <v>273.52540822767878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1.0771648472802771</v>
      </c>
      <c r="AV77" s="21">
        <f>EXP(-LN(2)/25)*AV76+(1-EXP(-LN(2)/25))/(LN(2)/25)*Calculateur!AQ77*Calculateur!AS77*VLOOKUP('Données projet'!$B$10,Paramètres!$A$1:$I$89,3,0)*0.475*44/12</f>
        <v>4.1476908236953678</v>
      </c>
      <c r="AW77" s="21">
        <f>EXP(-LN(2)/2)*AW76+(1-EXP(-LN(2)/2))/(LN(2)/2)*AQ77*AT77*VLOOKUP('Données projet'!$B$10,Paramètres!$A$1:$I$89,3,0)*0.475*44/12</f>
        <v>5.5320412921117245E-6</v>
      </c>
      <c r="AX77" s="21">
        <f t="shared" si="60"/>
        <v>5.2248612030169364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9.3000000000000007</v>
      </c>
      <c r="BD77" s="12">
        <f>IF('Données projet'!$A$88&gt;35,BD76+BC77-BL76,IF(A77&lt;'Données projet'!$A$88,$BA$205^A77,IF(A77='Données projet'!$A$88,'Données projet'!$B$88,BD76+BC77-BL76)))</f>
        <v>526.19999999999993</v>
      </c>
      <c r="BE77" s="13">
        <f>BD77*VLOOKUP('Données projet'!$B$11,Paramètres!$A$1:$I$89,3,0)*VLOOKUP('Données projet'!$B$11,Paramètres!$A$1:$I$89,5,0)</f>
        <v>294.14579999999995</v>
      </c>
      <c r="BF77" s="13">
        <f t="shared" si="91"/>
        <v>69.947794242682079</v>
      </c>
      <c r="BG77" s="20">
        <f t="shared" si="61"/>
        <v>634.12967663933784</v>
      </c>
      <c r="BH77" s="59">
        <f t="shared" si="62"/>
        <v>927.46300997267122</v>
      </c>
      <c r="BI77" s="59">
        <f ca="1">AVERAGE(OFFSET($BH$3,0,0,'Données projet'!$E$11+1,1))-AVERAGE(OFFSET($H$3,0,0,'Données projet'!$E$11+1,1))</f>
        <v>279.98352834501759</v>
      </c>
      <c r="BJ77" s="59">
        <f t="shared" si="92"/>
        <v>281.30062655265488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1.6722115572697844</v>
      </c>
      <c r="BQ77" s="21">
        <f>EXP(-LN(2)/25)*BQ76+(1-EXP(-LN(2)/25))/(LN(2)/25)*Calculateur!BL77*Calculateur!BN77*VLOOKUP('Données projet'!$B$11,Paramètres!$A$1:$I$89,3,0)*0.475*44/12</f>
        <v>7.1529617024184731</v>
      </c>
      <c r="BR77" s="21">
        <f>EXP(-LN(2)/2)*BR76+(1-EXP(-LN(2)/2))/(LN(2)/2)*BL77*BO77*VLOOKUP('Données projet'!$B$11,Paramètres!$A$1:$I$89,3,0)*0.475*44/12</f>
        <v>6.7513323726212311E-6</v>
      </c>
      <c r="BS77" s="22">
        <f t="shared" si="63"/>
        <v>8.8251800110206311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2.5</v>
      </c>
      <c r="BY77" s="12">
        <f>IF('Données projet'!$A$114&gt;35,BY76+BX77-CG76,IF(A77&lt;'Données projet'!$A$114,$BV$205^A77,IF(A77='Données projet'!$A$114,'Données projet'!$B$114,BY76+BX77-CG76)))</f>
        <v>210.99999999999991</v>
      </c>
      <c r="BZ77" s="13">
        <f>BY77*VLOOKUP('Données projet'!$B$12,Paramètres!$A$1:$I$89,3,0)*VLOOKUP('Données projet'!$B$12,Paramètres!$A$1:$I$89,5,0)</f>
        <v>154.70519999999993</v>
      </c>
      <c r="CA77" s="13">
        <f t="shared" si="93"/>
        <v>39.645929536036498</v>
      </c>
      <c r="CB77" s="20">
        <f t="shared" si="64"/>
        <v>338.49488394193014</v>
      </c>
      <c r="CC77" s="59">
        <f t="shared" si="65"/>
        <v>631.82821727526346</v>
      </c>
      <c r="CD77" s="59">
        <f ca="1">AVERAGE(OFFSET($CC$3,0,0,'Données projet'!$E$12+1,1))-AVERAGE(OFFSET($H$3,0,0,'Données projet'!$E$12+1,1))</f>
        <v>124.15919323713428</v>
      </c>
      <c r="CE77" s="59">
        <f t="shared" si="94"/>
        <v>157.85954678210715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1.48403150452232</v>
      </c>
      <c r="CM77" s="21">
        <f>EXP(-LN(2)/2)*CM76+(1-EXP(-LN(2)/2))/(LN(2)/2)*CG77*CJ77*VLOOKUP('Données projet'!$B$12,Paramètres!$A$1:$I$89,3,0)*0.475*44/12</f>
        <v>1.7588934295280569E-6</v>
      </c>
      <c r="CN77" s="22">
        <f t="shared" si="66"/>
        <v>1.4840332634157496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4.8</v>
      </c>
      <c r="N78" s="13">
        <f>IF('Données projet'!$A$36&gt;35,N77+M78-V77,IF(A78&lt;'Données projet'!$A$36,$K$205^A78,IF(A78='Données projet'!$A$36,'Données projet'!$B$36,N77+M78-V77)))</f>
        <v>181.99999999999991</v>
      </c>
      <c r="O78" s="13">
        <f>N78*VLOOKUP('Données projet'!$B$9,Paramètres!$A$1:$I$89,3,0)*VLOOKUP('Données projet'!$B$9,Paramètres!$A$1:$I$89,5,0)</f>
        <v>164.67359999999991</v>
      </c>
      <c r="P78" s="13">
        <f t="shared" si="87"/>
        <v>41.894886049196984</v>
      </c>
      <c r="Q78" s="20">
        <f t="shared" si="54"/>
        <v>359.77344653568457</v>
      </c>
      <c r="R78" s="59">
        <f t="shared" si="55"/>
        <v>653.10677986901783</v>
      </c>
      <c r="S78" s="59">
        <f ca="1">AVERAGE(OFFSET($R$3,0,0,'Données projet'!$E$9+1,1))-AVERAGE(OFFSET($H$3,0,0,'Données projet'!$E$9+1,1))</f>
        <v>138.8931001150624</v>
      </c>
      <c r="T78" s="59">
        <f t="shared" si="88"/>
        <v>48.964659354096625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3.3</v>
      </c>
      <c r="AI78" s="13">
        <f>IF('Données projet'!$A$62&gt;35,AI77+AH78-AQ77,IF(A78&lt;'Données projet'!$A$62,$AF$205^A78,IF(A78='Données projet'!$A$62,'Données projet'!$B$62,AI77+AH78-AQ77)))</f>
        <v>207.49999999999986</v>
      </c>
      <c r="AJ78" s="13">
        <f>AI78*VLOOKUP('Données projet'!$B$10,Paramètres!$A$1:$I$89,3,0)*VLOOKUP('Données projet'!$B$10,Paramètres!$A$1:$I$89,5,0)</f>
        <v>181.27199999999991</v>
      </c>
      <c r="AK78" s="13">
        <f t="shared" si="89"/>
        <v>45.605066645465826</v>
      </c>
      <c r="AL78" s="20">
        <f t="shared" si="58"/>
        <v>395.14422440751946</v>
      </c>
      <c r="AM78" s="59">
        <f t="shared" si="59"/>
        <v>688.47755774085272</v>
      </c>
      <c r="AN78" s="59">
        <f ca="1">AVERAGE(OFFSET($AM$3,0,0,'Données projet'!$E$10+1,1))-AVERAGE(OFFSET($H$3,0,0,'Données projet'!$E$10+1,1))</f>
        <v>191.94797389630673</v>
      </c>
      <c r="AO78" s="59">
        <f t="shared" si="90"/>
        <v>273.52540822767878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1.0560423016307938</v>
      </c>
      <c r="AV78" s="21">
        <f>EXP(-LN(2)/25)*AV77+(1-EXP(-LN(2)/25))/(LN(2)/25)*Calculateur!AQ78*Calculateur!AS78*VLOOKUP('Données projet'!$B$10,Paramètres!$A$1:$I$89,3,0)*0.475*44/12</f>
        <v>4.0342720000038375</v>
      </c>
      <c r="AW78" s="21">
        <f>EXP(-LN(2)/2)*AW77+(1-EXP(-LN(2)/2))/(LN(2)/2)*AQ78*AT78*VLOOKUP('Données projet'!$B$10,Paramètres!$A$1:$I$89,3,0)*0.475*44/12</f>
        <v>3.9117439114561907E-6</v>
      </c>
      <c r="AX78" s="21">
        <f t="shared" si="60"/>
        <v>5.0903182133785432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9.3000000000000007</v>
      </c>
      <c r="BD78" s="12">
        <f>IF('Données projet'!$A$88&gt;35,BD77+BC78-BL77,IF(A78&lt;'Données projet'!$A$88,$BA$205^A78,IF(A78='Données projet'!$A$88,'Données projet'!$B$88,BD77+BC78-BL77)))</f>
        <v>535.49999999999989</v>
      </c>
      <c r="BE78" s="13">
        <f>BD78*VLOOKUP('Données projet'!$B$11,Paramètres!$A$1:$I$89,3,0)*VLOOKUP('Données projet'!$B$11,Paramètres!$A$1:$I$89,5,0)</f>
        <v>299.34449999999998</v>
      </c>
      <c r="BF78" s="13">
        <f t="shared" si="91"/>
        <v>71.039028008397935</v>
      </c>
      <c r="BG78" s="20">
        <f t="shared" si="61"/>
        <v>645.08464461462631</v>
      </c>
      <c r="BH78" s="59">
        <f t="shared" si="62"/>
        <v>938.41797794795957</v>
      </c>
      <c r="BI78" s="59">
        <f ca="1">AVERAGE(OFFSET($BH$3,0,0,'Données projet'!$E$11+1,1))-AVERAGE(OFFSET($H$3,0,0,'Données projet'!$E$11+1,1))</f>
        <v>279.98352834501759</v>
      </c>
      <c r="BJ78" s="59">
        <f t="shared" si="92"/>
        <v>281.30062655265488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1.6394205085800624</v>
      </c>
      <c r="BQ78" s="21">
        <f>EXP(-LN(2)/25)*BQ77+(1-EXP(-LN(2)/25))/(LN(2)/25)*Calculateur!BL78*Calculateur!BN78*VLOOKUP('Données projet'!$B$11,Paramètres!$A$1:$I$89,3,0)*0.475*44/12</f>
        <v>6.9573635885079321</v>
      </c>
      <c r="BR78" s="21">
        <f>EXP(-LN(2)/2)*BR77+(1-EXP(-LN(2)/2))/(LN(2)/2)*BL78*BO78*VLOOKUP('Données projet'!$B$11,Paramètres!$A$1:$I$89,3,0)*0.475*44/12</f>
        <v>4.7739129027247355E-6</v>
      </c>
      <c r="BS78" s="22">
        <f t="shared" si="63"/>
        <v>8.5967888710008964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2.5</v>
      </c>
      <c r="BY78" s="12">
        <f>IF('Données projet'!$A$114&gt;35,BY77+BX78-CG77,IF(A78&lt;'Données projet'!$A$114,$BV$205^A78,IF(A78='Données projet'!$A$114,'Données projet'!$B$114,BY77+BX78-CG77)))</f>
        <v>213.49999999999991</v>
      </c>
      <c r="BZ78" s="13">
        <f>BY78*VLOOKUP('Données projet'!$B$12,Paramètres!$A$1:$I$89,3,0)*VLOOKUP('Données projet'!$B$12,Paramètres!$A$1:$I$89,5,0)</f>
        <v>156.53819999999993</v>
      </c>
      <c r="CA78" s="13">
        <f t="shared" si="93"/>
        <v>40.060705515167541</v>
      </c>
      <c r="CB78" s="20">
        <f t="shared" si="64"/>
        <v>342.40976043891669</v>
      </c>
      <c r="CC78" s="59">
        <f t="shared" si="65"/>
        <v>635.74309377224995</v>
      </c>
      <c r="CD78" s="59">
        <f ca="1">AVERAGE(OFFSET($CC$3,0,0,'Données projet'!$E$12+1,1))-AVERAGE(OFFSET($H$3,0,0,'Données projet'!$E$12+1,1))</f>
        <v>124.15919323713428</v>
      </c>
      <c r="CE78" s="59">
        <f t="shared" si="94"/>
        <v>157.85954678210715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1.4434505849893322</v>
      </c>
      <c r="CM78" s="21">
        <f>EXP(-LN(2)/2)*CM77+(1-EXP(-LN(2)/2))/(LN(2)/2)*CG78*CJ78*VLOOKUP('Données projet'!$B$12,Paramètres!$A$1:$I$89,3,0)*0.475*44/12</f>
        <v>1.2437254714037518E-6</v>
      </c>
      <c r="CN78" s="22">
        <f t="shared" si="66"/>
        <v>1.4434518287148037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4.8</v>
      </c>
      <c r="N79" s="13">
        <f>IF('Données projet'!$A$36&gt;35,N78+M79-V78,IF(A79&lt;'Données projet'!$A$36,$K$205^A79,IF(A79='Données projet'!$A$36,'Données projet'!$B$36,N78+M79-V78)))</f>
        <v>186.79999999999993</v>
      </c>
      <c r="O79" s="13">
        <f>N79*VLOOKUP('Données projet'!$B$9,Paramètres!$A$1:$I$89,3,0)*VLOOKUP('Données projet'!$B$9,Paramètres!$A$1:$I$89,5,0)</f>
        <v>169.01663999999994</v>
      </c>
      <c r="P79" s="13">
        <f t="shared" si="87"/>
        <v>42.869709352189666</v>
      </c>
      <c r="Q79" s="20">
        <f t="shared" si="54"/>
        <v>369.03539178839679</v>
      </c>
      <c r="R79" s="59">
        <f t="shared" si="55"/>
        <v>662.36872512173011</v>
      </c>
      <c r="S79" s="59">
        <f ca="1">AVERAGE(OFFSET($R$3,0,0,'Données projet'!$E$9+1,1))-AVERAGE(OFFSET($H$3,0,0,'Données projet'!$E$9+1,1))</f>
        <v>138.8931001150624</v>
      </c>
      <c r="T79" s="59">
        <f t="shared" si="88"/>
        <v>48.964659354096625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3.3</v>
      </c>
      <c r="AI79" s="13">
        <f>IF('Données projet'!$A$62&gt;35,AI78+AH79-AQ78,IF(A79&lt;'Données projet'!$A$62,$AF$205^A79,IF(A79='Données projet'!$A$62,'Données projet'!$B$62,AI78+AH79-AQ78)))</f>
        <v>210.79999999999987</v>
      </c>
      <c r="AJ79" s="13">
        <f>AI79*VLOOKUP('Données projet'!$B$10,Paramètres!$A$1:$I$89,3,0)*VLOOKUP('Données projet'!$B$10,Paramètres!$A$1:$I$89,5,0)</f>
        <v>184.15487999999993</v>
      </c>
      <c r="AK79" s="13">
        <f t="shared" si="89"/>
        <v>46.245339127946259</v>
      </c>
      <c r="AL79" s="20">
        <f t="shared" si="58"/>
        <v>401.28038164783965</v>
      </c>
      <c r="AM79" s="59">
        <f t="shared" si="59"/>
        <v>694.61371498117296</v>
      </c>
      <c r="AN79" s="59">
        <f ca="1">AVERAGE(OFFSET($AM$3,0,0,'Données projet'!$E$10+1,1))-AVERAGE(OFFSET($H$3,0,0,'Données projet'!$E$10+1,1))</f>
        <v>191.94797389630673</v>
      </c>
      <c r="AO79" s="59">
        <f t="shared" si="90"/>
        <v>273.52540822767878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1.0353339562180162</v>
      </c>
      <c r="AV79" s="21">
        <f>EXP(-LN(2)/25)*AV78+(1-EXP(-LN(2)/25))/(LN(2)/25)*Calculateur!AQ79*Calculateur!AS79*VLOOKUP('Données projet'!$B$10,Paramètres!$A$1:$I$89,3,0)*0.475*44/12</f>
        <v>3.9239546200105884</v>
      </c>
      <c r="AW79" s="21">
        <f>EXP(-LN(2)/2)*AW78+(1-EXP(-LN(2)/2))/(LN(2)/2)*AQ79*AT79*VLOOKUP('Données projet'!$B$10,Paramètres!$A$1:$I$89,3,0)*0.475*44/12</f>
        <v>2.7660206460558622E-6</v>
      </c>
      <c r="AX79" s="21">
        <f t="shared" si="60"/>
        <v>4.9592913422492506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9.3000000000000007</v>
      </c>
      <c r="BD79" s="12">
        <f>IF('Données projet'!$A$88&gt;35,BD78+BC79-BL78,IF(A79&lt;'Données projet'!$A$88,$BA$205^A79,IF(A79='Données projet'!$A$88,'Données projet'!$B$88,BD78+BC79-BL78)))</f>
        <v>544.79999999999984</v>
      </c>
      <c r="BE79" s="13">
        <f>BD79*VLOOKUP('Données projet'!$B$11,Paramètres!$A$1:$I$89,3,0)*VLOOKUP('Données projet'!$B$11,Paramètres!$A$1:$I$89,5,0)</f>
        <v>304.5431999999999</v>
      </c>
      <c r="BF79" s="13">
        <f t="shared" si="91"/>
        <v>72.12805794234923</v>
      </c>
      <c r="BG79" s="20">
        <f t="shared" si="61"/>
        <v>656.03577424959133</v>
      </c>
      <c r="BH79" s="59">
        <f t="shared" si="62"/>
        <v>949.3691075829247</v>
      </c>
      <c r="BI79" s="59">
        <f ca="1">AVERAGE(OFFSET($BH$3,0,0,'Données projet'!$E$11+1,1))-AVERAGE(OFFSET($H$3,0,0,'Données projet'!$E$11+1,1))</f>
        <v>279.98352834501759</v>
      </c>
      <c r="BJ79" s="59">
        <f t="shared" si="92"/>
        <v>281.30062655265488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1.607272472354581</v>
      </c>
      <c r="BQ79" s="21">
        <f>EXP(-LN(2)/25)*BQ78+(1-EXP(-LN(2)/25))/(LN(2)/25)*Calculateur!BL79*Calculateur!BN79*VLOOKUP('Données projet'!$B$11,Paramètres!$A$1:$I$89,3,0)*0.475*44/12</f>
        <v>6.767114115308333</v>
      </c>
      <c r="BR79" s="21">
        <f>EXP(-LN(2)/2)*BR78+(1-EXP(-LN(2)/2))/(LN(2)/2)*BL79*BO79*VLOOKUP('Données projet'!$B$11,Paramètres!$A$1:$I$89,3,0)*0.475*44/12</f>
        <v>3.3756661863106155E-6</v>
      </c>
      <c r="BS79" s="22">
        <f t="shared" si="63"/>
        <v>8.374389963329099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2.5</v>
      </c>
      <c r="BY79" s="12">
        <f>IF('Données projet'!$A$114&gt;35,BY78+BX79-CG78,IF(A79&lt;'Données projet'!$A$114,$BV$205^A79,IF(A79='Données projet'!$A$114,'Données projet'!$B$114,BY78+BX79-CG78)))</f>
        <v>215.99999999999991</v>
      </c>
      <c r="BZ79" s="13">
        <f>BY79*VLOOKUP('Données projet'!$B$12,Paramètres!$A$1:$I$89,3,0)*VLOOKUP('Données projet'!$B$12,Paramètres!$A$1:$I$89,5,0)</f>
        <v>158.37119999999993</v>
      </c>
      <c r="CA79" s="13">
        <f t="shared" si="93"/>
        <v>40.474916527059634</v>
      </c>
      <c r="CB79" s="20">
        <f t="shared" si="64"/>
        <v>346.3236529512954</v>
      </c>
      <c r="CC79" s="59">
        <f t="shared" si="65"/>
        <v>639.65698628462872</v>
      </c>
      <c r="CD79" s="59">
        <f ca="1">AVERAGE(OFFSET($CC$3,0,0,'Données projet'!$E$12+1,1))-AVERAGE(OFFSET($H$3,0,0,'Données projet'!$E$12+1,1))</f>
        <v>124.15919323713428</v>
      </c>
      <c r="CE79" s="59">
        <f t="shared" si="94"/>
        <v>157.85954678210715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1.4039793528350317</v>
      </c>
      <c r="CM79" s="21">
        <f>EXP(-LN(2)/2)*CM78+(1-EXP(-LN(2)/2))/(LN(2)/2)*CG79*CJ79*VLOOKUP('Données projet'!$B$12,Paramètres!$A$1:$I$89,3,0)*0.475*44/12</f>
        <v>8.7944671476402843E-7</v>
      </c>
      <c r="CN79" s="22">
        <f t="shared" si="66"/>
        <v>1.4039802322817465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4.8</v>
      </c>
      <c r="N80" s="13">
        <f>IF('Données projet'!$A$36&gt;35,N79+M80-V79,IF(A80&lt;'Données projet'!$A$36,$K$205^A80,IF(A80='Données projet'!$A$36,'Données projet'!$B$36,N79+M80-V79)))</f>
        <v>191.59999999999994</v>
      </c>
      <c r="O80" s="13">
        <f>N80*VLOOKUP('Données projet'!$B$9,Paramètres!$A$1:$I$89,3,0)*VLOOKUP('Données projet'!$B$9,Paramètres!$A$1:$I$89,5,0)</f>
        <v>173.35967999999994</v>
      </c>
      <c r="P80" s="13">
        <f t="shared" si="87"/>
        <v>43.841620969901918</v>
      </c>
      <c r="Q80" s="20">
        <f t="shared" si="54"/>
        <v>378.29226585591238</v>
      </c>
      <c r="R80" s="59">
        <f t="shared" si="55"/>
        <v>671.62559918924569</v>
      </c>
      <c r="S80" s="59">
        <f ca="1">AVERAGE(OFFSET($R$3,0,0,'Données projet'!$E$9+1,1))-AVERAGE(OFFSET($H$3,0,0,'Données projet'!$E$9+1,1))</f>
        <v>138.8931001150624</v>
      </c>
      <c r="T80" s="59">
        <f t="shared" si="88"/>
        <v>48.964659354096625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3.3</v>
      </c>
      <c r="AI80" s="13">
        <f>IF('Données projet'!$A$62&gt;35,AI79+AH80-AQ79,IF(A80&lt;'Données projet'!$A$62,$AF$205^A80,IF(A80='Données projet'!$A$62,'Données projet'!$B$62,AI79+AH80-AQ79)))</f>
        <v>214.09999999999988</v>
      </c>
      <c r="AJ80" s="13">
        <f>AI80*VLOOKUP('Données projet'!$B$10,Paramètres!$A$1:$I$89,3,0)*VLOOKUP('Données projet'!$B$10,Paramètres!$A$1:$I$89,5,0)</f>
        <v>187.03775999999991</v>
      </c>
      <c r="AK80" s="13">
        <f t="shared" si="89"/>
        <v>46.884445917180038</v>
      </c>
      <c r="AL80" s="20">
        <f t="shared" si="58"/>
        <v>407.41450863908841</v>
      </c>
      <c r="AM80" s="59">
        <f t="shared" si="59"/>
        <v>700.74784197242172</v>
      </c>
      <c r="AN80" s="59">
        <f ca="1">AVERAGE(OFFSET($AM$3,0,0,'Données projet'!$E$10+1,1))-AVERAGE(OFFSET($H$3,0,0,'Données projet'!$E$10+1,1))</f>
        <v>191.94797389630673</v>
      </c>
      <c r="AO80" s="59">
        <f t="shared" si="90"/>
        <v>273.52540822767878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1.0150316888279396</v>
      </c>
      <c r="AV80" s="21">
        <f>EXP(-LN(2)/25)*AV79+(1-EXP(-LN(2)/25))/(LN(2)/25)*Calculateur!AQ80*Calculateur!AS80*VLOOKUP('Données projet'!$B$10,Paramètres!$A$1:$I$89,3,0)*0.475*44/12</f>
        <v>3.8166538745745937</v>
      </c>
      <c r="AW80" s="21">
        <f>EXP(-LN(2)/2)*AW79+(1-EXP(-LN(2)/2))/(LN(2)/2)*AQ80*AT80*VLOOKUP('Données projet'!$B$10,Paramètres!$A$1:$I$89,3,0)*0.475*44/12</f>
        <v>1.9558719557280953E-6</v>
      </c>
      <c r="AX80" s="21">
        <f t="shared" si="60"/>
        <v>4.8316875192744897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9.3000000000000007</v>
      </c>
      <c r="BD80" s="12">
        <f>IF('Données projet'!$A$88&gt;35,BD79+BC80-BL79,IF(A80&lt;'Données projet'!$A$88,$BA$205^A80,IF(A80='Données projet'!$A$88,'Données projet'!$B$88,BD79+BC80-BL79)))</f>
        <v>554.0999999999998</v>
      </c>
      <c r="BE80" s="13">
        <f>BD80*VLOOKUP('Données projet'!$B$11,Paramètres!$A$1:$I$89,3,0)*VLOOKUP('Données projet'!$B$11,Paramètres!$A$1:$I$89,5,0)</f>
        <v>309.74189999999993</v>
      </c>
      <c r="BF80" s="13">
        <f t="shared" si="91"/>
        <v>73.214926006444216</v>
      </c>
      <c r="BG80" s="20">
        <f t="shared" si="61"/>
        <v>666.98313862789018</v>
      </c>
      <c r="BH80" s="59">
        <f t="shared" si="62"/>
        <v>960.31647196122344</v>
      </c>
      <c r="BI80" s="59">
        <f ca="1">AVERAGE(OFFSET($BH$3,0,0,'Données projet'!$E$11+1,1))-AVERAGE(OFFSET($H$3,0,0,'Données projet'!$E$11+1,1))</f>
        <v>279.98352834501759</v>
      </c>
      <c r="BJ80" s="59">
        <f t="shared" si="92"/>
        <v>281.30062655265488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1.5757548395111154</v>
      </c>
      <c r="BQ80" s="21">
        <f>EXP(-LN(2)/25)*BQ79+(1-EXP(-LN(2)/25))/(LN(2)/25)*Calculateur!BL80*Calculateur!BN80*VLOOKUP('Données projet'!$B$11,Paramètres!$A$1:$I$89,3,0)*0.475*44/12</f>
        <v>6.582067023958162</v>
      </c>
      <c r="BR80" s="21">
        <f>EXP(-LN(2)/2)*BR79+(1-EXP(-LN(2)/2))/(LN(2)/2)*BL80*BO80*VLOOKUP('Données projet'!$B$11,Paramètres!$A$1:$I$89,3,0)*0.475*44/12</f>
        <v>2.3869564513623678E-6</v>
      </c>
      <c r="BS80" s="22">
        <f t="shared" si="63"/>
        <v>8.1578242504257279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2.5</v>
      </c>
      <c r="BY80" s="12">
        <f>IF('Données projet'!$A$114&gt;35,BY79+BX80-CG79,IF(A80&lt;'Données projet'!$A$114,$BV$205^A80,IF(A80='Données projet'!$A$114,'Données projet'!$B$114,BY79+BX80-CG79)))</f>
        <v>218.49999999999991</v>
      </c>
      <c r="BZ80" s="13">
        <f>BY80*VLOOKUP('Données projet'!$B$12,Paramètres!$A$1:$I$89,3,0)*VLOOKUP('Données projet'!$B$12,Paramètres!$A$1:$I$89,5,0)</f>
        <v>160.20419999999993</v>
      </c>
      <c r="CA80" s="13">
        <f t="shared" si="93"/>
        <v>40.888569867234096</v>
      </c>
      <c r="CB80" s="20">
        <f t="shared" si="64"/>
        <v>350.23657418543257</v>
      </c>
      <c r="CC80" s="59">
        <f t="shared" si="65"/>
        <v>643.56990751876583</v>
      </c>
      <c r="CD80" s="59">
        <f ca="1">AVERAGE(OFFSET($CC$3,0,0,'Données projet'!$E$12+1,1))-AVERAGE(OFFSET($H$3,0,0,'Données projet'!$E$12+1,1))</f>
        <v>124.15919323713428</v>
      </c>
      <c r="CE80" s="59">
        <f t="shared" si="94"/>
        <v>157.85954678210715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1.3655874635996925</v>
      </c>
      <c r="CM80" s="21">
        <f>EXP(-LN(2)/2)*CM79+(1-EXP(-LN(2)/2))/(LN(2)/2)*CG80*CJ80*VLOOKUP('Données projet'!$B$12,Paramètres!$A$1:$I$89,3,0)*0.475*44/12</f>
        <v>6.2186273570187591E-7</v>
      </c>
      <c r="CN80" s="22">
        <f t="shared" si="66"/>
        <v>1.3655880854624283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4.8</v>
      </c>
      <c r="N81" s="13">
        <f>IF('Données projet'!$A$36&gt;35,N80+M81-V80,IF(A81&lt;'Données projet'!$A$36,$K$205^A81,IF(A81='Données projet'!$A$36,'Données projet'!$B$36,N80+M81-V80)))</f>
        <v>196.39999999999995</v>
      </c>
      <c r="O81" s="13">
        <f>N81*VLOOKUP('Données projet'!$B$9,Paramètres!$A$1:$I$89,3,0)*VLOOKUP('Données projet'!$B$9,Paramètres!$A$1:$I$89,5,0)</f>
        <v>177.70271999999994</v>
      </c>
      <c r="P81" s="13">
        <f t="shared" si="87"/>
        <v>44.810702235717677</v>
      </c>
      <c r="Q81" s="20">
        <f t="shared" si="54"/>
        <v>387.54421039387483</v>
      </c>
      <c r="R81" s="59">
        <f t="shared" si="55"/>
        <v>680.87754372720815</v>
      </c>
      <c r="S81" s="59">
        <f ca="1">AVERAGE(OFFSET($R$3,0,0,'Données projet'!$E$9+1,1))-AVERAGE(OFFSET($H$3,0,0,'Données projet'!$E$9+1,1))</f>
        <v>138.8931001150624</v>
      </c>
      <c r="T81" s="59">
        <f t="shared" si="88"/>
        <v>48.964659354096625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3.3</v>
      </c>
      <c r="AI81" s="13">
        <f>IF('Données projet'!$A$62&gt;35,AI80+AH81-AQ80,IF(A81&lt;'Données projet'!$A$62,$AF$205^A81,IF(A81='Données projet'!$A$62,'Données projet'!$B$62,AI80+AH81-AQ80)))</f>
        <v>217.39999999999989</v>
      </c>
      <c r="AJ81" s="13">
        <f>AI81*VLOOKUP('Données projet'!$B$10,Paramètres!$A$1:$I$89,3,0)*VLOOKUP('Données projet'!$B$10,Paramètres!$A$1:$I$89,5,0)</f>
        <v>189.92063999999993</v>
      </c>
      <c r="AK81" s="13">
        <f t="shared" si="89"/>
        <v>47.522407055417723</v>
      </c>
      <c r="AL81" s="20">
        <f t="shared" si="58"/>
        <v>413.54664028818576</v>
      </c>
      <c r="AM81" s="59">
        <f t="shared" si="59"/>
        <v>706.87997362151907</v>
      </c>
      <c r="AN81" s="59">
        <f ca="1">AVERAGE(OFFSET($AM$3,0,0,'Données projet'!$E$10+1,1))-AVERAGE(OFFSET($H$3,0,0,'Données projet'!$E$10+1,1))</f>
        <v>191.94797389630673</v>
      </c>
      <c r="AO81" s="59">
        <f t="shared" si="90"/>
        <v>273.52540822767878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0.99512753651822206</v>
      </c>
      <c r="AV81" s="21">
        <f>EXP(-LN(2)/25)*AV80+(1-EXP(-LN(2)/25))/(LN(2)/25)*Calculateur!AQ81*Calculateur!AS81*VLOOKUP('Données projet'!$B$10,Paramètres!$A$1:$I$89,3,0)*0.475*44/12</f>
        <v>3.7122872736652472</v>
      </c>
      <c r="AW81" s="21">
        <f>EXP(-LN(2)/2)*AW80+(1-EXP(-LN(2)/2))/(LN(2)/2)*AQ81*AT81*VLOOKUP('Données projet'!$B$10,Paramètres!$A$1:$I$89,3,0)*0.475*44/12</f>
        <v>1.3830103230279311E-6</v>
      </c>
      <c r="AX81" s="21">
        <f t="shared" si="60"/>
        <v>4.7074161931937928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9.3000000000000007</v>
      </c>
      <c r="BD81" s="12">
        <f>IF('Données projet'!$A$88&gt;35,BD80+BC81-BL80,IF(A81&lt;'Données projet'!$A$88,$BA$205^A81,IF(A81='Données projet'!$A$88,'Données projet'!$B$88,BD80+BC81-BL80)))</f>
        <v>563.39999999999975</v>
      </c>
      <c r="BE81" s="13">
        <f>BD81*VLOOKUP('Données projet'!$B$11,Paramètres!$A$1:$I$89,3,0)*VLOOKUP('Données projet'!$B$11,Paramètres!$A$1:$I$89,5,0)</f>
        <v>314.94059999999985</v>
      </c>
      <c r="BF81" s="13">
        <f t="shared" si="91"/>
        <v>74.299672673282643</v>
      </c>
      <c r="BG81" s="20">
        <f t="shared" si="61"/>
        <v>677.92680823930039</v>
      </c>
      <c r="BH81" s="59">
        <f t="shared" si="62"/>
        <v>971.26014157263376</v>
      </c>
      <c r="BI81" s="59">
        <f ca="1">AVERAGE(OFFSET($BH$3,0,0,'Données projet'!$E$11+1,1))-AVERAGE(OFFSET($H$3,0,0,'Données projet'!$E$11+1,1))</f>
        <v>279.98352834501759</v>
      </c>
      <c r="BJ81" s="59">
        <f t="shared" si="92"/>
        <v>281.30062655265488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1.5448552482238522</v>
      </c>
      <c r="BQ81" s="21">
        <f>EXP(-LN(2)/25)*BQ80+(1-EXP(-LN(2)/25))/(LN(2)/25)*Calculateur!BL81*Calculateur!BN81*VLOOKUP('Données projet'!$B$11,Paramètres!$A$1:$I$89,3,0)*0.475*44/12</f>
        <v>6.4020800550521644</v>
      </c>
      <c r="BR81" s="21">
        <f>EXP(-LN(2)/2)*BR80+(1-EXP(-LN(2)/2))/(LN(2)/2)*BL81*BO81*VLOOKUP('Données projet'!$B$11,Paramètres!$A$1:$I$89,3,0)*0.475*44/12</f>
        <v>1.6878330931553078E-6</v>
      </c>
      <c r="BS81" s="22">
        <f t="shared" si="63"/>
        <v>7.9469369911091094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2.5</v>
      </c>
      <c r="BY81" s="12">
        <f>IF('Données projet'!$A$114&gt;35,BY80+BX81-CG80,IF(A81&lt;'Données projet'!$A$114,$BV$205^A81,IF(A81='Données projet'!$A$114,'Données projet'!$B$114,BY80+BX81-CG80)))</f>
        <v>220.99999999999991</v>
      </c>
      <c r="BZ81" s="13">
        <f>BY81*VLOOKUP('Données projet'!$B$12,Paramètres!$A$1:$I$89,3,0)*VLOOKUP('Données projet'!$B$12,Paramètres!$A$1:$I$89,5,0)</f>
        <v>162.03719999999993</v>
      </c>
      <c r="CA81" s="13">
        <f t="shared" si="93"/>
        <v>41.301672654656564</v>
      </c>
      <c r="CB81" s="20">
        <f t="shared" si="64"/>
        <v>354.14853654019339</v>
      </c>
      <c r="CC81" s="59">
        <f t="shared" si="65"/>
        <v>647.48186987352665</v>
      </c>
      <c r="CD81" s="59">
        <f ca="1">AVERAGE(OFFSET($CC$3,0,0,'Données projet'!$E$12+1,1))-AVERAGE(OFFSET($H$3,0,0,'Données projet'!$E$12+1,1))</f>
        <v>124.15919323713428</v>
      </c>
      <c r="CE81" s="59">
        <f t="shared" si="94"/>
        <v>157.85954678210715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1.3282454025944352</v>
      </c>
      <c r="CM81" s="21">
        <f>EXP(-LN(2)/2)*CM80+(1-EXP(-LN(2)/2))/(LN(2)/2)*CG81*CJ81*VLOOKUP('Données projet'!$B$12,Paramètres!$A$1:$I$89,3,0)*0.475*44/12</f>
        <v>4.3972335738201421E-7</v>
      </c>
      <c r="CN81" s="22">
        <f t="shared" si="66"/>
        <v>1.3282458423177925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4.8</v>
      </c>
      <c r="N82" s="13">
        <f>IF('Données projet'!$A$36&gt;35,N81+M82-V81,IF(A82&lt;'Données projet'!$A$36,$K$205^A82,IF(A82='Données projet'!$A$36,'Données projet'!$B$36,N81+M82-V81)))</f>
        <v>201.19999999999996</v>
      </c>
      <c r="O82" s="13">
        <f>N82*VLOOKUP('Données projet'!$B$9,Paramètres!$A$1:$I$89,3,0)*VLOOKUP('Données projet'!$B$9,Paramètres!$A$1:$I$89,5,0)</f>
        <v>182.04575999999994</v>
      </c>
      <c r="P82" s="13">
        <f t="shared" si="87"/>
        <v>45.777030280798314</v>
      </c>
      <c r="Q82" s="20">
        <f t="shared" si="54"/>
        <v>396.79135973905687</v>
      </c>
      <c r="R82" s="59">
        <f t="shared" si="55"/>
        <v>690.12469307239019</v>
      </c>
      <c r="S82" s="59">
        <f ca="1">AVERAGE(OFFSET($R$3,0,0,'Données projet'!$E$9+1,1))-AVERAGE(OFFSET($H$3,0,0,'Données projet'!$E$9+1,1))</f>
        <v>138.8931001150624</v>
      </c>
      <c r="T82" s="59">
        <f t="shared" si="88"/>
        <v>48.964659354096625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3.3</v>
      </c>
      <c r="AI82" s="13">
        <f>IF('Données projet'!$A$62&gt;35,AI81+AH82-AQ81,IF(A82&lt;'Données projet'!$A$62,$AF$205^A82,IF(A82='Données projet'!$A$62,'Données projet'!$B$62,AI81+AH82-AQ81)))</f>
        <v>220.6999999999999</v>
      </c>
      <c r="AJ82" s="13">
        <f>AI82*VLOOKUP('Données projet'!$B$10,Paramètres!$A$1:$I$89,3,0)*VLOOKUP('Données projet'!$B$10,Paramètres!$A$1:$I$89,5,0)</f>
        <v>192.80351999999993</v>
      </c>
      <c r="AK82" s="13">
        <f t="shared" si="89"/>
        <v>48.159241941533828</v>
      </c>
      <c r="AL82" s="20">
        <f t="shared" si="58"/>
        <v>419.67681038150459</v>
      </c>
      <c r="AM82" s="59">
        <f t="shared" si="59"/>
        <v>713.01014371483791</v>
      </c>
      <c r="AN82" s="59">
        <f ca="1">AVERAGE(OFFSET($AM$3,0,0,'Données projet'!$E$10+1,1))-AVERAGE(OFFSET($H$3,0,0,'Données projet'!$E$10+1,1))</f>
        <v>191.94797389630673</v>
      </c>
      <c r="AO82" s="59">
        <f t="shared" si="90"/>
        <v>273.52540822767878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0.97561369249496388</v>
      </c>
      <c r="AV82" s="21">
        <f>EXP(-LN(2)/25)*AV81+(1-EXP(-LN(2)/25))/(LN(2)/25)*Calculateur!AQ82*Calculateur!AS82*VLOOKUP('Données projet'!$B$10,Paramètres!$A$1:$I$89,3,0)*0.475*44/12</f>
        <v>3.6107745829461679</v>
      </c>
      <c r="AW82" s="21">
        <f>EXP(-LN(2)/2)*AW81+(1-EXP(-LN(2)/2))/(LN(2)/2)*AQ82*AT82*VLOOKUP('Données projet'!$B$10,Paramètres!$A$1:$I$89,3,0)*0.475*44/12</f>
        <v>9.7793597786404767E-7</v>
      </c>
      <c r="AX82" s="21">
        <f t="shared" si="60"/>
        <v>4.5863892533771091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9.3000000000000007</v>
      </c>
      <c r="BD82" s="12">
        <f>IF('Données projet'!$A$88&gt;35,BD81+BC82-BL81,IF(A82&lt;'Données projet'!$A$88,$BA$205^A82,IF(A82='Données projet'!$A$88,'Données projet'!$B$88,BD81+BC82-BL81)))</f>
        <v>572.6999999999997</v>
      </c>
      <c r="BE82" s="13">
        <f>BD82*VLOOKUP('Données projet'!$B$11,Paramètres!$A$1:$I$89,3,0)*VLOOKUP('Données projet'!$B$11,Paramètres!$A$1:$I$89,5,0)</f>
        <v>320.13929999999988</v>
      </c>
      <c r="BF82" s="13">
        <f t="shared" si="91"/>
        <v>75.382337002709846</v>
      </c>
      <c r="BG82" s="20">
        <f t="shared" si="61"/>
        <v>688.8668511130528</v>
      </c>
      <c r="BH82" s="59">
        <f t="shared" si="62"/>
        <v>982.20018444638617</v>
      </c>
      <c r="BI82" s="59">
        <f ca="1">AVERAGE(OFFSET($BH$3,0,0,'Données projet'!$E$11+1,1))-AVERAGE(OFFSET($H$3,0,0,'Données projet'!$E$11+1,1))</f>
        <v>279.98352834501759</v>
      </c>
      <c r="BJ82" s="59">
        <f t="shared" si="92"/>
        <v>281.30062655265488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1.5145615790748426</v>
      </c>
      <c r="BQ82" s="21">
        <f>EXP(-LN(2)/25)*BQ81+(1-EXP(-LN(2)/25))/(LN(2)/25)*Calculateur!BL82*Calculateur!BN82*VLOOKUP('Données projet'!$B$11,Paramètres!$A$1:$I$89,3,0)*0.475*44/12</f>
        <v>6.2270148392760047</v>
      </c>
      <c r="BR82" s="21">
        <f>EXP(-LN(2)/2)*BR81+(1-EXP(-LN(2)/2))/(LN(2)/2)*BL82*BO82*VLOOKUP('Données projet'!$B$11,Paramètres!$A$1:$I$89,3,0)*0.475*44/12</f>
        <v>1.1934782256811839E-6</v>
      </c>
      <c r="BS82" s="22">
        <f t="shared" si="63"/>
        <v>7.7415776118290731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2.5</v>
      </c>
      <c r="BY82" s="12">
        <f>IF('Données projet'!$A$114&gt;35,BY81+BX82-CG81,IF(A82&lt;'Données projet'!$A$114,$BV$205^A82,IF(A82='Données projet'!$A$114,'Données projet'!$B$114,BY81+BX82-CG81)))</f>
        <v>223.49999999999991</v>
      </c>
      <c r="BZ82" s="13">
        <f>BY82*VLOOKUP('Données projet'!$B$12,Paramètres!$A$1:$I$89,3,0)*VLOOKUP('Données projet'!$B$12,Paramètres!$A$1:$I$89,5,0)</f>
        <v>163.87019999999995</v>
      </c>
      <c r="CA82" s="13">
        <f t="shared" si="93"/>
        <v>41.714231837957641</v>
      </c>
      <c r="CB82" s="20">
        <f t="shared" si="64"/>
        <v>358.05955211777615</v>
      </c>
      <c r="CC82" s="59">
        <f t="shared" si="65"/>
        <v>651.39288545110946</v>
      </c>
      <c r="CD82" s="59">
        <f ca="1">AVERAGE(OFFSET($CC$3,0,0,'Données projet'!$E$12+1,1))-AVERAGE(OFFSET($H$3,0,0,'Données projet'!$E$12+1,1))</f>
        <v>124.15919323713428</v>
      </c>
      <c r="CE82" s="59">
        <f t="shared" si="94"/>
        <v>157.85954678210715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1.2919244622111004</v>
      </c>
      <c r="CM82" s="21">
        <f>EXP(-LN(2)/2)*CM81+(1-EXP(-LN(2)/2))/(LN(2)/2)*CG82*CJ82*VLOOKUP('Données projet'!$B$12,Paramètres!$A$1:$I$89,3,0)*0.475*44/12</f>
        <v>3.1093136785093796E-7</v>
      </c>
      <c r="CN82" s="22">
        <f t="shared" si="66"/>
        <v>1.2919247731424681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206</v>
      </c>
      <c r="L83" s="12">
        <f>VLOOKUP(A83,'Données projet'!$A$35:$I$55,9,0)</f>
        <v>4.8</v>
      </c>
      <c r="M83" s="12">
        <f t="array" ref="M83">INDEX(L:L,MIN(IF(ISNUMBER(L83:L279),ROW(L83:L279),"")))</f>
        <v>4.8</v>
      </c>
      <c r="N83" s="13">
        <f>IF('Données projet'!$A$36&gt;35,N82+M83-V82,IF(A83&lt;'Données projet'!$A$36,$K$205^A83,IF(A83='Données projet'!$A$36,'Données projet'!$B$36,N82+M83-V82)))</f>
        <v>205.99999999999997</v>
      </c>
      <c r="O83" s="13">
        <f>N83*VLOOKUP('Données projet'!$B$9,Paramètres!$A$1:$I$89,3,0)*VLOOKUP('Données projet'!$B$9,Paramètres!$A$1:$I$89,5,0)</f>
        <v>186.38879999999997</v>
      </c>
      <c r="P83" s="13">
        <f t="shared" si="87"/>
        <v>46.740678346193498</v>
      </c>
      <c r="Q83" s="20">
        <f t="shared" si="54"/>
        <v>406.0338414529536</v>
      </c>
      <c r="R83" s="59">
        <f t="shared" si="55"/>
        <v>699.36717478628691</v>
      </c>
      <c r="S83" s="59">
        <f ca="1">AVERAGE(OFFSET($R$3,0,0,'Données projet'!$E$9+1,1))-AVERAGE(OFFSET($H$3,0,0,'Données projet'!$E$9+1,1))</f>
        <v>138.8931001150624</v>
      </c>
      <c r="T83" s="59">
        <f t="shared" si="88"/>
        <v>48.964659354096625</v>
      </c>
      <c r="U83" s="15">
        <f>IF(ISNA(VLOOKUP(A83,'Données projet'!$A$35:$I$55,3,0)),0,VLOOKUP(A83,'Données projet'!$A$35:$I$55,3,0))</f>
        <v>5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224</v>
      </c>
      <c r="AG83" s="12">
        <f>VLOOKUP(A83,'Données projet'!$A$61:$I$81,9,0)</f>
        <v>3.3</v>
      </c>
      <c r="AH83" s="12">
        <f t="array" ref="AH83">INDEX(AG:AG,MIN(IF(ISNUMBER(AG83:AG279),ROW(AG83:AG279),"")))</f>
        <v>3.3</v>
      </c>
      <c r="AI83" s="13">
        <f>IF('Données projet'!$A$62&gt;35,AI82+AH83-AQ82,IF(A83&lt;'Données projet'!$A$62,$AF$205^A83,IF(A83='Données projet'!$A$62,'Données projet'!$B$62,AI82+AH83-AQ82)))</f>
        <v>223.99999999999991</v>
      </c>
      <c r="AJ83" s="13">
        <f>AI83*VLOOKUP('Données projet'!$B$10,Paramètres!$A$1:$I$89,3,0)*VLOOKUP('Données projet'!$B$10,Paramètres!$A$1:$I$89,5,0)</f>
        <v>195.68639999999996</v>
      </c>
      <c r="AK83" s="13">
        <f t="shared" si="89"/>
        <v>48.794969360985156</v>
      </c>
      <c r="AL83" s="20">
        <f t="shared" si="58"/>
        <v>425.80505163704908</v>
      </c>
      <c r="AM83" s="59">
        <f t="shared" si="59"/>
        <v>719.13838497038239</v>
      </c>
      <c r="AN83" s="59">
        <f ca="1">AVERAGE(OFFSET($AM$3,0,0,'Données projet'!$E$10+1,1))-AVERAGE(OFFSET($H$3,0,0,'Données projet'!$E$10+1,1))</f>
        <v>191.94797389630673</v>
      </c>
      <c r="AO83" s="59">
        <f t="shared" si="90"/>
        <v>273.52540822767878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24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0.95648250305073224</v>
      </c>
      <c r="AV83" s="21">
        <f>EXP(-LN(2)/25)*AV82+(1-EXP(-LN(2)/25))/(LN(2)/25)*Calculateur!AQ83*Calculateur!AS83*VLOOKUP('Données projet'!$B$10,Paramètres!$A$1:$I$89,3,0)*0.475*44/12</f>
        <v>3.5120377620931222</v>
      </c>
      <c r="AW83" s="21">
        <f>EXP(-LN(2)/2)*AW82+(1-EXP(-LN(2)/2))/(LN(2)/2)*AQ83*AT83*VLOOKUP('Données projet'!$B$10,Paramètres!$A$1:$I$89,3,0)*0.475*44/12</f>
        <v>6.9150516151396556E-7</v>
      </c>
      <c r="AX83" s="21">
        <f t="shared" si="60"/>
        <v>4.4685209566490158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582</v>
      </c>
      <c r="BB83" s="12">
        <f>VLOOKUP(A83,'Données projet'!$A$87:$I$107,9,0)</f>
        <v>9.3000000000000007</v>
      </c>
      <c r="BC83" s="12">
        <f t="array" ref="BC83">INDEX(BB:BB,MIN(IF(ISNUMBER(BB83:BB279),ROW(BB83:BB279),"")))</f>
        <v>9.3000000000000007</v>
      </c>
      <c r="BD83" s="12">
        <f>IF('Données projet'!$A$88&gt;35,BD82+BC83-BL82,IF(A83&lt;'Données projet'!$A$88,$BA$205^A83,IF(A83='Données projet'!$A$88,'Données projet'!$B$88,BD82+BC83-BL82)))</f>
        <v>581.99999999999966</v>
      </c>
      <c r="BE83" s="13">
        <f>BD83*VLOOKUP('Données projet'!$B$11,Paramètres!$A$1:$I$89,3,0)*VLOOKUP('Données projet'!$B$11,Paramètres!$A$1:$I$89,5,0)</f>
        <v>325.33799999999979</v>
      </c>
      <c r="BF83" s="13">
        <f t="shared" si="91"/>
        <v>76.462956713256162</v>
      </c>
      <c r="BG83" s="20">
        <f t="shared" si="61"/>
        <v>699.8033329422542</v>
      </c>
      <c r="BH83" s="59">
        <f t="shared" si="62"/>
        <v>993.13666627558746</v>
      </c>
      <c r="BI83" s="59">
        <f ca="1">AVERAGE(OFFSET($BH$3,0,0,'Données projet'!$E$11+1,1))-AVERAGE(OFFSET($H$3,0,0,'Données projet'!$E$11+1,1))</f>
        <v>279.98352834501759</v>
      </c>
      <c r="BJ83" s="59">
        <f t="shared" si="92"/>
        <v>281.30062655265488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582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1.4848619503005314</v>
      </c>
      <c r="BQ83" s="21">
        <f>EXP(-LN(2)/25)*BQ82+(1-EXP(-LN(2)/25))/(LN(2)/25)*Calculateur!BL83*Calculateur!BN83*VLOOKUP('Données projet'!$B$11,Paramètres!$A$1:$I$89,3,0)*0.475*44/12</f>
        <v>6.0567367910315237</v>
      </c>
      <c r="BR83" s="21">
        <f>EXP(-LN(2)/2)*BR82+(1-EXP(-LN(2)/2))/(LN(2)/2)*BL83*BO83*VLOOKUP('Données projet'!$B$11,Paramètres!$A$1:$I$89,3,0)*0.475*44/12</f>
        <v>8.4391654657765388E-7</v>
      </c>
      <c r="BS83" s="22">
        <f t="shared" si="63"/>
        <v>7.5415995852486013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226</v>
      </c>
      <c r="BW83" s="12">
        <f>VLOOKUP(A83,'Données projet'!$A$113:$I$133,9,0)</f>
        <v>2.5</v>
      </c>
      <c r="BX83" s="12">
        <f t="array" ref="BX83">INDEX(BW:BW,MIN(IF(ISNUMBER(BW83:BW279),ROW(BW83:BW279),"")))</f>
        <v>2.5</v>
      </c>
      <c r="BY83" s="12">
        <f>IF('Données projet'!$A$114&gt;35,BY82+BX83-CG82,IF(A83&lt;'Données projet'!$A$114,$BV$205^A83,IF(A83='Données projet'!$A$114,'Données projet'!$B$114,BY82+BX83-CG82)))</f>
        <v>225.99999999999991</v>
      </c>
      <c r="BZ83" s="13">
        <f>BY83*VLOOKUP('Données projet'!$B$12,Paramètres!$A$1:$I$89,3,0)*VLOOKUP('Données projet'!$B$12,Paramètres!$A$1:$I$89,5,0)</f>
        <v>165.70319999999992</v>
      </c>
      <c r="CA83" s="13">
        <f t="shared" si="93"/>
        <v>42.126254201367267</v>
      </c>
      <c r="CB83" s="20">
        <f t="shared" si="64"/>
        <v>361.96963273404782</v>
      </c>
      <c r="CC83" s="59">
        <f t="shared" si="65"/>
        <v>655.30296606738113</v>
      </c>
      <c r="CD83" s="59">
        <f ca="1">AVERAGE(OFFSET($CC$3,0,0,'Données projet'!$E$12+1,1))-AVERAGE(OFFSET($H$3,0,0,'Données projet'!$E$12+1,1))</f>
        <v>124.15919323713428</v>
      </c>
      <c r="CE83" s="59">
        <f t="shared" si="94"/>
        <v>157.85954678210715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226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1.2565967198525831</v>
      </c>
      <c r="CM83" s="21">
        <f>EXP(-LN(2)/2)*CM82+(1-EXP(-LN(2)/2))/(LN(2)/2)*CG83*CJ83*VLOOKUP('Données projet'!$B$12,Paramètres!$A$1:$I$89,3,0)*0.475*44/12</f>
        <v>2.1986167869100711E-7</v>
      </c>
      <c r="CN83" s="22">
        <f t="shared" si="66"/>
        <v>1.2565969397142618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4.3</v>
      </c>
      <c r="N84" s="13">
        <f>IF('Données projet'!$A$36&gt;35,N83+M84-V83,IF(A84&lt;'Données projet'!$A$36,$K$205^A84,IF(A84='Données projet'!$A$36,'Données projet'!$B$36,N83+M84-V83)))</f>
        <v>182.29999999999998</v>
      </c>
      <c r="O84" s="13">
        <f>N84*VLOOKUP('Données projet'!$B$9,Paramètres!$A$1:$I$89,3,0)*VLOOKUP('Données projet'!$B$9,Paramètres!$A$1:$I$89,5,0)</f>
        <v>164.94503999999998</v>
      </c>
      <c r="P84" s="13">
        <f t="shared" si="87"/>
        <v>41.955899409919233</v>
      </c>
      <c r="Q84" s="20">
        <f t="shared" si="54"/>
        <v>360.35246947227597</v>
      </c>
      <c r="R84" s="59">
        <f t="shared" si="55"/>
        <v>653.68580280560923</v>
      </c>
      <c r="S84" s="59">
        <f ca="1">AVERAGE(OFFSET($R$3,0,0,'Données projet'!$E$9+1,1))-AVERAGE(OFFSET($H$3,0,0,'Données projet'!$E$9+1,1))</f>
        <v>138.8931001150624</v>
      </c>
      <c r="T84" s="59">
        <f t="shared" si="88"/>
        <v>48.964659354096625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2.5</v>
      </c>
      <c r="AI84" s="13">
        <f>IF('Données projet'!$A$62&gt;35,AI83+AH84-AQ83,IF(A84&lt;'Données projet'!$A$62,$AF$205^A84,IF(A84='Données projet'!$A$62,'Données projet'!$B$62,AI83+AH84-AQ83)))</f>
        <v>202.49999999999991</v>
      </c>
      <c r="AJ84" s="13">
        <f>AI84*VLOOKUP('Données projet'!$B$10,Paramètres!$A$1:$I$89,3,0)*VLOOKUP('Données projet'!$B$10,Paramètres!$A$1:$I$89,5,0)</f>
        <v>176.90399999999994</v>
      </c>
      <c r="AK84" s="13">
        <f t="shared" si="89"/>
        <v>44.632689233663157</v>
      </c>
      <c r="AL84" s="20">
        <f t="shared" si="58"/>
        <v>385.84306708196317</v>
      </c>
      <c r="AM84" s="59">
        <f t="shared" si="59"/>
        <v>679.17640041529648</v>
      </c>
      <c r="AN84" s="59">
        <f ca="1">AVERAGE(OFFSET($AM$3,0,0,'Données projet'!$E$10+1,1))-AVERAGE(OFFSET($H$3,0,0,'Données projet'!$E$10+1,1))</f>
        <v>191.94797389630673</v>
      </c>
      <c r="AO84" s="59">
        <f t="shared" si="90"/>
        <v>273.52540822767878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0.93772646456262865</v>
      </c>
      <c r="AV84" s="21">
        <f>EXP(-LN(2)/25)*AV83+(1-EXP(-LN(2)/25))/(LN(2)/25)*Calculateur!AQ84*Calculateur!AS84*VLOOKUP('Données projet'!$B$10,Paramètres!$A$1:$I$89,3,0)*0.475*44/12</f>
        <v>3.4160009047986466</v>
      </c>
      <c r="AW84" s="21">
        <f>EXP(-LN(2)/2)*AW83+(1-EXP(-LN(2)/2))/(LN(2)/2)*AQ84*AT84*VLOOKUP('Données projet'!$B$10,Paramètres!$A$1:$I$89,3,0)*0.475*44/12</f>
        <v>4.8896798893202383E-7</v>
      </c>
      <c r="AX84" s="21">
        <f t="shared" si="60"/>
        <v>4.3537278583292638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-3.4106051316484809E-13</v>
      </c>
      <c r="BE84" s="13">
        <f>BD84*VLOOKUP('Données projet'!$B$11,Paramètres!$A$1:$I$89,3,0)*VLOOKUP('Données projet'!$B$11,Paramètres!$A$1:$I$89,5,0)</f>
        <v>-1.9065282685915009E-13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279.98352834501759</v>
      </c>
      <c r="BJ84" s="59">
        <f t="shared" si="92"/>
        <v>281.30062655265488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1.4557447131314996</v>
      </c>
      <c r="BQ84" s="21">
        <f>EXP(-LN(2)/25)*BQ83+(1-EXP(-LN(2)/25))/(LN(2)/25)*Calculateur!BL84*Calculateur!BN84*VLOOKUP('Données projet'!$B$11,Paramètres!$A$1:$I$89,3,0)*0.475*44/12</f>
        <v>5.8911150049708221</v>
      </c>
      <c r="BR84" s="21">
        <f>EXP(-LN(2)/2)*BR83+(1-EXP(-LN(2)/2))/(LN(2)/2)*BL84*BO84*VLOOKUP('Données projet'!$B$11,Paramètres!$A$1:$I$89,3,0)*0.475*44/12</f>
        <v>5.9673911284059194E-7</v>
      </c>
      <c r="BS84" s="22">
        <f t="shared" si="63"/>
        <v>7.3468603148414351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-8.5265128291212022E-14</v>
      </c>
      <c r="BZ84" s="13">
        <f>BY84*VLOOKUP('Données projet'!$B$12,Paramètres!$A$1:$I$89,3,0)*VLOOKUP('Données projet'!$B$12,Paramètres!$A$1:$I$89,5,0)</f>
        <v>-6.2516392063116648E-14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124.15919323713428</v>
      </c>
      <c r="CE84" s="59">
        <f t="shared" si="94"/>
        <v>157.85954678210715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1.2222350164666647</v>
      </c>
      <c r="CM84" s="21">
        <f>EXP(-LN(2)/2)*CM83+(1-EXP(-LN(2)/2))/(LN(2)/2)*CG84*CJ84*VLOOKUP('Données projet'!$B$12,Paramètres!$A$1:$I$89,3,0)*0.475*44/12</f>
        <v>1.5546568392546898E-7</v>
      </c>
      <c r="CN84" s="22">
        <f t="shared" si="66"/>
        <v>1.2222351719323485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4.3</v>
      </c>
      <c r="N85" s="13">
        <f>IF('Données projet'!$A$36&gt;35,N84+M85-V84,IF(A85&lt;'Données projet'!$A$36,$K$205^A85,IF(A85='Données projet'!$A$36,'Données projet'!$B$36,N84+M85-V84)))</f>
        <v>186.6</v>
      </c>
      <c r="O85" s="13">
        <f>N85*VLOOKUP('Données projet'!$B$9,Paramètres!$A$1:$I$89,3,0)*VLOOKUP('Données projet'!$B$9,Paramètres!$A$1:$I$89,5,0)</f>
        <v>168.83568</v>
      </c>
      <c r="P85" s="13">
        <f t="shared" si="87"/>
        <v>42.829150426593394</v>
      </c>
      <c r="Q85" s="20">
        <f t="shared" si="54"/>
        <v>368.6495796596501</v>
      </c>
      <c r="R85" s="59">
        <f t="shared" si="55"/>
        <v>661.98291299298342</v>
      </c>
      <c r="S85" s="59">
        <f ca="1">AVERAGE(OFFSET($R$3,0,0,'Données projet'!$E$9+1,1))-AVERAGE(OFFSET($H$3,0,0,'Données projet'!$E$9+1,1))</f>
        <v>138.8931001150624</v>
      </c>
      <c r="T85" s="59">
        <f t="shared" si="88"/>
        <v>48.964659354096625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2.5</v>
      </c>
      <c r="AI85" s="13">
        <f>IF('Données projet'!$A$62&gt;35,AI84+AH85-AQ84,IF(A85&lt;'Données projet'!$A$62,$AF$205^A85,IF(A85='Données projet'!$A$62,'Données projet'!$B$62,AI84+AH85-AQ84)))</f>
        <v>204.99999999999991</v>
      </c>
      <c r="AJ85" s="13">
        <f>AI85*VLOOKUP('Données projet'!$B$10,Paramètres!$A$1:$I$89,3,0)*VLOOKUP('Données projet'!$B$10,Paramètres!$A$1:$I$89,5,0)</f>
        <v>179.08799999999997</v>
      </c>
      <c r="AK85" s="13">
        <f t="shared" si="89"/>
        <v>45.119223023956835</v>
      </c>
      <c r="AL85" s="20">
        <f t="shared" si="58"/>
        <v>390.49424676672476</v>
      </c>
      <c r="AM85" s="59">
        <f t="shared" si="59"/>
        <v>683.82758010005807</v>
      </c>
      <c r="AN85" s="59">
        <f ca="1">AVERAGE(OFFSET($AM$3,0,0,'Données projet'!$E$10+1,1))-AVERAGE(OFFSET($H$3,0,0,'Données projet'!$E$10+1,1))</f>
        <v>191.94797389630673</v>
      </c>
      <c r="AO85" s="59">
        <f t="shared" si="90"/>
        <v>273.52540822767878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0.91933822054922287</v>
      </c>
      <c r="AV85" s="21">
        <f>EXP(-LN(2)/25)*AV84+(1-EXP(-LN(2)/25))/(LN(2)/25)*Calculateur!AQ85*Calculateur!AS85*VLOOKUP('Données projet'!$B$10,Paramètres!$A$1:$I$89,3,0)*0.475*44/12</f>
        <v>3.3225901804172473</v>
      </c>
      <c r="AW85" s="21">
        <f>EXP(-LN(2)/2)*AW84+(1-EXP(-LN(2)/2))/(LN(2)/2)*AQ85*AT85*VLOOKUP('Données projet'!$B$10,Paramètres!$A$1:$I$89,3,0)*0.475*44/12</f>
        <v>3.4575258075698278E-7</v>
      </c>
      <c r="AX85" s="21">
        <f t="shared" si="60"/>
        <v>4.2419287467190507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-3.4106051316484809E-13</v>
      </c>
      <c r="BE85" s="13">
        <f>BD85*VLOOKUP('Données projet'!$B$11,Paramètres!$A$1:$I$89,3,0)*VLOOKUP('Données projet'!$B$11,Paramètres!$A$1:$I$89,5,0)</f>
        <v>-1.9065282685915009E-13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279.98352834501759</v>
      </c>
      <c r="BJ85" s="59">
        <f t="shared" si="92"/>
        <v>281.30062655265488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1.4271984472235915</v>
      </c>
      <c r="BQ85" s="21">
        <f>EXP(-LN(2)/25)*BQ84+(1-EXP(-LN(2)/25))/(LN(2)/25)*Calculateur!BL85*Calculateur!BN85*VLOOKUP('Données projet'!$B$11,Paramètres!$A$1:$I$89,3,0)*0.475*44/12</f>
        <v>5.7300221553596211</v>
      </c>
      <c r="BR85" s="21">
        <f>EXP(-LN(2)/2)*BR84+(1-EXP(-LN(2)/2))/(LN(2)/2)*BL85*BO85*VLOOKUP('Données projet'!$B$11,Paramètres!$A$1:$I$89,3,0)*0.475*44/12</f>
        <v>4.2195827328882694E-7</v>
      </c>
      <c r="BS85" s="22">
        <f t="shared" si="63"/>
        <v>7.157221024541486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-8.5265128291212022E-14</v>
      </c>
      <c r="BZ85" s="13">
        <f>BY85*VLOOKUP('Données projet'!$B$12,Paramètres!$A$1:$I$89,3,0)*VLOOKUP('Données projet'!$B$12,Paramètres!$A$1:$I$89,5,0)</f>
        <v>-6.2516392063116648E-14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124.15919323713428</v>
      </c>
      <c r="CE85" s="59">
        <f t="shared" si="94"/>
        <v>157.85954678210715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1.1888129356668375</v>
      </c>
      <c r="CM85" s="21">
        <f>EXP(-LN(2)/2)*CM84+(1-EXP(-LN(2)/2))/(LN(2)/2)*CG85*CJ85*VLOOKUP('Données projet'!$B$12,Paramètres!$A$1:$I$89,3,0)*0.475*44/12</f>
        <v>1.0993083934550355E-7</v>
      </c>
      <c r="CN85" s="22">
        <f t="shared" si="66"/>
        <v>1.1888130455976769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4.3</v>
      </c>
      <c r="N86" s="13">
        <f>IF('Données projet'!$A$36&gt;35,N85+M86-V85,IF(A86&lt;'Données projet'!$A$36,$K$205^A86,IF(A86='Données projet'!$A$36,'Données projet'!$B$36,N85+M86-V85)))</f>
        <v>190.9</v>
      </c>
      <c r="O86" s="13">
        <f>N86*VLOOKUP('Données projet'!$B$9,Paramètres!$A$1:$I$89,3,0)*VLOOKUP('Données projet'!$B$9,Paramètres!$A$1:$I$89,5,0)</f>
        <v>172.72631999999999</v>
      </c>
      <c r="P86" s="13">
        <f t="shared" si="87"/>
        <v>43.700062028669137</v>
      </c>
      <c r="Q86" s="20">
        <f t="shared" si="54"/>
        <v>376.94261536659877</v>
      </c>
      <c r="R86" s="59">
        <f t="shared" si="55"/>
        <v>670.27594869993209</v>
      </c>
      <c r="S86" s="59">
        <f ca="1">AVERAGE(OFFSET($R$3,0,0,'Données projet'!$E$9+1,1))-AVERAGE(OFFSET($H$3,0,0,'Données projet'!$E$9+1,1))</f>
        <v>138.8931001150624</v>
      </c>
      <c r="T86" s="59">
        <f t="shared" si="88"/>
        <v>48.964659354096625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2.5</v>
      </c>
      <c r="AI86" s="13">
        <f>IF('Données projet'!$A$62&gt;35,AI85+AH86-AQ85,IF(A86&lt;'Données projet'!$A$62,$AF$205^A86,IF(A86='Données projet'!$A$62,'Données projet'!$B$62,AI85+AH86-AQ85)))</f>
        <v>207.49999999999991</v>
      </c>
      <c r="AJ86" s="13">
        <f>AI86*VLOOKUP('Données projet'!$B$10,Paramètres!$A$1:$I$89,3,0)*VLOOKUP('Données projet'!$B$10,Paramètres!$A$1:$I$89,5,0)</f>
        <v>181.27199999999993</v>
      </c>
      <c r="AK86" s="13">
        <f t="shared" si="89"/>
        <v>45.605066645465861</v>
      </c>
      <c r="AL86" s="20">
        <f t="shared" si="58"/>
        <v>395.14422440751952</v>
      </c>
      <c r="AM86" s="59">
        <f t="shared" si="59"/>
        <v>688.47755774085283</v>
      </c>
      <c r="AN86" s="59">
        <f ca="1">AVERAGE(OFFSET($AM$3,0,0,'Données projet'!$E$10+1,1))-AVERAGE(OFFSET($H$3,0,0,'Données projet'!$E$10+1,1))</f>
        <v>191.94797389630673</v>
      </c>
      <c r="AO86" s="59">
        <f t="shared" si="90"/>
        <v>273.52540822767878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0.90131055878519861</v>
      </c>
      <c r="AV86" s="21">
        <f>EXP(-LN(2)/25)*AV85+(1-EXP(-LN(2)/25))/(LN(2)/25)*Calculateur!AQ86*Calculateur!AS86*VLOOKUP('Données projet'!$B$10,Paramètres!$A$1:$I$89,3,0)*0.475*44/12</f>
        <v>3.2317337772063142</v>
      </c>
      <c r="AW86" s="21">
        <f>EXP(-LN(2)/2)*AW85+(1-EXP(-LN(2)/2))/(LN(2)/2)*AQ86*AT86*VLOOKUP('Données projet'!$B$10,Paramètres!$A$1:$I$89,3,0)*0.475*44/12</f>
        <v>2.4448399446601192E-7</v>
      </c>
      <c r="AX86" s="21">
        <f t="shared" si="60"/>
        <v>4.1330445804755076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-3.4106051316484809E-13</v>
      </c>
      <c r="BE86" s="13">
        <f>BD86*VLOOKUP('Données projet'!$B$11,Paramètres!$A$1:$I$89,3,0)*VLOOKUP('Données projet'!$B$11,Paramètres!$A$1:$I$89,5,0)</f>
        <v>-1.9065282685915009E-13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279.98352834501759</v>
      </c>
      <c r="BJ86" s="59">
        <f t="shared" si="92"/>
        <v>281.30062655265488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1.3992119561786345</v>
      </c>
      <c r="BQ86" s="21">
        <f>EXP(-LN(2)/25)*BQ85+(1-EXP(-LN(2)/25))/(LN(2)/25)*Calculateur!BL86*Calculateur!BN86*VLOOKUP('Données projet'!$B$11,Paramètres!$A$1:$I$89,3,0)*0.475*44/12</f>
        <v>5.5733343981925429</v>
      </c>
      <c r="BR86" s="21">
        <f>EXP(-LN(2)/2)*BR85+(1-EXP(-LN(2)/2))/(LN(2)/2)*BL86*BO86*VLOOKUP('Données projet'!$B$11,Paramètres!$A$1:$I$89,3,0)*0.475*44/12</f>
        <v>2.9836955642029597E-7</v>
      </c>
      <c r="BS86" s="22">
        <f t="shared" si="63"/>
        <v>6.9725466527407338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-8.5265128291212022E-14</v>
      </c>
      <c r="BZ86" s="13">
        <f>BY86*VLOOKUP('Données projet'!$B$12,Paramètres!$A$1:$I$89,3,0)*VLOOKUP('Données projet'!$B$12,Paramètres!$A$1:$I$89,5,0)</f>
        <v>-6.2516392063116648E-14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124.15919323713428</v>
      </c>
      <c r="CE86" s="59">
        <f t="shared" si="94"/>
        <v>157.85954678210715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1.1563047834240727</v>
      </c>
      <c r="CM86" s="21">
        <f>EXP(-LN(2)/2)*CM85+(1-EXP(-LN(2)/2))/(LN(2)/2)*CG86*CJ86*VLOOKUP('Données projet'!$B$12,Paramètres!$A$1:$I$89,3,0)*0.475*44/12</f>
        <v>7.7732841962734489E-8</v>
      </c>
      <c r="CN86" s="22">
        <f t="shared" si="66"/>
        <v>1.1563048611569147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4.3</v>
      </c>
      <c r="N87" s="13">
        <f>IF('Données projet'!$A$36&gt;35,N86+M87-V86,IF(A87&lt;'Données projet'!$A$36,$K$205^A87,IF(A87='Données projet'!$A$36,'Données projet'!$B$36,N86+M87-V86)))</f>
        <v>195.20000000000002</v>
      </c>
      <c r="O87" s="13">
        <f>N87*VLOOKUP('Données projet'!$B$9,Paramètres!$A$1:$I$89,3,0)*VLOOKUP('Données projet'!$B$9,Paramètres!$A$1:$I$89,5,0)</f>
        <v>176.61696000000001</v>
      </c>
      <c r="P87" s="13">
        <f t="shared" si="87"/>
        <v>44.56869297787356</v>
      </c>
      <c r="Q87" s="20">
        <f t="shared" si="54"/>
        <v>385.23167893646314</v>
      </c>
      <c r="R87" s="59">
        <f t="shared" si="55"/>
        <v>678.5650122697964</v>
      </c>
      <c r="S87" s="59">
        <f ca="1">AVERAGE(OFFSET($R$3,0,0,'Données projet'!$E$9+1,1))-AVERAGE(OFFSET($H$3,0,0,'Données projet'!$E$9+1,1))</f>
        <v>138.8931001150624</v>
      </c>
      <c r="T87" s="59">
        <f t="shared" si="88"/>
        <v>48.964659354096625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2.5</v>
      </c>
      <c r="AI87" s="13">
        <f>IF('Données projet'!$A$62&gt;35,AI86+AH87-AQ86,IF(A87&lt;'Données projet'!$A$62,$AF$205^A87,IF(A87='Données projet'!$A$62,'Données projet'!$B$62,AI86+AH87-AQ86)))</f>
        <v>209.99999999999991</v>
      </c>
      <c r="AJ87" s="13">
        <f>AI87*VLOOKUP('Données projet'!$B$10,Paramètres!$A$1:$I$89,3,0)*VLOOKUP('Données projet'!$B$10,Paramètres!$A$1:$I$89,5,0)</f>
        <v>183.45599999999996</v>
      </c>
      <c r="AK87" s="13">
        <f t="shared" si="89"/>
        <v>46.090229375321108</v>
      </c>
      <c r="AL87" s="20">
        <f t="shared" si="58"/>
        <v>399.79301616201752</v>
      </c>
      <c r="AM87" s="59">
        <f t="shared" si="59"/>
        <v>693.12634949535084</v>
      </c>
      <c r="AN87" s="59">
        <f ca="1">AVERAGE(OFFSET($AM$3,0,0,'Données projet'!$E$10+1,1))-AVERAGE(OFFSET($H$3,0,0,'Données projet'!$E$10+1,1))</f>
        <v>191.94797389630673</v>
      </c>
      <c r="AO87" s="59">
        <f t="shared" si="90"/>
        <v>273.52540822767878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0.88363640847257885</v>
      </c>
      <c r="AV87" s="21">
        <f>EXP(-LN(2)/25)*AV86+(1-EXP(-LN(2)/25))/(LN(2)/25)*Calculateur!AQ87*Calculateur!AS87*VLOOKUP('Données projet'!$B$10,Paramètres!$A$1:$I$89,3,0)*0.475*44/12</f>
        <v>3.1433618471191145</v>
      </c>
      <c r="AW87" s="21">
        <f>EXP(-LN(2)/2)*AW86+(1-EXP(-LN(2)/2))/(LN(2)/2)*AQ87*AT87*VLOOKUP('Données projet'!$B$10,Paramètres!$A$1:$I$89,3,0)*0.475*44/12</f>
        <v>1.7287629037849139E-7</v>
      </c>
      <c r="AX87" s="21">
        <f t="shared" si="60"/>
        <v>4.0269984284679836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-3.4106051316484809E-13</v>
      </c>
      <c r="BE87" s="13">
        <f>BD87*VLOOKUP('Données projet'!$B$11,Paramètres!$A$1:$I$89,3,0)*VLOOKUP('Données projet'!$B$11,Paramètres!$A$1:$I$89,5,0)</f>
        <v>-1.9065282685915009E-13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279.98352834501759</v>
      </c>
      <c r="BJ87" s="59">
        <f t="shared" si="92"/>
        <v>281.30062655265488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1.371774263152995</v>
      </c>
      <c r="BQ87" s="21">
        <f>EXP(-LN(2)/25)*BQ86+(1-EXP(-LN(2)/25))/(LN(2)/25)*Calculateur!BL87*Calculateur!BN87*VLOOKUP('Données projet'!$B$11,Paramètres!$A$1:$I$89,3,0)*0.475*44/12</f>
        <v>5.4209312759850503</v>
      </c>
      <c r="BR87" s="21">
        <f>EXP(-LN(2)/2)*BR86+(1-EXP(-LN(2)/2))/(LN(2)/2)*BL87*BO87*VLOOKUP('Données projet'!$B$11,Paramètres!$A$1:$I$89,3,0)*0.475*44/12</f>
        <v>2.1097913664441347E-7</v>
      </c>
      <c r="BS87" s="22">
        <f t="shared" si="63"/>
        <v>6.7927057501171815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-8.5265128291212022E-14</v>
      </c>
      <c r="BZ87" s="13">
        <f>BY87*VLOOKUP('Données projet'!$B$12,Paramètres!$A$1:$I$89,3,0)*VLOOKUP('Données projet'!$B$12,Paramètres!$A$1:$I$89,5,0)</f>
        <v>-6.2516392063116648E-14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124.15919323713428</v>
      </c>
      <c r="CE87" s="59">
        <f t="shared" si="94"/>
        <v>157.85954678210715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1.1246855683139156</v>
      </c>
      <c r="CM87" s="21">
        <f>EXP(-LN(2)/2)*CM86+(1-EXP(-LN(2)/2))/(LN(2)/2)*CG87*CJ87*VLOOKUP('Données projet'!$B$12,Paramètres!$A$1:$I$89,3,0)*0.475*44/12</f>
        <v>5.4965419672751777E-8</v>
      </c>
      <c r="CN87" s="22">
        <f t="shared" si="66"/>
        <v>1.1246856232793354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4.3</v>
      </c>
      <c r="N88" s="13">
        <f>IF('Données projet'!$A$36&gt;35,N87+M88-V87,IF(A88&lt;'Données projet'!$A$36,$K$205^A88,IF(A88='Données projet'!$A$36,'Données projet'!$B$36,N87+M88-V87)))</f>
        <v>199.50000000000003</v>
      </c>
      <c r="O88" s="13">
        <f>N88*VLOOKUP('Données projet'!$B$9,Paramètres!$A$1:$I$89,3,0)*VLOOKUP('Données projet'!$B$9,Paramètres!$A$1:$I$89,5,0)</f>
        <v>180.50760000000002</v>
      </c>
      <c r="P88" s="13">
        <f t="shared" si="87"/>
        <v>45.435099299216873</v>
      </c>
      <c r="Q88" s="20">
        <f t="shared" si="54"/>
        <v>393.51686794613602</v>
      </c>
      <c r="R88" s="59">
        <f t="shared" si="55"/>
        <v>686.85020127946927</v>
      </c>
      <c r="S88" s="59">
        <f ca="1">AVERAGE(OFFSET($R$3,0,0,'Données projet'!$E$9+1,1))-AVERAGE(OFFSET($H$3,0,0,'Données projet'!$E$9+1,1))</f>
        <v>138.8931001150624</v>
      </c>
      <c r="T88" s="59">
        <f t="shared" si="88"/>
        <v>48.964659354096625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2.5</v>
      </c>
      <c r="AI88" s="13">
        <f>IF('Données projet'!$A$62&gt;35,AI87+AH88-AQ87,IF(A88&lt;'Données projet'!$A$62,$AF$205^A88,IF(A88='Données projet'!$A$62,'Données projet'!$B$62,AI87+AH88-AQ87)))</f>
        <v>212.49999999999991</v>
      </c>
      <c r="AJ88" s="13">
        <f>AI88*VLOOKUP('Données projet'!$B$10,Paramètres!$A$1:$I$89,3,0)*VLOOKUP('Données projet'!$B$10,Paramètres!$A$1:$I$89,5,0)</f>
        <v>185.63999999999993</v>
      </c>
      <c r="AK88" s="13">
        <f t="shared" si="89"/>
        <v>46.57472025705939</v>
      </c>
      <c r="AL88" s="20">
        <f t="shared" si="58"/>
        <v>404.44063778104493</v>
      </c>
      <c r="AM88" s="59">
        <f t="shared" si="59"/>
        <v>697.77397111437824</v>
      </c>
      <c r="AN88" s="59">
        <f ca="1">AVERAGE(OFFSET($AM$3,0,0,'Données projet'!$E$10+1,1))-AVERAGE(OFFSET($H$3,0,0,'Données projet'!$E$10+1,1))</f>
        <v>191.94797389630673</v>
      </c>
      <c r="AO88" s="59">
        <f t="shared" si="90"/>
        <v>273.52540822767878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0.86630883746742238</v>
      </c>
      <c r="AV88" s="21">
        <f>EXP(-LN(2)/25)*AV87+(1-EXP(-LN(2)/25))/(LN(2)/25)*Calculateur!AQ88*Calculateur!AS88*VLOOKUP('Données projet'!$B$10,Paramètres!$A$1:$I$89,3,0)*0.475*44/12</f>
        <v>3.0574064521074269</v>
      </c>
      <c r="AW88" s="21">
        <f>EXP(-LN(2)/2)*AW87+(1-EXP(-LN(2)/2))/(LN(2)/2)*AQ88*AT88*VLOOKUP('Données projet'!$B$10,Paramètres!$A$1:$I$89,3,0)*0.475*44/12</f>
        <v>1.2224199723300596E-7</v>
      </c>
      <c r="AX88" s="21">
        <f t="shared" si="60"/>
        <v>3.9237154118168465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-3.4106051316484809E-13</v>
      </c>
      <c r="BE88" s="13">
        <f>BD88*VLOOKUP('Données projet'!$B$11,Paramètres!$A$1:$I$89,3,0)*VLOOKUP('Données projet'!$B$11,Paramètres!$A$1:$I$89,5,0)</f>
        <v>-1.9065282685915009E-13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279.98352834501759</v>
      </c>
      <c r="BJ88" s="59">
        <f t="shared" si="92"/>
        <v>281.30062655265488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1.3448746065522481</v>
      </c>
      <c r="BQ88" s="21">
        <f>EXP(-LN(2)/25)*BQ87+(1-EXP(-LN(2)/25))/(LN(2)/25)*Calculateur!BL88*Calculateur!BN88*VLOOKUP('Données projet'!$B$11,Paramètres!$A$1:$I$89,3,0)*0.475*44/12</f>
        <v>5.2726956251688533</v>
      </c>
      <c r="BR88" s="21">
        <f>EXP(-LN(2)/2)*BR87+(1-EXP(-LN(2)/2))/(LN(2)/2)*BL88*BO88*VLOOKUP('Données projet'!$B$11,Paramètres!$A$1:$I$89,3,0)*0.475*44/12</f>
        <v>1.4918477821014799E-7</v>
      </c>
      <c r="BS88" s="22">
        <f t="shared" si="63"/>
        <v>6.6175703809058799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-8.5265128291212022E-14</v>
      </c>
      <c r="BZ88" s="13">
        <f>BY88*VLOOKUP('Données projet'!$B$12,Paramètres!$A$1:$I$89,3,0)*VLOOKUP('Données projet'!$B$12,Paramètres!$A$1:$I$89,5,0)</f>
        <v>-6.2516392063116648E-14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124.15919323713428</v>
      </c>
      <c r="CE88" s="59">
        <f t="shared" si="94"/>
        <v>157.85954678210715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1.093930982303728</v>
      </c>
      <c r="CM88" s="21">
        <f>EXP(-LN(2)/2)*CM87+(1-EXP(-LN(2)/2))/(LN(2)/2)*CG88*CJ88*VLOOKUP('Données projet'!$B$12,Paramètres!$A$1:$I$89,3,0)*0.475*44/12</f>
        <v>3.8866420981367244E-8</v>
      </c>
      <c r="CN88" s="22">
        <f t="shared" si="66"/>
        <v>1.093931021170149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4.3</v>
      </c>
      <c r="N89" s="13">
        <f>IF('Données projet'!$A$36&gt;35,N88+M89-V88,IF(A89&lt;'Données projet'!$A$36,$K$205^A89,IF(A89='Données projet'!$A$36,'Données projet'!$B$36,N88+M89-V88)))</f>
        <v>203.80000000000004</v>
      </c>
      <c r="O89" s="13">
        <f>N89*VLOOKUP('Données projet'!$B$9,Paramètres!$A$1:$I$89,3,0)*VLOOKUP('Données projet'!$B$9,Paramètres!$A$1:$I$89,5,0)</f>
        <v>184.39824000000004</v>
      </c>
      <c r="P89" s="13">
        <f t="shared" si="87"/>
        <v>46.299334464645916</v>
      </c>
      <c r="Q89" s="20">
        <f t="shared" si="54"/>
        <v>401.79827552592502</v>
      </c>
      <c r="R89" s="59">
        <f t="shared" si="55"/>
        <v>695.13160885925834</v>
      </c>
      <c r="S89" s="59">
        <f ca="1">AVERAGE(OFFSET($R$3,0,0,'Données projet'!$E$9+1,1))-AVERAGE(OFFSET($H$3,0,0,'Données projet'!$E$9+1,1))</f>
        <v>138.8931001150624</v>
      </c>
      <c r="T89" s="59">
        <f t="shared" si="88"/>
        <v>48.964659354096625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2.5</v>
      </c>
      <c r="AI89" s="13">
        <f>IF('Données projet'!$A$62&gt;35,AI88+AH89-AQ88,IF(A89&lt;'Données projet'!$A$62,$AF$205^A89,IF(A89='Données projet'!$A$62,'Données projet'!$B$62,AI88+AH89-AQ88)))</f>
        <v>214.99999999999991</v>
      </c>
      <c r="AJ89" s="13">
        <f>AI89*VLOOKUP('Données projet'!$B$10,Paramètres!$A$1:$I$89,3,0)*VLOOKUP('Données projet'!$B$10,Paramètres!$A$1:$I$89,5,0)</f>
        <v>187.82399999999996</v>
      </c>
      <c r="AK89" s="13">
        <f t="shared" si="89"/>
        <v>47.05854810918273</v>
      </c>
      <c r="AL89" s="20">
        <f t="shared" si="58"/>
        <v>409.08710462349313</v>
      </c>
      <c r="AM89" s="59">
        <f t="shared" si="59"/>
        <v>702.42043795682639</v>
      </c>
      <c r="AN89" s="59">
        <f ca="1">AVERAGE(OFFSET($AM$3,0,0,'Données projet'!$E$10+1,1))-AVERAGE(OFFSET($H$3,0,0,'Données projet'!$E$10+1,1))</f>
        <v>191.94797389630673</v>
      </c>
      <c r="AO89" s="59">
        <f t="shared" si="90"/>
        <v>273.52540822767878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0.84932104956090226</v>
      </c>
      <c r="AV89" s="21">
        <f>EXP(-LN(2)/25)*AV88+(1-EXP(-LN(2)/25))/(LN(2)/25)*Calculateur!AQ89*Calculateur!AS89*VLOOKUP('Données projet'!$B$10,Paramètres!$A$1:$I$89,3,0)*0.475*44/12</f>
        <v>2.9738015118925318</v>
      </c>
      <c r="AW89" s="21">
        <f>EXP(-LN(2)/2)*AW88+(1-EXP(-LN(2)/2))/(LN(2)/2)*AQ89*AT89*VLOOKUP('Données projet'!$B$10,Paramètres!$A$1:$I$89,3,0)*0.475*44/12</f>
        <v>8.6438145189245695E-8</v>
      </c>
      <c r="AX89" s="21">
        <f t="shared" si="60"/>
        <v>3.8231226478915792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-3.4106051316484809E-13</v>
      </c>
      <c r="BE89" s="13">
        <f>BD89*VLOOKUP('Données projet'!$B$11,Paramètres!$A$1:$I$89,3,0)*VLOOKUP('Données projet'!$B$11,Paramètres!$A$1:$I$89,5,0)</f>
        <v>-1.9065282685915009E-13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279.98352834501759</v>
      </c>
      <c r="BJ89" s="59">
        <f t="shared" si="92"/>
        <v>281.30062655265488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1.3185024358102713</v>
      </c>
      <c r="BQ89" s="21">
        <f>EXP(-LN(2)/25)*BQ88+(1-EXP(-LN(2)/25))/(LN(2)/25)*Calculateur!BL89*Calculateur!BN89*VLOOKUP('Données projet'!$B$11,Paramètres!$A$1:$I$89,3,0)*0.475*44/12</f>
        <v>5.1285134860195987</v>
      </c>
      <c r="BR89" s="21">
        <f>EXP(-LN(2)/2)*BR88+(1-EXP(-LN(2)/2))/(LN(2)/2)*BL89*BO89*VLOOKUP('Données projet'!$B$11,Paramètres!$A$1:$I$89,3,0)*0.475*44/12</f>
        <v>1.0548956832220674E-7</v>
      </c>
      <c r="BS89" s="22">
        <f t="shared" si="63"/>
        <v>6.4470160273194379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-8.5265128291212022E-14</v>
      </c>
      <c r="BZ89" s="13">
        <f>BY89*VLOOKUP('Données projet'!$B$12,Paramètres!$A$1:$I$89,3,0)*VLOOKUP('Données projet'!$B$12,Paramètres!$A$1:$I$89,5,0)</f>
        <v>-6.2516392063116648E-14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124.15919323713428</v>
      </c>
      <c r="CE89" s="59">
        <f t="shared" si="94"/>
        <v>157.85954678210715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1.0640173820653025</v>
      </c>
      <c r="CM89" s="21">
        <f>EXP(-LN(2)/2)*CM88+(1-EXP(-LN(2)/2))/(LN(2)/2)*CG89*CJ89*VLOOKUP('Données projet'!$B$12,Paramètres!$A$1:$I$89,3,0)*0.475*44/12</f>
        <v>2.7482709836375888E-8</v>
      </c>
      <c r="CN89" s="22">
        <f t="shared" si="66"/>
        <v>1.0640174095480124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4.3</v>
      </c>
      <c r="N90" s="13">
        <f>IF('Données projet'!$A$36&gt;35,N89+M90-V89,IF(A90&lt;'Données projet'!$A$36,$K$205^A90,IF(A90='Données projet'!$A$36,'Données projet'!$B$36,N89+M90-V89)))</f>
        <v>208.10000000000005</v>
      </c>
      <c r="O90" s="13">
        <f>N90*VLOOKUP('Données projet'!$B$9,Paramètres!$A$1:$I$89,3,0)*VLOOKUP('Données projet'!$B$9,Paramètres!$A$1:$I$89,5,0)</f>
        <v>188.28888000000003</v>
      </c>
      <c r="P90" s="13">
        <f t="shared" si="87"/>
        <v>47.161449560760389</v>
      </c>
      <c r="Q90" s="20">
        <f t="shared" si="54"/>
        <v>410.07599065165772</v>
      </c>
      <c r="R90" s="59">
        <f t="shared" si="55"/>
        <v>703.40932398499103</v>
      </c>
      <c r="S90" s="59">
        <f ca="1">AVERAGE(OFFSET($R$3,0,0,'Données projet'!$E$9+1,1))-AVERAGE(OFFSET($H$3,0,0,'Données projet'!$E$9+1,1))</f>
        <v>138.8931001150624</v>
      </c>
      <c r="T90" s="59">
        <f t="shared" si="88"/>
        <v>48.964659354096625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2.5</v>
      </c>
      <c r="AI90" s="13">
        <f>IF('Données projet'!$A$62&gt;35,AI89+AH90-AQ89,IF(A90&lt;'Données projet'!$A$62,$AF$205^A90,IF(A90='Données projet'!$A$62,'Données projet'!$B$62,AI89+AH90-AQ89)))</f>
        <v>217.49999999999991</v>
      </c>
      <c r="AJ90" s="13">
        <f>AI90*VLOOKUP('Données projet'!$B$10,Paramètres!$A$1:$I$89,3,0)*VLOOKUP('Données projet'!$B$10,Paramètres!$A$1:$I$89,5,0)</f>
        <v>190.00799999999995</v>
      </c>
      <c r="AK90" s="13">
        <f t="shared" si="89"/>
        <v>47.541721533308163</v>
      </c>
      <c r="AL90" s="20">
        <f t="shared" si="58"/>
        <v>413.73243167051163</v>
      </c>
      <c r="AM90" s="59">
        <f t="shared" si="59"/>
        <v>707.06576500384494</v>
      </c>
      <c r="AN90" s="59">
        <f ca="1">AVERAGE(OFFSET($AM$3,0,0,'Données projet'!$E$10+1,1))-AVERAGE(OFFSET($H$3,0,0,'Données projet'!$E$10+1,1))</f>
        <v>191.94797389630673</v>
      </c>
      <c r="AO90" s="59">
        <f t="shared" si="90"/>
        <v>273.52540822767878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0.83266638181370156</v>
      </c>
      <c r="AV90" s="21">
        <f>EXP(-LN(2)/25)*AV89+(1-EXP(-LN(2)/25))/(LN(2)/25)*Calculateur!AQ90*Calculateur!AS90*VLOOKUP('Données projet'!$B$10,Paramètres!$A$1:$I$89,3,0)*0.475*44/12</f>
        <v>2.8924827531644057</v>
      </c>
      <c r="AW90" s="21">
        <f>EXP(-LN(2)/2)*AW89+(1-EXP(-LN(2)/2))/(LN(2)/2)*AQ90*AT90*VLOOKUP('Données projet'!$B$10,Paramètres!$A$1:$I$89,3,0)*0.475*44/12</f>
        <v>6.1120998616502979E-8</v>
      </c>
      <c r="AX90" s="21">
        <f t="shared" si="60"/>
        <v>3.7251491960991059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-3.4106051316484809E-13</v>
      </c>
      <c r="BE90" s="13">
        <f>BD90*VLOOKUP('Données projet'!$B$11,Paramètres!$A$1:$I$89,3,0)*VLOOKUP('Données projet'!$B$11,Paramètres!$A$1:$I$89,5,0)</f>
        <v>-1.9065282685915009E-13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279.98352834501759</v>
      </c>
      <c r="BJ90" s="59">
        <f t="shared" si="92"/>
        <v>281.30062655265488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1.2926474072511089</v>
      </c>
      <c r="BQ90" s="21">
        <f>EXP(-LN(2)/25)*BQ89+(1-EXP(-LN(2)/25))/(LN(2)/25)*Calculateur!BL90*Calculateur!BN90*VLOOKUP('Données projet'!$B$11,Paramètres!$A$1:$I$89,3,0)*0.475*44/12</f>
        <v>4.9882740150475895</v>
      </c>
      <c r="BR90" s="21">
        <f>EXP(-LN(2)/2)*BR89+(1-EXP(-LN(2)/2))/(LN(2)/2)*BL90*BO90*VLOOKUP('Données projet'!$B$11,Paramètres!$A$1:$I$89,3,0)*0.475*44/12</f>
        <v>7.4592389105073993E-8</v>
      </c>
      <c r="BS90" s="22">
        <f t="shared" si="63"/>
        <v>6.2809214968910876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-8.5265128291212022E-14</v>
      </c>
      <c r="BZ90" s="13">
        <f>BY90*VLOOKUP('Données projet'!$B$12,Paramètres!$A$1:$I$89,3,0)*VLOOKUP('Données projet'!$B$12,Paramètres!$A$1:$I$89,5,0)</f>
        <v>-6.2516392063116648E-14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124.15919323713428</v>
      </c>
      <c r="CE90" s="59">
        <f t="shared" si="94"/>
        <v>157.85954678210715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1.0349217707984846</v>
      </c>
      <c r="CM90" s="21">
        <f>EXP(-LN(2)/2)*CM89+(1-EXP(-LN(2)/2))/(LN(2)/2)*CG90*CJ90*VLOOKUP('Données projet'!$B$12,Paramètres!$A$1:$I$89,3,0)*0.475*44/12</f>
        <v>1.9433210490683622E-8</v>
      </c>
      <c r="CN90" s="22">
        <f t="shared" si="66"/>
        <v>1.0349217902316952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4.3</v>
      </c>
      <c r="N91" s="13">
        <f>IF('Données projet'!$A$36&gt;35,N90+M91-V90,IF(A91&lt;'Données projet'!$A$36,$K$205^A91,IF(A91='Données projet'!$A$36,'Données projet'!$B$36,N90+M91-V90)))</f>
        <v>212.40000000000006</v>
      </c>
      <c r="O91" s="13">
        <f>N91*VLOOKUP('Données projet'!$B$9,Paramètres!$A$1:$I$89,3,0)*VLOOKUP('Données projet'!$B$9,Paramètres!$A$1:$I$89,5,0)</f>
        <v>192.17952000000005</v>
      </c>
      <c r="P91" s="13">
        <f t="shared" si="87"/>
        <v>48.021493442275357</v>
      </c>
      <c r="Q91" s="20">
        <f t="shared" si="54"/>
        <v>418.35009841196302</v>
      </c>
      <c r="R91" s="59">
        <f t="shared" si="55"/>
        <v>711.68343174529628</v>
      </c>
      <c r="S91" s="59">
        <f ca="1">AVERAGE(OFFSET($R$3,0,0,'Données projet'!$E$9+1,1))-AVERAGE(OFFSET($H$3,0,0,'Données projet'!$E$9+1,1))</f>
        <v>138.8931001150624</v>
      </c>
      <c r="T91" s="59">
        <f t="shared" si="88"/>
        <v>48.964659354096625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2.5</v>
      </c>
      <c r="AI91" s="13">
        <f>IF('Données projet'!$A$62&gt;35,AI90+AH91-AQ90,IF(A91&lt;'Données projet'!$A$62,$AF$205^A91,IF(A91='Données projet'!$A$62,'Données projet'!$B$62,AI90+AH91-AQ90)))</f>
        <v>219.99999999999991</v>
      </c>
      <c r="AJ91" s="13">
        <f>AI91*VLOOKUP('Données projet'!$B$10,Paramètres!$A$1:$I$89,3,0)*VLOOKUP('Données projet'!$B$10,Paramètres!$A$1:$I$89,5,0)</f>
        <v>192.19199999999995</v>
      </c>
      <c r="AK91" s="13">
        <f t="shared" si="89"/>
        <v>48.02424892193244</v>
      </c>
      <c r="AL91" s="20">
        <f t="shared" si="58"/>
        <v>418.37663353903218</v>
      </c>
      <c r="AM91" s="59">
        <f t="shared" si="59"/>
        <v>711.7099668723655</v>
      </c>
      <c r="AN91" s="59">
        <f ca="1">AVERAGE(OFFSET($AM$3,0,0,'Données projet'!$E$10+1,1))-AVERAGE(OFFSET($H$3,0,0,'Données projet'!$E$10+1,1))</f>
        <v>191.94797389630673</v>
      </c>
      <c r="AO91" s="59">
        <f t="shared" si="90"/>
        <v>273.52540822767878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0.8163383019426792</v>
      </c>
      <c r="AV91" s="21">
        <f>EXP(-LN(2)/25)*AV90+(1-EXP(-LN(2)/25))/(LN(2)/25)*Calculateur!AQ91*Calculateur!AS91*VLOOKUP('Données projet'!$B$10,Paramètres!$A$1:$I$89,3,0)*0.475*44/12</f>
        <v>2.813387660170068</v>
      </c>
      <c r="AW91" s="21">
        <f>EXP(-LN(2)/2)*AW90+(1-EXP(-LN(2)/2))/(LN(2)/2)*AQ91*AT91*VLOOKUP('Données projet'!$B$10,Paramètres!$A$1:$I$89,3,0)*0.475*44/12</f>
        <v>4.3219072594622848E-8</v>
      </c>
      <c r="AX91" s="21">
        <f t="shared" si="60"/>
        <v>3.6297260053318201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-3.4106051316484809E-13</v>
      </c>
      <c r="BE91" s="13">
        <f>BD91*VLOOKUP('Données projet'!$B$11,Paramètres!$A$1:$I$89,3,0)*VLOOKUP('Données projet'!$B$11,Paramètres!$A$1:$I$89,5,0)</f>
        <v>-1.9065282685915009E-13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279.98352834501759</v>
      </c>
      <c r="BJ91" s="59">
        <f t="shared" si="92"/>
        <v>281.30062655265488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1.2672993800319814</v>
      </c>
      <c r="BQ91" s="21">
        <f>EXP(-LN(2)/25)*BQ90+(1-EXP(-LN(2)/25))/(LN(2)/25)*Calculateur!BL91*Calculateur!BN91*VLOOKUP('Données projet'!$B$11,Paramètres!$A$1:$I$89,3,0)*0.475*44/12</f>
        <v>4.8518693997841833</v>
      </c>
      <c r="BR91" s="21">
        <f>EXP(-LN(2)/2)*BR90+(1-EXP(-LN(2)/2))/(LN(2)/2)*BL91*BO91*VLOOKUP('Données projet'!$B$11,Paramètres!$A$1:$I$89,3,0)*0.475*44/12</f>
        <v>5.2744784161103368E-8</v>
      </c>
      <c r="BS91" s="22">
        <f t="shared" si="63"/>
        <v>6.1191688325609492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-8.5265128291212022E-14</v>
      </c>
      <c r="BZ91" s="13">
        <f>BY91*VLOOKUP('Données projet'!$B$12,Paramètres!$A$1:$I$89,3,0)*VLOOKUP('Données projet'!$B$12,Paramètres!$A$1:$I$89,5,0)</f>
        <v>-6.2516392063116648E-14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124.15919323713428</v>
      </c>
      <c r="CE91" s="59">
        <f t="shared" si="94"/>
        <v>157.85954678210715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1.0066217805518294</v>
      </c>
      <c r="CM91" s="21">
        <f>EXP(-LN(2)/2)*CM90+(1-EXP(-LN(2)/2))/(LN(2)/2)*CG91*CJ91*VLOOKUP('Données projet'!$B$12,Paramètres!$A$1:$I$89,3,0)*0.475*44/12</f>
        <v>1.3741354918187944E-8</v>
      </c>
      <c r="CN91" s="22">
        <f t="shared" si="66"/>
        <v>1.0066217942931843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4.3</v>
      </c>
      <c r="N92" s="13">
        <f>IF('Données projet'!$A$36&gt;35,N91+M92-V91,IF(A92&lt;'Données projet'!$A$36,$K$205^A92,IF(A92='Données projet'!$A$36,'Données projet'!$B$36,N91+M92-V91)))</f>
        <v>216.70000000000007</v>
      </c>
      <c r="O92" s="13">
        <f>N92*VLOOKUP('Données projet'!$B$9,Paramètres!$A$1:$I$89,3,0)*VLOOKUP('Données projet'!$B$9,Paramètres!$A$1:$I$89,5,0)</f>
        <v>196.07016000000007</v>
      </c>
      <c r="P92" s="13">
        <f t="shared" si="87"/>
        <v>48.879512872705831</v>
      </c>
      <c r="Q92" s="20">
        <f t="shared" si="54"/>
        <v>426.62068025329609</v>
      </c>
      <c r="R92" s="59">
        <f t="shared" si="55"/>
        <v>719.95401358662934</v>
      </c>
      <c r="S92" s="59">
        <f ca="1">AVERAGE(OFFSET($R$3,0,0,'Données projet'!$E$9+1,1))-AVERAGE(OFFSET($H$3,0,0,'Données projet'!$E$9+1,1))</f>
        <v>138.8931001150624</v>
      </c>
      <c r="T92" s="59">
        <f t="shared" si="88"/>
        <v>48.964659354096625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2.5</v>
      </c>
      <c r="AI92" s="13">
        <f>IF('Données projet'!$A$62&gt;35,AI91+AH92-AQ91,IF(A92&lt;'Données projet'!$A$62,$AF$205^A92,IF(A92='Données projet'!$A$62,'Données projet'!$B$62,AI91+AH92-AQ91)))</f>
        <v>222.49999999999991</v>
      </c>
      <c r="AJ92" s="13">
        <f>AI92*VLOOKUP('Données projet'!$B$10,Paramètres!$A$1:$I$89,3,0)*VLOOKUP('Données projet'!$B$10,Paramètres!$A$1:$I$89,5,0)</f>
        <v>194.37599999999995</v>
      </c>
      <c r="AK92" s="13">
        <f t="shared" si="89"/>
        <v>48.506138465833089</v>
      </c>
      <c r="AL92" s="20">
        <f t="shared" si="58"/>
        <v>423.01972449465916</v>
      </c>
      <c r="AM92" s="59">
        <f t="shared" si="59"/>
        <v>716.35305782799242</v>
      </c>
      <c r="AN92" s="59">
        <f ca="1">AVERAGE(OFFSET($AM$3,0,0,'Données projet'!$E$10+1,1))-AVERAGE(OFFSET($H$3,0,0,'Données projet'!$E$10+1,1))</f>
        <v>191.94797389630673</v>
      </c>
      <c r="AO92" s="59">
        <f t="shared" si="90"/>
        <v>273.52540822767878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0.80033040575878223</v>
      </c>
      <c r="AV92" s="21">
        <f>EXP(-LN(2)/25)*AV91+(1-EXP(-LN(2)/25))/(LN(2)/25)*Calculateur!AQ92*Calculateur!AS92*VLOOKUP('Données projet'!$B$10,Paramètres!$A$1:$I$89,3,0)*0.475*44/12</f>
        <v>2.7364554266530905</v>
      </c>
      <c r="AW92" s="21">
        <f>EXP(-LN(2)/2)*AW91+(1-EXP(-LN(2)/2))/(LN(2)/2)*AQ92*AT92*VLOOKUP('Données projet'!$B$10,Paramètres!$A$1:$I$89,3,0)*0.475*44/12</f>
        <v>3.056049930825149E-8</v>
      </c>
      <c r="AX92" s="21">
        <f t="shared" si="60"/>
        <v>3.5367858629723723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-3.4106051316484809E-13</v>
      </c>
      <c r="BE92" s="13">
        <f>BD92*VLOOKUP('Données projet'!$B$11,Paramètres!$A$1:$I$89,3,0)*VLOOKUP('Données projet'!$B$11,Paramètres!$A$1:$I$89,5,0)</f>
        <v>-1.9065282685915009E-13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279.98352834501759</v>
      </c>
      <c r="BJ92" s="59">
        <f t="shared" si="92"/>
        <v>281.30062655265488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1.242448412165851</v>
      </c>
      <c r="BQ92" s="21">
        <f>EXP(-LN(2)/25)*BQ91+(1-EXP(-LN(2)/25))/(LN(2)/25)*Calculateur!BL92*Calculateur!BN92*VLOOKUP('Données projet'!$B$11,Paramètres!$A$1:$I$89,3,0)*0.475*44/12</f>
        <v>4.7191947758983623</v>
      </c>
      <c r="BR92" s="21">
        <f>EXP(-LN(2)/2)*BR91+(1-EXP(-LN(2)/2))/(LN(2)/2)*BL92*BO92*VLOOKUP('Données projet'!$B$11,Paramètres!$A$1:$I$89,3,0)*0.475*44/12</f>
        <v>3.7296194552536996E-8</v>
      </c>
      <c r="BS92" s="22">
        <f t="shared" si="63"/>
        <v>5.9616432253604081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-8.5265128291212022E-14</v>
      </c>
      <c r="BZ92" s="13">
        <f>BY92*VLOOKUP('Données projet'!$B$12,Paramètres!$A$1:$I$89,3,0)*VLOOKUP('Données projet'!$B$12,Paramètres!$A$1:$I$89,5,0)</f>
        <v>-6.2516392063116648E-14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124.15919323713428</v>
      </c>
      <c r="CE92" s="59">
        <f t="shared" si="94"/>
        <v>157.85954678210715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0.97909565502670082</v>
      </c>
      <c r="CM92" s="21">
        <f>EXP(-LN(2)/2)*CM91+(1-EXP(-LN(2)/2))/(LN(2)/2)*CG92*CJ92*VLOOKUP('Données projet'!$B$12,Paramètres!$A$1:$I$89,3,0)*0.475*44/12</f>
        <v>9.7166052453418111E-9</v>
      </c>
      <c r="CN92" s="22">
        <f t="shared" si="66"/>
        <v>0.97909566474330612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221</v>
      </c>
      <c r="L93" s="12">
        <f>VLOOKUP(A93,'Données projet'!$A$35:$I$55,9,0)</f>
        <v>4.3</v>
      </c>
      <c r="M93" s="12">
        <f t="array" ref="M93">INDEX(L:L,MIN(IF(ISNUMBER(L93:L289),ROW(L93:L289),"")))</f>
        <v>4.3</v>
      </c>
      <c r="N93" s="13">
        <f>IF('Données projet'!$A$36&gt;35,N92+M93-V92,IF(A93&lt;'Données projet'!$A$36,$K$205^A93,IF(A93='Données projet'!$A$36,'Données projet'!$B$36,N92+M93-V92)))</f>
        <v>221.00000000000009</v>
      </c>
      <c r="O93" s="13">
        <f>N93*VLOOKUP('Données projet'!$B$9,Paramètres!$A$1:$I$89,3,0)*VLOOKUP('Données projet'!$B$9,Paramètres!$A$1:$I$89,5,0)</f>
        <v>199.96080000000006</v>
      </c>
      <c r="P93" s="13">
        <f t="shared" si="87"/>
        <v>49.735552653569265</v>
      </c>
      <c r="Q93" s="20">
        <f t="shared" si="54"/>
        <v>434.88781420496662</v>
      </c>
      <c r="R93" s="59">
        <f t="shared" si="55"/>
        <v>728.22114753829987</v>
      </c>
      <c r="S93" s="59">
        <f ca="1">AVERAGE(OFFSET($R$3,0,0,'Données projet'!$E$9+1,1))-AVERAGE(OFFSET($H$3,0,0,'Données projet'!$E$9+1,1))</f>
        <v>138.8931001150624</v>
      </c>
      <c r="T93" s="59">
        <f t="shared" si="88"/>
        <v>48.964659354096625</v>
      </c>
      <c r="U93" s="15">
        <f>IF(ISNA(VLOOKUP(A93,'Données projet'!$A$35:$I$55,3,0)),0,VLOOKUP(A93,'Données projet'!$A$35:$I$55,3,0))</f>
        <v>6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225</v>
      </c>
      <c r="AG93" s="12">
        <f>VLOOKUP(A93,'Données projet'!$A$61:$I$81,9,0)</f>
        <v>2.5</v>
      </c>
      <c r="AH93" s="12">
        <f t="array" ref="AH93">INDEX(AG:AG,MIN(IF(ISNUMBER(AG93:AG289),ROW(AG93:AG289),"")))</f>
        <v>2.5</v>
      </c>
      <c r="AI93" s="13">
        <f>IF('Données projet'!$A$62&gt;35,AI92+AH93-AQ92,IF(A93&lt;'Données projet'!$A$62,$AF$205^A93,IF(A93='Données projet'!$A$62,'Données projet'!$B$62,AI92+AH93-AQ92)))</f>
        <v>224.99999999999991</v>
      </c>
      <c r="AJ93" s="13">
        <f>AI93*VLOOKUP('Données projet'!$B$10,Paramètres!$A$1:$I$89,3,0)*VLOOKUP('Données projet'!$B$10,Paramètres!$A$1:$I$89,5,0)</f>
        <v>196.55999999999995</v>
      </c>
      <c r="AK93" s="13">
        <f t="shared" si="89"/>
        <v>48.987398161128091</v>
      </c>
      <c r="AL93" s="20">
        <f t="shared" si="58"/>
        <v>427.66171846396463</v>
      </c>
      <c r="AM93" s="59">
        <f t="shared" si="59"/>
        <v>720.99505179729795</v>
      </c>
      <c r="AN93" s="59">
        <f ca="1">AVERAGE(OFFSET($AM$3,0,0,'Données projet'!$E$10+1,1))-AVERAGE(OFFSET($H$3,0,0,'Données projet'!$E$10+1,1))</f>
        <v>191.94797389630673</v>
      </c>
      <c r="AO93" s="59">
        <f t="shared" si="90"/>
        <v>273.52540822767878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225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0.78463641465519884</v>
      </c>
      <c r="AV93" s="21">
        <f>EXP(-LN(2)/25)*AV92+(1-EXP(-LN(2)/25))/(LN(2)/25)*Calculateur!AQ93*Calculateur!AS93*VLOOKUP('Données projet'!$B$10,Paramètres!$A$1:$I$89,3,0)*0.475*44/12</f>
        <v>2.661626909107325</v>
      </c>
      <c r="AW93" s="21">
        <f>EXP(-LN(2)/2)*AW92+(1-EXP(-LN(2)/2))/(LN(2)/2)*AQ93*AT93*VLOOKUP('Données projet'!$B$10,Paramètres!$A$1:$I$89,3,0)*0.475*44/12</f>
        <v>2.1609536297311424E-8</v>
      </c>
      <c r="AX93" s="21">
        <f t="shared" si="60"/>
        <v>3.4462633453720604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-3.4106051316484809E-13</v>
      </c>
      <c r="BE93" s="13">
        <f>BD93*VLOOKUP('Données projet'!$B$11,Paramètres!$A$1:$I$89,3,0)*VLOOKUP('Données projet'!$B$11,Paramètres!$A$1:$I$89,5,0)</f>
        <v>-1.9065282685915009E-13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279.98352834501759</v>
      </c>
      <c r="BJ93" s="59">
        <f t="shared" si="92"/>
        <v>281.30062655265488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1.2180847566219817</v>
      </c>
      <c r="BQ93" s="21">
        <f>EXP(-LN(2)/25)*BQ92+(1-EXP(-LN(2)/25))/(LN(2)/25)*Calculateur!BL93*Calculateur!BN93*VLOOKUP('Données projet'!$B$11,Paramètres!$A$1:$I$89,3,0)*0.475*44/12</f>
        <v>4.5901481465797538</v>
      </c>
      <c r="BR93" s="21">
        <f>EXP(-LN(2)/2)*BR92+(1-EXP(-LN(2)/2))/(LN(2)/2)*BL93*BO93*VLOOKUP('Données projet'!$B$11,Paramètres!$A$1:$I$89,3,0)*0.475*44/12</f>
        <v>2.6372392080551684E-8</v>
      </c>
      <c r="BS93" s="22">
        <f t="shared" si="63"/>
        <v>5.8082329295741282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-8.5265128291212022E-14</v>
      </c>
      <c r="BZ93" s="13">
        <f>BY93*VLOOKUP('Données projet'!$B$12,Paramètres!$A$1:$I$89,3,0)*VLOOKUP('Données projet'!$B$12,Paramètres!$A$1:$I$89,5,0)</f>
        <v>-6.2516392063116648E-14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124.15919323713428</v>
      </c>
      <c r="CE93" s="59">
        <f t="shared" si="94"/>
        <v>157.85954678210715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0.9523222328515929</v>
      </c>
      <c r="CM93" s="21">
        <f>EXP(-LN(2)/2)*CM92+(1-EXP(-LN(2)/2))/(LN(2)/2)*CG93*CJ93*VLOOKUP('Données projet'!$B$12,Paramètres!$A$1:$I$89,3,0)*0.475*44/12</f>
        <v>6.8706774590939721E-9</v>
      </c>
      <c r="CN93" s="22">
        <f t="shared" si="66"/>
        <v>0.95232223972227037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3.7</v>
      </c>
      <c r="N94" s="13">
        <f>IF('Données projet'!$A$36&gt;35,N93+M94-V93,IF(A94&lt;'Données projet'!$A$36,$K$205^A94,IF(A94='Données projet'!$A$36,'Données projet'!$B$36,N93+M94-V93)))</f>
        <v>196.70000000000007</v>
      </c>
      <c r="O94" s="13">
        <f>N94*VLOOKUP('Données projet'!$B$9,Paramètres!$A$1:$I$89,3,0)*VLOOKUP('Données projet'!$B$9,Paramètres!$A$1:$I$89,5,0)</f>
        <v>177.97416000000007</v>
      </c>
      <c r="P94" s="13">
        <f t="shared" si="87"/>
        <v>44.871177620414102</v>
      </c>
      <c r="Q94" s="20">
        <f t="shared" si="54"/>
        <v>388.12229635555462</v>
      </c>
      <c r="R94" s="59">
        <f t="shared" si="55"/>
        <v>681.45562968888794</v>
      </c>
      <c r="S94" s="59">
        <f ca="1">AVERAGE(OFFSET($R$3,0,0,'Données projet'!$E$9+1,1))-AVERAGE(OFFSET($H$3,0,0,'Données projet'!$E$9+1,1))</f>
        <v>138.8931001150624</v>
      </c>
      <c r="T94" s="59">
        <f t="shared" si="88"/>
        <v>48.964659354096625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-8.5265128291212022E-14</v>
      </c>
      <c r="AJ94" s="13">
        <f>AI94*VLOOKUP('Données projet'!$B$10,Paramètres!$A$1:$I$89,3,0)*VLOOKUP('Données projet'!$B$10,Paramètres!$A$1:$I$89,5,0)</f>
        <v>-7.4487616075202836E-14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191.94797389630673</v>
      </c>
      <c r="AO94" s="59">
        <f t="shared" si="90"/>
        <v>273.52540822767878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0.7692501731447674</v>
      </c>
      <c r="AV94" s="21">
        <f>EXP(-LN(2)/25)*AV93+(1-EXP(-LN(2)/25))/(LN(2)/25)*Calculateur!AQ94*Calculateur!AS94*VLOOKUP('Données projet'!$B$10,Paramètres!$A$1:$I$89,3,0)*0.475*44/12</f>
        <v>2.5888445813089094</v>
      </c>
      <c r="AW94" s="21">
        <f>EXP(-LN(2)/2)*AW93+(1-EXP(-LN(2)/2))/(LN(2)/2)*AQ94*AT94*VLOOKUP('Données projet'!$B$10,Paramètres!$A$1:$I$89,3,0)*0.475*44/12</f>
        <v>1.5280249654125745E-8</v>
      </c>
      <c r="AX94" s="21">
        <f t="shared" si="60"/>
        <v>3.3580947697339263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-3.4106051316484809E-13</v>
      </c>
      <c r="BE94" s="13">
        <f>BD94*VLOOKUP('Données projet'!$B$11,Paramètres!$A$1:$I$89,3,0)*VLOOKUP('Données projet'!$B$11,Paramètres!$A$1:$I$89,5,0)</f>
        <v>-1.9065282685915009E-13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279.98352834501759</v>
      </c>
      <c r="BJ94" s="59">
        <f t="shared" si="92"/>
        <v>281.30062655265488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1.1941988575029652</v>
      </c>
      <c r="BQ94" s="21">
        <f>EXP(-LN(2)/25)*BQ93+(1-EXP(-LN(2)/25))/(LN(2)/25)*Calculateur!BL94*Calculateur!BN94*VLOOKUP('Données projet'!$B$11,Paramètres!$A$1:$I$89,3,0)*0.475*44/12</f>
        <v>4.4646303041261302</v>
      </c>
      <c r="BR94" s="21">
        <f>EXP(-LN(2)/2)*BR93+(1-EXP(-LN(2)/2))/(LN(2)/2)*BL94*BO94*VLOOKUP('Données projet'!$B$11,Paramètres!$A$1:$I$89,3,0)*0.475*44/12</f>
        <v>1.8648097276268498E-8</v>
      </c>
      <c r="BS94" s="22">
        <f t="shared" si="63"/>
        <v>5.6588291802771922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-8.5265128291212022E-14</v>
      </c>
      <c r="BZ94" s="13">
        <f>BY94*VLOOKUP('Données projet'!$B$12,Paramètres!$A$1:$I$89,3,0)*VLOOKUP('Données projet'!$B$12,Paramètres!$A$1:$I$89,5,0)</f>
        <v>-6.2516392063116648E-14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124.15919323713428</v>
      </c>
      <c r="CE94" s="59">
        <f t="shared" si="94"/>
        <v>157.85954678210715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0.92628093131381639</v>
      </c>
      <c r="CM94" s="21">
        <f>EXP(-LN(2)/2)*CM93+(1-EXP(-LN(2)/2))/(LN(2)/2)*CG94*CJ94*VLOOKUP('Données projet'!$B$12,Paramètres!$A$1:$I$89,3,0)*0.475*44/12</f>
        <v>4.8583026226709056E-9</v>
      </c>
      <c r="CN94" s="22">
        <f t="shared" si="66"/>
        <v>0.92628093617211904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3.7</v>
      </c>
      <c r="N95" s="13">
        <f>IF('Données projet'!$A$36&gt;35,N94+M95-V94,IF(A95&lt;'Données projet'!$A$36,$K$205^A95,IF(A95='Données projet'!$A$36,'Données projet'!$B$36,N94+M95-V94)))</f>
        <v>200.40000000000006</v>
      </c>
      <c r="O95" s="13">
        <f>N95*VLOOKUP('Données projet'!$B$9,Paramètres!$A$1:$I$89,3,0)*VLOOKUP('Données projet'!$B$9,Paramètres!$A$1:$I$89,5,0)</f>
        <v>181.32192000000006</v>
      </c>
      <c r="P95" s="13">
        <f t="shared" si="87"/>
        <v>45.616163648177974</v>
      </c>
      <c r="Q95" s="20">
        <f t="shared" si="54"/>
        <v>395.25049568724336</v>
      </c>
      <c r="R95" s="59">
        <f t="shared" si="55"/>
        <v>688.58382902057667</v>
      </c>
      <c r="S95" s="59">
        <f ca="1">AVERAGE(OFFSET($R$3,0,0,'Données projet'!$E$9+1,1))-AVERAGE(OFFSET($H$3,0,0,'Données projet'!$E$9+1,1))</f>
        <v>138.8931001150624</v>
      </c>
      <c r="T95" s="59">
        <f t="shared" si="88"/>
        <v>48.964659354096625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-8.5265128291212022E-14</v>
      </c>
      <c r="AJ95" s="13">
        <f>AI95*VLOOKUP('Données projet'!$B$10,Paramètres!$A$1:$I$89,3,0)*VLOOKUP('Données projet'!$B$10,Paramètres!$A$1:$I$89,5,0)</f>
        <v>-7.4487616075202836E-14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191.94797389630673</v>
      </c>
      <c r="AO95" s="59">
        <f t="shared" si="90"/>
        <v>273.52540822767878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0.75416564644567485</v>
      </c>
      <c r="AV95" s="21">
        <f>EXP(-LN(2)/25)*AV94+(1-EXP(-LN(2)/25))/(LN(2)/25)*Calculateur!AQ95*Calculateur!AS95*VLOOKUP('Données projet'!$B$10,Paramètres!$A$1:$I$89,3,0)*0.475*44/12</f>
        <v>2.5180524900915975</v>
      </c>
      <c r="AW95" s="21">
        <f>EXP(-LN(2)/2)*AW94+(1-EXP(-LN(2)/2))/(LN(2)/2)*AQ95*AT95*VLOOKUP('Données projet'!$B$10,Paramètres!$A$1:$I$89,3,0)*0.475*44/12</f>
        <v>1.0804768148655712E-8</v>
      </c>
      <c r="AX95" s="21">
        <f t="shared" si="60"/>
        <v>3.2722181473420404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-3.4106051316484809E-13</v>
      </c>
      <c r="BE95" s="13">
        <f>BD95*VLOOKUP('Données projet'!$B$11,Paramètres!$A$1:$I$89,3,0)*VLOOKUP('Données projet'!$B$11,Paramètres!$A$1:$I$89,5,0)</f>
        <v>-1.9065282685915009E-13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279.98352834501759</v>
      </c>
      <c r="BJ95" s="59">
        <f t="shared" si="92"/>
        <v>281.30062655265488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1.1707813462967127</v>
      </c>
      <c r="BQ95" s="21">
        <f>EXP(-LN(2)/25)*BQ94+(1-EXP(-LN(2)/25))/(LN(2)/25)*Calculateur!BL95*Calculateur!BN95*VLOOKUP('Données projet'!$B$11,Paramètres!$A$1:$I$89,3,0)*0.475*44/12</f>
        <v>4.3425447536750976</v>
      </c>
      <c r="BR95" s="21">
        <f>EXP(-LN(2)/2)*BR94+(1-EXP(-LN(2)/2))/(LN(2)/2)*BL95*BO95*VLOOKUP('Données projet'!$B$11,Paramètres!$A$1:$I$89,3,0)*0.475*44/12</f>
        <v>1.3186196040275842E-8</v>
      </c>
      <c r="BS95" s="22">
        <f t="shared" si="63"/>
        <v>5.5133261131580067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-8.5265128291212022E-14</v>
      </c>
      <c r="BZ95" s="13">
        <f>BY95*VLOOKUP('Données projet'!$B$12,Paramètres!$A$1:$I$89,3,0)*VLOOKUP('Données projet'!$B$12,Paramètres!$A$1:$I$89,5,0)</f>
        <v>-6.2516392063116648E-14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124.15919323713428</v>
      </c>
      <c r="CE95" s="59">
        <f t="shared" si="94"/>
        <v>157.85954678210715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0.90095173053604294</v>
      </c>
      <c r="CM95" s="21">
        <f>EXP(-LN(2)/2)*CM94+(1-EXP(-LN(2)/2))/(LN(2)/2)*CG95*CJ95*VLOOKUP('Données projet'!$B$12,Paramètres!$A$1:$I$89,3,0)*0.475*44/12</f>
        <v>3.435338729546986E-9</v>
      </c>
      <c r="CN95" s="22">
        <f t="shared" si="66"/>
        <v>0.90095173397138162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3.7</v>
      </c>
      <c r="N96" s="13">
        <f>IF('Données projet'!$A$36&gt;35,N95+M96-V95,IF(A96&lt;'Données projet'!$A$36,$K$205^A96,IF(A96='Données projet'!$A$36,'Données projet'!$B$36,N95+M96-V95)))</f>
        <v>204.10000000000005</v>
      </c>
      <c r="O96" s="13">
        <f>N96*VLOOKUP('Données projet'!$B$9,Paramètres!$A$1:$I$89,3,0)*VLOOKUP('Données projet'!$B$9,Paramètres!$A$1:$I$89,5,0)</f>
        <v>184.66968000000006</v>
      </c>
      <c r="P96" s="13">
        <f t="shared" si="87"/>
        <v>46.359550248246585</v>
      </c>
      <c r="Q96" s="20">
        <f t="shared" si="54"/>
        <v>402.37590934902954</v>
      </c>
      <c r="R96" s="59">
        <f t="shared" si="55"/>
        <v>695.70924268236286</v>
      </c>
      <c r="S96" s="59">
        <f ca="1">AVERAGE(OFFSET($R$3,0,0,'Données projet'!$E$9+1,1))-AVERAGE(OFFSET($H$3,0,0,'Données projet'!$E$9+1,1))</f>
        <v>138.8931001150624</v>
      </c>
      <c r="T96" s="59">
        <f t="shared" si="88"/>
        <v>48.964659354096625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-8.5265128291212022E-14</v>
      </c>
      <c r="AJ96" s="13">
        <f>AI96*VLOOKUP('Données projet'!$B$10,Paramètres!$A$1:$I$89,3,0)*VLOOKUP('Données projet'!$B$10,Paramètres!$A$1:$I$89,5,0)</f>
        <v>-7.4487616075202836E-14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191.94797389630673</v>
      </c>
      <c r="AO96" s="59">
        <f t="shared" si="90"/>
        <v>273.52540822767878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0.73937691811449868</v>
      </c>
      <c r="AV96" s="21">
        <f>EXP(-LN(2)/25)*AV95+(1-EXP(-LN(2)/25))/(LN(2)/25)*Calculateur!AQ96*Calculateur!AS96*VLOOKUP('Données projet'!$B$10,Paramètres!$A$1:$I$89,3,0)*0.475*44/12</f>
        <v>2.4491962123314175</v>
      </c>
      <c r="AW96" s="21">
        <f>EXP(-LN(2)/2)*AW95+(1-EXP(-LN(2)/2))/(LN(2)/2)*AQ96*AT96*VLOOKUP('Données projet'!$B$10,Paramètres!$A$1:$I$89,3,0)*0.475*44/12</f>
        <v>7.6401248270628724E-9</v>
      </c>
      <c r="AX96" s="21">
        <f t="shared" si="60"/>
        <v>3.1885731380860411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-3.4106051316484809E-13</v>
      </c>
      <c r="BE96" s="13">
        <f>BD96*VLOOKUP('Données projet'!$B$11,Paramètres!$A$1:$I$89,3,0)*VLOOKUP('Données projet'!$B$11,Paramètres!$A$1:$I$89,5,0)</f>
        <v>-1.9065282685915009E-13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279.98352834501759</v>
      </c>
      <c r="BJ96" s="59">
        <f t="shared" si="92"/>
        <v>281.30062655265488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1.1478230382019432</v>
      </c>
      <c r="BQ96" s="21">
        <f>EXP(-LN(2)/25)*BQ95+(1-EXP(-LN(2)/25))/(LN(2)/25)*Calculateur!BL96*Calculateur!BN96*VLOOKUP('Données projet'!$B$11,Paramètres!$A$1:$I$89,3,0)*0.475*44/12</f>
        <v>4.2237976390213481</v>
      </c>
      <c r="BR96" s="21">
        <f>EXP(-LN(2)/2)*BR95+(1-EXP(-LN(2)/2))/(LN(2)/2)*BL96*BO96*VLOOKUP('Données projet'!$B$11,Paramètres!$A$1:$I$89,3,0)*0.475*44/12</f>
        <v>9.3240486381342491E-9</v>
      </c>
      <c r="BS96" s="22">
        <f t="shared" si="63"/>
        <v>5.371620686547339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-8.5265128291212022E-14</v>
      </c>
      <c r="BZ96" s="13">
        <f>BY96*VLOOKUP('Données projet'!$B$12,Paramètres!$A$1:$I$89,3,0)*VLOOKUP('Données projet'!$B$12,Paramètres!$A$1:$I$89,5,0)</f>
        <v>-6.2516392063116648E-14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124.15919323713428</v>
      </c>
      <c r="CE96" s="59">
        <f t="shared" si="94"/>
        <v>157.85954678210715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0.8763151580855425</v>
      </c>
      <c r="CM96" s="21">
        <f>EXP(-LN(2)/2)*CM95+(1-EXP(-LN(2)/2))/(LN(2)/2)*CG96*CJ96*VLOOKUP('Données projet'!$B$12,Paramètres!$A$1:$I$89,3,0)*0.475*44/12</f>
        <v>2.4291513113354528E-9</v>
      </c>
      <c r="CN96" s="22">
        <f t="shared" si="66"/>
        <v>0.87631516051469383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3.7</v>
      </c>
      <c r="N97" s="13">
        <f>IF('Données projet'!$A$36&gt;35,N96+M97-V96,IF(A97&lt;'Données projet'!$A$36,$K$205^A97,IF(A97='Données projet'!$A$36,'Données projet'!$B$36,N96+M97-V96)))</f>
        <v>207.80000000000004</v>
      </c>
      <c r="O97" s="13">
        <f>N97*VLOOKUP('Données projet'!$B$9,Paramètres!$A$1:$I$89,3,0)*VLOOKUP('Données projet'!$B$9,Paramètres!$A$1:$I$89,5,0)</f>
        <v>188.01744000000002</v>
      </c>
      <c r="P97" s="13">
        <f t="shared" si="87"/>
        <v>47.101369760097391</v>
      </c>
      <c r="Q97" s="20">
        <f t="shared" si="54"/>
        <v>409.49859366550299</v>
      </c>
      <c r="R97" s="59">
        <f t="shared" si="55"/>
        <v>702.83192699883625</v>
      </c>
      <c r="S97" s="59">
        <f ca="1">AVERAGE(OFFSET($R$3,0,0,'Données projet'!$E$9+1,1))-AVERAGE(OFFSET($H$3,0,0,'Données projet'!$E$9+1,1))</f>
        <v>138.8931001150624</v>
      </c>
      <c r="T97" s="59">
        <f t="shared" si="88"/>
        <v>48.964659354096625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-8.5265128291212022E-14</v>
      </c>
      <c r="AJ97" s="13">
        <f>AI97*VLOOKUP('Données projet'!$B$10,Paramètres!$A$1:$I$89,3,0)*VLOOKUP('Données projet'!$B$10,Paramètres!$A$1:$I$89,5,0)</f>
        <v>-7.4487616075202836E-14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191.94797389630673</v>
      </c>
      <c r="AO97" s="59">
        <f t="shared" si="90"/>
        <v>273.52540822767878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0.72487818772566326</v>
      </c>
      <c r="AV97" s="21">
        <f>EXP(-LN(2)/25)*AV96+(1-EXP(-LN(2)/25))/(LN(2)/25)*Calculateur!AQ97*Calculateur!AS97*VLOOKUP('Données projet'!$B$10,Paramètres!$A$1:$I$89,3,0)*0.475*44/12</f>
        <v>2.382222813107584</v>
      </c>
      <c r="AW97" s="21">
        <f>EXP(-LN(2)/2)*AW96+(1-EXP(-LN(2)/2))/(LN(2)/2)*AQ97*AT97*VLOOKUP('Données projet'!$B$10,Paramètres!$A$1:$I$89,3,0)*0.475*44/12</f>
        <v>5.402384074327856E-9</v>
      </c>
      <c r="AX97" s="21">
        <f t="shared" si="60"/>
        <v>3.1071010062356312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-3.4106051316484809E-13</v>
      </c>
      <c r="BE97" s="13">
        <f>BD97*VLOOKUP('Données projet'!$B$11,Paramètres!$A$1:$I$89,3,0)*VLOOKUP('Données projet'!$B$11,Paramètres!$A$1:$I$89,5,0)</f>
        <v>-1.9065282685915009E-13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279.98352834501759</v>
      </c>
      <c r="BJ97" s="59">
        <f t="shared" si="92"/>
        <v>281.30062655265488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1.1253149285257269</v>
      </c>
      <c r="BQ97" s="21">
        <f>EXP(-LN(2)/25)*BQ96+(1-EXP(-LN(2)/25))/(LN(2)/25)*Calculateur!BL97*Calculateur!BN97*VLOOKUP('Données projet'!$B$11,Paramètres!$A$1:$I$89,3,0)*0.475*44/12</f>
        <v>4.108297670462445</v>
      </c>
      <c r="BR97" s="21">
        <f>EXP(-LN(2)/2)*BR96+(1-EXP(-LN(2)/2))/(LN(2)/2)*BL97*BO97*VLOOKUP('Données projet'!$B$11,Paramètres!$A$1:$I$89,3,0)*0.475*44/12</f>
        <v>6.593098020137921E-9</v>
      </c>
      <c r="BS97" s="22">
        <f t="shared" si="63"/>
        <v>5.2336126055812695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-8.5265128291212022E-14</v>
      </c>
      <c r="BZ97" s="13">
        <f>BY97*VLOOKUP('Données projet'!$B$12,Paramètres!$A$1:$I$89,3,0)*VLOOKUP('Données projet'!$B$12,Paramètres!$A$1:$I$89,5,0)</f>
        <v>-6.2516392063116648E-14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124.15919323713428</v>
      </c>
      <c r="CE97" s="59">
        <f t="shared" si="94"/>
        <v>157.85954678210715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0.85235227400428204</v>
      </c>
      <c r="CM97" s="21">
        <f>EXP(-LN(2)/2)*CM96+(1-EXP(-LN(2)/2))/(LN(2)/2)*CG97*CJ97*VLOOKUP('Données projet'!$B$12,Paramètres!$A$1:$I$89,3,0)*0.475*44/12</f>
        <v>1.717669364773493E-9</v>
      </c>
      <c r="CN97" s="22">
        <f t="shared" si="66"/>
        <v>0.85235227572195138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3.7</v>
      </c>
      <c r="N98" s="13">
        <f>IF('Données projet'!$A$36&gt;35,N97+M98-V97,IF(A98&lt;'Données projet'!$A$36,$K$205^A98,IF(A98='Données projet'!$A$36,'Données projet'!$B$36,N97+M98-V97)))</f>
        <v>211.50000000000003</v>
      </c>
      <c r="O98" s="13">
        <f>N98*VLOOKUP('Données projet'!$B$9,Paramètres!$A$1:$I$89,3,0)*VLOOKUP('Données projet'!$B$9,Paramètres!$A$1:$I$89,5,0)</f>
        <v>191.36520000000002</v>
      </c>
      <c r="P98" s="13">
        <f t="shared" si="87"/>
        <v>47.841653305605021</v>
      </c>
      <c r="Q98" s="20">
        <f t="shared" si="54"/>
        <v>416.61860284059543</v>
      </c>
      <c r="R98" s="59">
        <f t="shared" si="55"/>
        <v>709.95193617392874</v>
      </c>
      <c r="S98" s="59">
        <f ca="1">AVERAGE(OFFSET($R$3,0,0,'Données projet'!$E$9+1,1))-AVERAGE(OFFSET($H$3,0,0,'Données projet'!$E$9+1,1))</f>
        <v>138.8931001150624</v>
      </c>
      <c r="T98" s="59">
        <f t="shared" si="88"/>
        <v>48.964659354096625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-8.5265128291212022E-14</v>
      </c>
      <c r="AJ98" s="13">
        <f>AI98*VLOOKUP('Données projet'!$B$10,Paramètres!$A$1:$I$89,3,0)*VLOOKUP('Données projet'!$B$10,Paramètres!$A$1:$I$89,5,0)</f>
        <v>-7.4487616075202836E-14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191.94797389630673</v>
      </c>
      <c r="AO98" s="59">
        <f t="shared" si="90"/>
        <v>273.52540822767878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0.71066376859640057</v>
      </c>
      <c r="AV98" s="21">
        <f>EXP(-LN(2)/25)*AV97+(1-EXP(-LN(2)/25))/(LN(2)/25)*Calculateur!AQ98*Calculateur!AS98*VLOOKUP('Données projet'!$B$10,Paramètres!$A$1:$I$89,3,0)*0.475*44/12</f>
        <v>2.317080805007504</v>
      </c>
      <c r="AW98" s="21">
        <f>EXP(-LN(2)/2)*AW97+(1-EXP(-LN(2)/2))/(LN(2)/2)*AQ98*AT98*VLOOKUP('Données projet'!$B$10,Paramètres!$A$1:$I$89,3,0)*0.475*44/12</f>
        <v>3.8200624135314362E-9</v>
      </c>
      <c r="AX98" s="21">
        <f t="shared" si="60"/>
        <v>3.0277445774239671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-3.4106051316484809E-13</v>
      </c>
      <c r="BE98" s="13">
        <f>BD98*VLOOKUP('Données projet'!$B$11,Paramètres!$A$1:$I$89,3,0)*VLOOKUP('Données projet'!$B$11,Paramètres!$A$1:$I$89,5,0)</f>
        <v>-1.9065282685915009E-13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279.98352834501759</v>
      </c>
      <c r="BJ98" s="59">
        <f t="shared" si="92"/>
        <v>281.30062655265488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1.1032481891516699</v>
      </c>
      <c r="BQ98" s="21">
        <f>EXP(-LN(2)/25)*BQ97+(1-EXP(-LN(2)/25))/(LN(2)/25)*Calculateur!BL98*Calculateur!BN98*VLOOKUP('Données projet'!$B$11,Paramètres!$A$1:$I$89,3,0)*0.475*44/12</f>
        <v>3.9959560546176647</v>
      </c>
      <c r="BR98" s="21">
        <f>EXP(-LN(2)/2)*BR97+(1-EXP(-LN(2)/2))/(LN(2)/2)*BL98*BO98*VLOOKUP('Données projet'!$B$11,Paramètres!$A$1:$I$89,3,0)*0.475*44/12</f>
        <v>4.6620243190671245E-9</v>
      </c>
      <c r="BS98" s="22">
        <f t="shared" si="63"/>
        <v>5.0992042484313593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-8.5265128291212022E-14</v>
      </c>
      <c r="BZ98" s="13">
        <f>BY98*VLOOKUP('Données projet'!$B$12,Paramètres!$A$1:$I$89,3,0)*VLOOKUP('Données projet'!$B$12,Paramètres!$A$1:$I$89,5,0)</f>
        <v>-6.2516392063116648E-14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124.15919323713428</v>
      </c>
      <c r="CE98" s="59">
        <f t="shared" si="94"/>
        <v>157.85954678210715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0.82904465624837698</v>
      </c>
      <c r="CM98" s="21">
        <f>EXP(-LN(2)/2)*CM97+(1-EXP(-LN(2)/2))/(LN(2)/2)*CG98*CJ98*VLOOKUP('Données projet'!$B$12,Paramètres!$A$1:$I$89,3,0)*0.475*44/12</f>
        <v>1.2145756556677264E-9</v>
      </c>
      <c r="CN98" s="22">
        <f t="shared" si="66"/>
        <v>0.82904465746295264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3.7</v>
      </c>
      <c r="N99" s="13">
        <f>IF('Données projet'!$A$36&gt;35,N98+M99-V98,IF(A99&lt;'Données projet'!$A$36,$K$205^A99,IF(A99='Données projet'!$A$36,'Données projet'!$B$36,N98+M99-V98)))</f>
        <v>215.20000000000002</v>
      </c>
      <c r="O99" s="13">
        <f>N99*VLOOKUP('Données projet'!$B$9,Paramètres!$A$1:$I$89,3,0)*VLOOKUP('Données projet'!$B$9,Paramètres!$A$1:$I$89,5,0)</f>
        <v>194.71296000000001</v>
      </c>
      <c r="P99" s="13">
        <f t="shared" si="87"/>
        <v>48.580430855369244</v>
      </c>
      <c r="Q99" s="20">
        <f t="shared" ref="Q99:Q130" si="107">(O99+P99)*0.475*44/12</f>
        <v>423.73598907310139</v>
      </c>
      <c r="R99" s="59">
        <f t="shared" si="55"/>
        <v>717.06932240643471</v>
      </c>
      <c r="S99" s="59">
        <f ca="1">AVERAGE(OFFSET($R$3,0,0,'Données projet'!$E$9+1,1))-AVERAGE(OFFSET($H$3,0,0,'Données projet'!$E$9+1,1))</f>
        <v>138.8931001150624</v>
      </c>
      <c r="T99" s="59">
        <f t="shared" si="88"/>
        <v>48.964659354096625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-8.5265128291212022E-14</v>
      </c>
      <c r="AJ99" s="13">
        <f>AI99*VLOOKUP('Données projet'!$B$10,Paramètres!$A$1:$I$89,3,0)*VLOOKUP('Données projet'!$B$10,Paramètres!$A$1:$I$89,5,0)</f>
        <v>-7.4487616075202836E-14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191.94797389630673</v>
      </c>
      <c r="AO99" s="59">
        <f t="shared" si="90"/>
        <v>273.52540822767878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0.69672808555632315</v>
      </c>
      <c r="AV99" s="21">
        <f>EXP(-LN(2)/25)*AV98+(1-EXP(-LN(2)/25))/(LN(2)/25)*Calculateur!AQ99*Calculateur!AS99*VLOOKUP('Données projet'!$B$10,Paramètres!$A$1:$I$89,3,0)*0.475*44/12</f>
        <v>2.2537201085445902</v>
      </c>
      <c r="AW99" s="21">
        <f>EXP(-LN(2)/2)*AW98+(1-EXP(-LN(2)/2))/(LN(2)/2)*AQ99*AT99*VLOOKUP('Données projet'!$B$10,Paramètres!$A$1:$I$89,3,0)*0.475*44/12</f>
        <v>2.701192037163928E-9</v>
      </c>
      <c r="AX99" s="21">
        <f t="shared" si="60"/>
        <v>2.9504481968021055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-3.4106051316484809E-13</v>
      </c>
      <c r="BE99" s="13">
        <f>BD99*VLOOKUP('Données projet'!$B$11,Paramètres!$A$1:$I$89,3,0)*VLOOKUP('Données projet'!$B$11,Paramètres!$A$1:$I$89,5,0)</f>
        <v>-1.9065282685915009E-13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279.98352834501759</v>
      </c>
      <c r="BJ99" s="59">
        <f t="shared" si="92"/>
        <v>281.30062655265488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1.0816141650773561</v>
      </c>
      <c r="BQ99" s="21">
        <f>EXP(-LN(2)/25)*BQ98+(1-EXP(-LN(2)/25))/(LN(2)/25)*Calculateur!BL99*Calculateur!BN99*VLOOKUP('Données projet'!$B$11,Paramètres!$A$1:$I$89,3,0)*0.475*44/12</f>
        <v>3.8866864261659484</v>
      </c>
      <c r="BR99" s="21">
        <f>EXP(-LN(2)/2)*BR98+(1-EXP(-LN(2)/2))/(LN(2)/2)*BL99*BO99*VLOOKUP('Données projet'!$B$11,Paramètres!$A$1:$I$89,3,0)*0.475*44/12</f>
        <v>3.2965490100689605E-9</v>
      </c>
      <c r="BS99" s="22">
        <f t="shared" si="63"/>
        <v>4.9683005945398531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-8.5265128291212022E-14</v>
      </c>
      <c r="BZ99" s="13">
        <f>BY99*VLOOKUP('Données projet'!$B$12,Paramètres!$A$1:$I$89,3,0)*VLOOKUP('Données projet'!$B$12,Paramètres!$A$1:$I$89,5,0)</f>
        <v>-6.2516392063116648E-14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124.15919323713428</v>
      </c>
      <c r="CE99" s="59">
        <f t="shared" si="94"/>
        <v>157.85954678210715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0.80637438652570148</v>
      </c>
      <c r="CM99" s="21">
        <f>EXP(-LN(2)/2)*CM98+(1-EXP(-LN(2)/2))/(LN(2)/2)*CG99*CJ99*VLOOKUP('Données projet'!$B$12,Paramètres!$A$1:$I$89,3,0)*0.475*44/12</f>
        <v>8.5883468238674651E-10</v>
      </c>
      <c r="CN99" s="22">
        <f t="shared" si="66"/>
        <v>0.80637438738453615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3.7</v>
      </c>
      <c r="N100" s="13">
        <f>IF('Données projet'!$A$36&gt;35,N99+M100-V99,IF(A100&lt;'Données projet'!$A$36,$K$205^A100,IF(A100='Données projet'!$A$36,'Données projet'!$B$36,N99+M100-V99)))</f>
        <v>218.9</v>
      </c>
      <c r="O100" s="13">
        <f>N100*VLOOKUP('Données projet'!$B$9,Paramètres!$A$1:$I$89,3,0)*VLOOKUP('Données projet'!$B$9,Paramètres!$A$1:$I$89,5,0)</f>
        <v>198.06072</v>
      </c>
      <c r="P100" s="13">
        <f t="shared" si="87"/>
        <v>49.317731290351951</v>
      </c>
      <c r="Q100" s="20">
        <f t="shared" si="107"/>
        <v>430.85080266402957</v>
      </c>
      <c r="R100" s="59">
        <f t="shared" si="55"/>
        <v>724.18413599736289</v>
      </c>
      <c r="S100" s="59">
        <f ca="1">AVERAGE(OFFSET($R$3,0,0,'Données projet'!$E$9+1,1))-AVERAGE(OFFSET($H$3,0,0,'Données projet'!$E$9+1,1))</f>
        <v>138.8931001150624</v>
      </c>
      <c r="T100" s="59">
        <f t="shared" si="88"/>
        <v>48.964659354096625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-8.5265128291212022E-14</v>
      </c>
      <c r="AJ100" s="13">
        <f>AI100*VLOOKUP('Données projet'!$B$10,Paramètres!$A$1:$I$89,3,0)*VLOOKUP('Données projet'!$B$10,Paramètres!$A$1:$I$89,5,0)</f>
        <v>-7.4487616075202836E-14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191.94797389630673</v>
      </c>
      <c r="AO100" s="59">
        <f t="shared" si="90"/>
        <v>273.52540822767878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0.68306567276073427</v>
      </c>
      <c r="AV100" s="21">
        <f>EXP(-LN(2)/25)*AV99+(1-EXP(-LN(2)/25))/(LN(2)/25)*Calculateur!AQ100*Calculateur!AS100*VLOOKUP('Données projet'!$B$10,Paramètres!$A$1:$I$89,3,0)*0.475*44/12</f>
        <v>2.1920920136584487</v>
      </c>
      <c r="AW100" s="21">
        <f>EXP(-LN(2)/2)*AW99+(1-EXP(-LN(2)/2))/(LN(2)/2)*AQ100*AT100*VLOOKUP('Données projet'!$B$10,Paramètres!$A$1:$I$89,3,0)*0.475*44/12</f>
        <v>1.9100312067657181E-9</v>
      </c>
      <c r="AX100" s="21">
        <f t="shared" si="60"/>
        <v>2.8751576883292143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-3.4106051316484809E-13</v>
      </c>
      <c r="BE100" s="13">
        <f>BD100*VLOOKUP('Données projet'!$B$11,Paramètres!$A$1:$I$89,3,0)*VLOOKUP('Données projet'!$B$11,Paramètres!$A$1:$I$89,5,0)</f>
        <v>-1.9065282685915009E-13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279.98352834501759</v>
      </c>
      <c r="BJ100" s="59">
        <f t="shared" si="92"/>
        <v>281.30062655265488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1.060404371019688</v>
      </c>
      <c r="BQ100" s="21">
        <f>EXP(-LN(2)/25)*BQ99+(1-EXP(-LN(2)/25))/(LN(2)/25)*Calculateur!BL100*Calculateur!BN100*VLOOKUP('Données projet'!$B$11,Paramètres!$A$1:$I$89,3,0)*0.475*44/12</f>
        <v>3.7804047814504846</v>
      </c>
      <c r="BR100" s="21">
        <f>EXP(-LN(2)/2)*BR99+(1-EXP(-LN(2)/2))/(LN(2)/2)*BL100*BO100*VLOOKUP('Données projet'!$B$11,Paramètres!$A$1:$I$89,3,0)*0.475*44/12</f>
        <v>2.3310121595335623E-9</v>
      </c>
      <c r="BS100" s="22">
        <f t="shared" si="63"/>
        <v>4.8408091548011845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-8.5265128291212022E-14</v>
      </c>
      <c r="BZ100" s="13">
        <f>BY100*VLOOKUP('Données projet'!$B$12,Paramètres!$A$1:$I$89,3,0)*VLOOKUP('Données projet'!$B$12,Paramètres!$A$1:$I$89,5,0)</f>
        <v>-6.2516392063116648E-14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124.15919323713428</v>
      </c>
      <c r="CE100" s="59">
        <f t="shared" si="94"/>
        <v>157.85954678210715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0.78432403652077021</v>
      </c>
      <c r="CM100" s="21">
        <f>EXP(-LN(2)/2)*CM99+(1-EXP(-LN(2)/2))/(LN(2)/2)*CG100*CJ100*VLOOKUP('Données projet'!$B$12,Paramètres!$A$1:$I$89,3,0)*0.475*44/12</f>
        <v>6.0728782783386319E-10</v>
      </c>
      <c r="CN100" s="22">
        <f t="shared" si="66"/>
        <v>0.78432403712805798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3.7</v>
      </c>
      <c r="N101" s="13">
        <f>IF('Données projet'!$A$36&gt;35,N100+M101-V100,IF(A101&lt;'Données projet'!$A$36,$K$205^A101,IF(A101='Données projet'!$A$36,'Données projet'!$B$36,N100+M101-V100)))</f>
        <v>222.6</v>
      </c>
      <c r="O101" s="13">
        <f>N101*VLOOKUP('Données projet'!$B$9,Paramètres!$A$1:$I$89,3,0)*VLOOKUP('Données projet'!$B$9,Paramètres!$A$1:$I$89,5,0)</f>
        <v>201.40847999999997</v>
      </c>
      <c r="P101" s="13">
        <f t="shared" si="87"/>
        <v>50.053582459229212</v>
      </c>
      <c r="Q101" s="20">
        <f t="shared" si="107"/>
        <v>437.96309211649077</v>
      </c>
      <c r="R101" s="59">
        <f t="shared" si="55"/>
        <v>731.29642544982403</v>
      </c>
      <c r="S101" s="59">
        <f ca="1">AVERAGE(OFFSET($R$3,0,0,'Données projet'!$E$9+1,1))-AVERAGE(OFFSET($H$3,0,0,'Données projet'!$E$9+1,1))</f>
        <v>138.8931001150624</v>
      </c>
      <c r="T101" s="59">
        <f t="shared" si="88"/>
        <v>48.964659354096625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-8.5265128291212022E-14</v>
      </c>
      <c r="AJ101" s="13">
        <f>AI101*VLOOKUP('Données projet'!$B$10,Paramètres!$A$1:$I$89,3,0)*VLOOKUP('Données projet'!$B$10,Paramètres!$A$1:$I$89,5,0)</f>
        <v>-7.4487616075202836E-14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191.94797389630673</v>
      </c>
      <c r="AO101" s="59">
        <f t="shared" si="90"/>
        <v>273.52540822767878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0.66967117154681799</v>
      </c>
      <c r="AV101" s="21">
        <f>EXP(-LN(2)/25)*AV100+(1-EXP(-LN(2)/25))/(LN(2)/25)*Calculateur!AQ101*Calculateur!AS101*VLOOKUP('Données projet'!$B$10,Paramètres!$A$1:$I$89,3,0)*0.475*44/12</f>
        <v>2.1321491422678496</v>
      </c>
      <c r="AW101" s="21">
        <f>EXP(-LN(2)/2)*AW100+(1-EXP(-LN(2)/2))/(LN(2)/2)*AQ101*AT101*VLOOKUP('Données projet'!$B$10,Paramètres!$A$1:$I$89,3,0)*0.475*44/12</f>
        <v>1.350596018581964E-9</v>
      </c>
      <c r="AX101" s="21">
        <f t="shared" si="60"/>
        <v>2.8018203151652639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-3.4106051316484809E-13</v>
      </c>
      <c r="BE101" s="13">
        <f>BD101*VLOOKUP('Données projet'!$B$11,Paramètres!$A$1:$I$89,3,0)*VLOOKUP('Données projet'!$B$11,Paramètres!$A$1:$I$89,5,0)</f>
        <v>-1.9065282685915009E-13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279.98352834501759</v>
      </c>
      <c r="BJ101" s="59">
        <f t="shared" si="92"/>
        <v>281.30062655265488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1.0396104880867938</v>
      </c>
      <c r="BQ101" s="21">
        <f>EXP(-LN(2)/25)*BQ100+(1-EXP(-LN(2)/25))/(LN(2)/25)*Calculateur!BL101*Calculateur!BN101*VLOOKUP('Données projet'!$B$11,Paramètres!$A$1:$I$89,3,0)*0.475*44/12</f>
        <v>3.6770294138988739</v>
      </c>
      <c r="BR101" s="21">
        <f>EXP(-LN(2)/2)*BR100+(1-EXP(-LN(2)/2))/(LN(2)/2)*BL101*BO101*VLOOKUP('Données projet'!$B$11,Paramètres!$A$1:$I$89,3,0)*0.475*44/12</f>
        <v>1.6482745050344802E-9</v>
      </c>
      <c r="BS101" s="22">
        <f t="shared" si="63"/>
        <v>4.7166399036339417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-8.5265128291212022E-14</v>
      </c>
      <c r="BZ101" s="13">
        <f>BY101*VLOOKUP('Données projet'!$B$12,Paramètres!$A$1:$I$89,3,0)*VLOOKUP('Données projet'!$B$12,Paramètres!$A$1:$I$89,5,0)</f>
        <v>-6.2516392063116648E-14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124.15919323713428</v>
      </c>
      <c r="CE101" s="59">
        <f t="shared" si="94"/>
        <v>157.85954678210715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0.76287665449630127</v>
      </c>
      <c r="CM101" s="21">
        <f>EXP(-LN(2)/2)*CM100+(1-EXP(-LN(2)/2))/(LN(2)/2)*CG101*CJ101*VLOOKUP('Données projet'!$B$12,Paramètres!$A$1:$I$89,3,0)*0.475*44/12</f>
        <v>4.2941734119337325E-10</v>
      </c>
      <c r="CN101" s="22">
        <f t="shared" si="66"/>
        <v>0.76287665492571866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3.7</v>
      </c>
      <c r="N102" s="13">
        <f>IF('Données projet'!$A$36&gt;35,N101+M102-V101,IF(A102&lt;'Données projet'!$A$36,$K$205^A102,IF(A102='Données projet'!$A$36,'Données projet'!$B$36,N101+M102-V101)))</f>
        <v>226.29999999999998</v>
      </c>
      <c r="O102" s="13">
        <f>N102*VLOOKUP('Données projet'!$B$9,Paramètres!$A$1:$I$89,3,0)*VLOOKUP('Données projet'!$B$9,Paramètres!$A$1:$I$89,5,0)</f>
        <v>204.75623999999999</v>
      </c>
      <c r="P102" s="13">
        <f t="shared" si="87"/>
        <v>50.788011231821393</v>
      </c>
      <c r="Q102" s="20">
        <f t="shared" si="107"/>
        <v>445.07290422875553</v>
      </c>
      <c r="R102" s="59">
        <f t="shared" si="55"/>
        <v>738.40623756208879</v>
      </c>
      <c r="S102" s="59">
        <f ca="1">AVERAGE(OFFSET($R$3,0,0,'Données projet'!$E$9+1,1))-AVERAGE(OFFSET($H$3,0,0,'Données projet'!$E$9+1,1))</f>
        <v>138.8931001150624</v>
      </c>
      <c r="T102" s="59">
        <f t="shared" si="88"/>
        <v>48.964659354096625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-8.5265128291212022E-14</v>
      </c>
      <c r="AJ102" s="13">
        <f>AI102*VLOOKUP('Données projet'!$B$10,Paramètres!$A$1:$I$89,3,0)*VLOOKUP('Données projet'!$B$10,Paramètres!$A$1:$I$89,5,0)</f>
        <v>-7.4487616075202836E-14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191.94797389630673</v>
      </c>
      <c r="AO102" s="59">
        <f t="shared" si="90"/>
        <v>273.52540822767878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0.65653932833186757</v>
      </c>
      <c r="AV102" s="21">
        <f>EXP(-LN(2)/25)*AV101+(1-EXP(-LN(2)/25))/(LN(2)/25)*Calculateur!AQ102*Calculateur!AS102*VLOOKUP('Données projet'!$B$10,Paramètres!$A$1:$I$89,3,0)*0.475*44/12</f>
        <v>2.0738454118476848</v>
      </c>
      <c r="AW102" s="21">
        <f>EXP(-LN(2)/2)*AW101+(1-EXP(-LN(2)/2))/(LN(2)/2)*AQ102*AT102*VLOOKUP('Données projet'!$B$10,Paramètres!$A$1:$I$89,3,0)*0.475*44/12</f>
        <v>9.5501560338285905E-10</v>
      </c>
      <c r="AX102" s="21">
        <f t="shared" si="60"/>
        <v>2.7303847411345679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-3.4106051316484809E-13</v>
      </c>
      <c r="BE102" s="13">
        <f>BD102*VLOOKUP('Données projet'!$B$11,Paramètres!$A$1:$I$89,3,0)*VLOOKUP('Données projet'!$B$11,Paramètres!$A$1:$I$89,5,0)</f>
        <v>-1.9065282685915009E-13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279.98352834501759</v>
      </c>
      <c r="BJ102" s="59">
        <f t="shared" si="92"/>
        <v>281.30062655265488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1.0192243605151974</v>
      </c>
      <c r="BQ102" s="21">
        <f>EXP(-LN(2)/25)*BQ101+(1-EXP(-LN(2)/25))/(LN(2)/25)*Calculateur!BL102*Calculateur!BN102*VLOOKUP('Données projet'!$B$11,Paramètres!$A$1:$I$89,3,0)*0.475*44/12</f>
        <v>3.5764808512092365</v>
      </c>
      <c r="BR102" s="21">
        <f>EXP(-LN(2)/2)*BR101+(1-EXP(-LN(2)/2))/(LN(2)/2)*BL102*BO102*VLOOKUP('Données projet'!$B$11,Paramètres!$A$1:$I$89,3,0)*0.475*44/12</f>
        <v>1.1655060797667811E-9</v>
      </c>
      <c r="BS102" s="22">
        <f t="shared" si="63"/>
        <v>4.5957052128899401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-8.5265128291212022E-14</v>
      </c>
      <c r="BZ102" s="13">
        <f>BY102*VLOOKUP('Données projet'!$B$12,Paramètres!$A$1:$I$89,3,0)*VLOOKUP('Données projet'!$B$12,Paramètres!$A$1:$I$89,5,0)</f>
        <v>-6.2516392063116648E-14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124.15919323713428</v>
      </c>
      <c r="CE102" s="59">
        <f t="shared" si="94"/>
        <v>157.85954678210715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0.74201575226116023</v>
      </c>
      <c r="CM102" s="21">
        <f>EXP(-LN(2)/2)*CM101+(1-EXP(-LN(2)/2))/(LN(2)/2)*CG102*CJ102*VLOOKUP('Données projet'!$B$12,Paramètres!$A$1:$I$89,3,0)*0.475*44/12</f>
        <v>3.036439139169316E-10</v>
      </c>
      <c r="CN102" s="22">
        <f t="shared" si="66"/>
        <v>0.74201575256480412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230</v>
      </c>
      <c r="L103" s="12">
        <f>VLOOKUP(A103,'Données projet'!$A$35:$I$55,9,0)</f>
        <v>3.7</v>
      </c>
      <c r="M103" s="12">
        <f t="array" ref="M103">INDEX(L:L,MIN(IF(ISNUMBER(L103:L299),ROW(L103:L299),"")))</f>
        <v>3.7</v>
      </c>
      <c r="N103" s="13">
        <f>IF('Données projet'!$A$36&gt;35,N102+M103-V102,IF(A103&lt;'Données projet'!$A$36,$K$205^A103,IF(A103='Données projet'!$A$36,'Données projet'!$B$36,N102+M103-V102)))</f>
        <v>229.99999999999997</v>
      </c>
      <c r="O103" s="13">
        <f>N103*VLOOKUP('Données projet'!$B$9,Paramètres!$A$1:$I$89,3,0)*VLOOKUP('Données projet'!$B$9,Paramètres!$A$1:$I$89,5,0)</f>
        <v>208.10399999999998</v>
      </c>
      <c r="P103" s="13">
        <f t="shared" si="87"/>
        <v>51.52104354893045</v>
      </c>
      <c r="Q103" s="20">
        <f t="shared" si="107"/>
        <v>452.18028418105382</v>
      </c>
      <c r="R103" s="59">
        <f t="shared" si="55"/>
        <v>745.51361751438708</v>
      </c>
      <c r="S103" s="59">
        <f ca="1">AVERAGE(OFFSET($R$3,0,0,'Données projet'!$E$9+1,1))-AVERAGE(OFFSET($H$3,0,0,'Données projet'!$E$9+1,1))</f>
        <v>138.8931001150624</v>
      </c>
      <c r="T103" s="59">
        <f t="shared" si="88"/>
        <v>48.964659354096625</v>
      </c>
      <c r="U103" s="15">
        <f>IF(ISNA(VLOOKUP(A103,'Données projet'!$A$35:$I$55,3,0)),0,VLOOKUP(A103,'Données projet'!$A$35:$I$55,3,0))</f>
        <v>7</v>
      </c>
      <c r="V103" s="15">
        <f>IF(ISNA(VLOOKUP(A103,'Données projet'!$A$35:$I$55,4,0)),0,VLOOKUP(A103,'Données projet'!$A$35:$I$55,4,0))</f>
        <v>28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-8.5265128291212022E-14</v>
      </c>
      <c r="AJ103" s="13">
        <f>AI103*VLOOKUP('Données projet'!$B$10,Paramètres!$A$1:$I$89,3,0)*VLOOKUP('Données projet'!$B$10,Paramètres!$A$1:$I$89,5,0)</f>
        <v>-7.4487616075202836E-14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191.94797389630673</v>
      </c>
      <c r="AO103" s="59">
        <f t="shared" si="90"/>
        <v>273.52540822767878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0.6436649925527288</v>
      </c>
      <c r="AV103" s="21">
        <f>EXP(-LN(2)/25)*AV102+(1-EXP(-LN(2)/25))/(LN(2)/25)*Calculateur!AQ103*Calculateur!AS103*VLOOKUP('Données projet'!$B$10,Paramètres!$A$1:$I$89,3,0)*0.475*44/12</f>
        <v>2.0171360000019196</v>
      </c>
      <c r="AW103" s="21">
        <f>EXP(-LN(2)/2)*AW102+(1-EXP(-LN(2)/2))/(LN(2)/2)*AQ103*AT103*VLOOKUP('Données projet'!$B$10,Paramètres!$A$1:$I$89,3,0)*0.475*44/12</f>
        <v>6.7529800929098199E-10</v>
      </c>
      <c r="AX103" s="21">
        <f t="shared" si="60"/>
        <v>2.6608009932299463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-3.4106051316484809E-13</v>
      </c>
      <c r="BE103" s="13">
        <f>BD103*VLOOKUP('Données projet'!$B$11,Paramètres!$A$1:$I$89,3,0)*VLOOKUP('Données projet'!$B$11,Paramètres!$A$1:$I$89,5,0)</f>
        <v>-1.9065282685915009E-13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279.98352834501759</v>
      </c>
      <c r="BJ103" s="59">
        <f t="shared" si="92"/>
        <v>281.30062655265488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0.99923799247096989</v>
      </c>
      <c r="BQ103" s="21">
        <f>EXP(-LN(2)/25)*BQ102+(1-EXP(-LN(2)/25))/(LN(2)/25)*Calculateur!BL103*Calculateur!BN103*VLOOKUP('Données projet'!$B$11,Paramètres!$A$1:$I$89,3,0)*0.475*44/12</f>
        <v>3.4786817942539661</v>
      </c>
      <c r="BR103" s="21">
        <f>EXP(-LN(2)/2)*BR102+(1-EXP(-LN(2)/2))/(LN(2)/2)*BL103*BO103*VLOOKUP('Données projet'!$B$11,Paramètres!$A$1:$I$89,3,0)*0.475*44/12</f>
        <v>8.2413725251724012E-10</v>
      </c>
      <c r="BS103" s="22">
        <f t="shared" si="63"/>
        <v>4.477919787549073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-8.5265128291212022E-14</v>
      </c>
      <c r="BZ103" s="13">
        <f>BY103*VLOOKUP('Données projet'!$B$12,Paramètres!$A$1:$I$89,3,0)*VLOOKUP('Données projet'!$B$12,Paramètres!$A$1:$I$89,5,0)</f>
        <v>-6.2516392063116648E-14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124.15919323713428</v>
      </c>
      <c r="CE103" s="59">
        <f t="shared" si="94"/>
        <v>157.85954678210715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0.72172529249466633</v>
      </c>
      <c r="CM103" s="21">
        <f>EXP(-LN(2)/2)*CM102+(1-EXP(-LN(2)/2))/(LN(2)/2)*CG103*CJ103*VLOOKUP('Données projet'!$B$12,Paramètres!$A$1:$I$89,3,0)*0.475*44/12</f>
        <v>2.1470867059668663E-10</v>
      </c>
      <c r="CN103" s="22">
        <f t="shared" si="66"/>
        <v>0.72172529270937502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3.1</v>
      </c>
      <c r="N104" s="13">
        <f>IF('Données projet'!$A$36&gt;35,N103+M104-V103,IF(A104&lt;'Données projet'!$A$36,$K$205^A104,IF(A104='Données projet'!$A$36,'Données projet'!$B$36,N103+M104-V103)))</f>
        <v>205.09999999999997</v>
      </c>
      <c r="O104" s="13">
        <f>N104*VLOOKUP('Données projet'!$B$9,Paramètres!$A$1:$I$89,3,0)*VLOOKUP('Données projet'!$B$9,Paramètres!$A$1:$I$89,5,0)</f>
        <v>185.57447999999997</v>
      </c>
      <c r="P104" s="13">
        <f t="shared" si="87"/>
        <v>46.560195221199436</v>
      </c>
      <c r="Q104" s="20">
        <f t="shared" si="107"/>
        <v>404.30122601025568</v>
      </c>
      <c r="R104" s="59">
        <f t="shared" si="55"/>
        <v>697.63455934358899</v>
      </c>
      <c r="S104" s="59">
        <f ca="1">AVERAGE(OFFSET($R$3,0,0,'Données projet'!$E$9+1,1))-AVERAGE(OFFSET($H$3,0,0,'Données projet'!$E$9+1,1))</f>
        <v>138.8931001150624</v>
      </c>
      <c r="T104" s="59">
        <f t="shared" si="88"/>
        <v>48.964659354096625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-8.5265128291212022E-14</v>
      </c>
      <c r="AJ104" s="13">
        <f>AI104*VLOOKUP('Données projet'!$B$10,Paramètres!$A$1:$I$89,3,0)*VLOOKUP('Données projet'!$B$10,Paramètres!$A$1:$I$89,5,0)</f>
        <v>-7.4487616075202836E-14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191.94797389630673</v>
      </c>
      <c r="AO104" s="59">
        <f t="shared" si="90"/>
        <v>273.52540822767878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0.63104311464564955</v>
      </c>
      <c r="AV104" s="21">
        <f>EXP(-LN(2)/25)*AV103+(1-EXP(-LN(2)/25))/(LN(2)/25)*Calculateur!AQ104*Calculateur!AS104*VLOOKUP('Données projet'!$B$10,Paramètres!$A$1:$I$89,3,0)*0.475*44/12</f>
        <v>1.9619773100052951</v>
      </c>
      <c r="AW104" s="21">
        <f>EXP(-LN(2)/2)*AW103+(1-EXP(-LN(2)/2))/(LN(2)/2)*AQ104*AT104*VLOOKUP('Données projet'!$B$10,Paramètres!$A$1:$I$89,3,0)*0.475*44/12</f>
        <v>4.7750780169142953E-10</v>
      </c>
      <c r="AX104" s="21">
        <f t="shared" si="60"/>
        <v>2.5930204251284525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-3.4106051316484809E-13</v>
      </c>
      <c r="BE104" s="13">
        <f>BD104*VLOOKUP('Données projet'!$B$11,Paramètres!$A$1:$I$89,3,0)*VLOOKUP('Données projet'!$B$11,Paramètres!$A$1:$I$89,5,0)</f>
        <v>-1.9065282685915009E-13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279.98352834501759</v>
      </c>
      <c r="BJ104" s="59">
        <f t="shared" si="92"/>
        <v>281.30062655265488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0.97964354491360894</v>
      </c>
      <c r="BQ104" s="21">
        <f>EXP(-LN(2)/25)*BQ103+(1-EXP(-LN(2)/25))/(LN(2)/25)*Calculateur!BL104*Calculateur!BN104*VLOOKUP('Données projet'!$B$11,Paramètres!$A$1:$I$89,3,0)*0.475*44/12</f>
        <v>3.3835570576541665</v>
      </c>
      <c r="BR104" s="21">
        <f>EXP(-LN(2)/2)*BR103+(1-EXP(-LN(2)/2))/(LN(2)/2)*BL104*BO104*VLOOKUP('Données projet'!$B$11,Paramètres!$A$1:$I$89,3,0)*0.475*44/12</f>
        <v>5.8275303988339057E-10</v>
      </c>
      <c r="BS104" s="22">
        <f t="shared" si="63"/>
        <v>4.3632006031505286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-8.5265128291212022E-14</v>
      </c>
      <c r="BZ104" s="13">
        <f>BY104*VLOOKUP('Données projet'!$B$12,Paramètres!$A$1:$I$89,3,0)*VLOOKUP('Données projet'!$B$12,Paramètres!$A$1:$I$89,5,0)</f>
        <v>-6.2516392063116648E-14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124.15919323713428</v>
      </c>
      <c r="CE104" s="59">
        <f t="shared" si="94"/>
        <v>157.85954678210715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0.70198967641751608</v>
      </c>
      <c r="CM104" s="21">
        <f>EXP(-LN(2)/2)*CM103+(1-EXP(-LN(2)/2))/(LN(2)/2)*CG104*CJ104*VLOOKUP('Données projet'!$B$12,Paramètres!$A$1:$I$89,3,0)*0.475*44/12</f>
        <v>1.518219569584658E-10</v>
      </c>
      <c r="CN104" s="22">
        <f t="shared" si="66"/>
        <v>0.70198967656933808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3.1</v>
      </c>
      <c r="N105" s="13">
        <f>IF('Données projet'!$A$36&gt;35,N104+M105-V104,IF(A105&lt;'Données projet'!$A$36,$K$205^A105,IF(A105='Données projet'!$A$36,'Données projet'!$B$36,N104+M105-V104)))</f>
        <v>208.19999999999996</v>
      </c>
      <c r="O105" s="13">
        <f>N105*VLOOKUP('Données projet'!$B$9,Paramètres!$A$1:$I$89,3,0)*VLOOKUP('Données projet'!$B$9,Paramètres!$A$1:$I$89,5,0)</f>
        <v>188.37935999999996</v>
      </c>
      <c r="P105" s="13">
        <f t="shared" si="87"/>
        <v>47.181473920005914</v>
      </c>
      <c r="Q105" s="20">
        <f t="shared" si="107"/>
        <v>410.26845241067684</v>
      </c>
      <c r="R105" s="59">
        <f t="shared" si="55"/>
        <v>703.60178574401016</v>
      </c>
      <c r="S105" s="59">
        <f ca="1">AVERAGE(OFFSET($R$3,0,0,'Données projet'!$E$9+1,1))-AVERAGE(OFFSET($H$3,0,0,'Données projet'!$E$9+1,1))</f>
        <v>138.8931001150624</v>
      </c>
      <c r="T105" s="59">
        <f t="shared" si="88"/>
        <v>48.964659354096625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-8.5265128291212022E-14</v>
      </c>
      <c r="AJ105" s="13">
        <f>AI105*VLOOKUP('Données projet'!$B$10,Paramètres!$A$1:$I$89,3,0)*VLOOKUP('Données projet'!$B$10,Paramètres!$A$1:$I$89,5,0)</f>
        <v>-7.4487616075202836E-14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191.94797389630673</v>
      </c>
      <c r="AO105" s="59">
        <f t="shared" si="90"/>
        <v>273.52540822767878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0.61866874406574279</v>
      </c>
      <c r="AV105" s="21">
        <f>EXP(-LN(2)/25)*AV104+(1-EXP(-LN(2)/25))/(LN(2)/25)*Calculateur!AQ105*Calculateur!AS105*VLOOKUP('Données projet'!$B$10,Paramètres!$A$1:$I$89,3,0)*0.475*44/12</f>
        <v>1.9083269372872977</v>
      </c>
      <c r="AW105" s="21">
        <f>EXP(-LN(2)/2)*AW104+(1-EXP(-LN(2)/2))/(LN(2)/2)*AQ105*AT105*VLOOKUP('Données projet'!$B$10,Paramètres!$A$1:$I$89,3,0)*0.475*44/12</f>
        <v>3.37649004645491E-10</v>
      </c>
      <c r="AX105" s="21">
        <f t="shared" si="60"/>
        <v>2.5269956816906896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-3.4106051316484809E-13</v>
      </c>
      <c r="BE105" s="13">
        <f>BD105*VLOOKUP('Données projet'!$B$11,Paramètres!$A$1:$I$89,3,0)*VLOOKUP('Données projet'!$B$11,Paramètres!$A$1:$I$89,5,0)</f>
        <v>-1.9065282685915009E-13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279.98352834501759</v>
      </c>
      <c r="BJ105" s="59">
        <f t="shared" si="92"/>
        <v>281.30062655265488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0.96043333252141494</v>
      </c>
      <c r="BQ105" s="21">
        <f>EXP(-LN(2)/25)*BQ104+(1-EXP(-LN(2)/25))/(LN(2)/25)*Calculateur!BL105*Calculateur!BN105*VLOOKUP('Données projet'!$B$11,Paramètres!$A$1:$I$89,3,0)*0.475*44/12</f>
        <v>3.291033511979081</v>
      </c>
      <c r="BR105" s="21">
        <f>EXP(-LN(2)/2)*BR104+(1-EXP(-LN(2)/2))/(LN(2)/2)*BL105*BO105*VLOOKUP('Données projet'!$B$11,Paramètres!$A$1:$I$89,3,0)*0.475*44/12</f>
        <v>4.1206862625862006E-10</v>
      </c>
      <c r="BS105" s="22">
        <f t="shared" si="63"/>
        <v>4.2514668449125645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-8.5265128291212022E-14</v>
      </c>
      <c r="BZ105" s="13">
        <f>BY105*VLOOKUP('Données projet'!$B$12,Paramètres!$A$1:$I$89,3,0)*VLOOKUP('Données projet'!$B$12,Paramètres!$A$1:$I$89,5,0)</f>
        <v>-6.2516392063116648E-14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124.15919323713428</v>
      </c>
      <c r="CE105" s="59">
        <f t="shared" si="94"/>
        <v>157.85954678210715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0.68279373179984648</v>
      </c>
      <c r="CM105" s="21">
        <f>EXP(-LN(2)/2)*CM104+(1-EXP(-LN(2)/2))/(LN(2)/2)*CG105*CJ105*VLOOKUP('Données projet'!$B$12,Paramètres!$A$1:$I$89,3,0)*0.475*44/12</f>
        <v>1.0735433529834331E-10</v>
      </c>
      <c r="CN105" s="22">
        <f t="shared" si="66"/>
        <v>0.68279373190720083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3.1</v>
      </c>
      <c r="N106" s="13">
        <f>IF('Données projet'!$A$36&gt;35,N105+M106-V105,IF(A106&lt;'Données projet'!$A$36,$K$205^A106,IF(A106='Données projet'!$A$36,'Données projet'!$B$36,N105+M106-V105)))</f>
        <v>211.29999999999995</v>
      </c>
      <c r="O106" s="13">
        <f>N106*VLOOKUP('Données projet'!$B$9,Paramètres!$A$1:$I$89,3,0)*VLOOKUP('Données projet'!$B$9,Paramètres!$A$1:$I$89,5,0)</f>
        <v>191.18423999999993</v>
      </c>
      <c r="P106" s="13">
        <f t="shared" si="87"/>
        <v>47.80167674561666</v>
      </c>
      <c r="Q106" s="20">
        <f t="shared" si="107"/>
        <v>416.23380499861554</v>
      </c>
      <c r="R106" s="59">
        <f t="shared" si="55"/>
        <v>709.56713833194885</v>
      </c>
      <c r="S106" s="59">
        <f ca="1">AVERAGE(OFFSET($R$3,0,0,'Données projet'!$E$9+1,1))-AVERAGE(OFFSET($H$3,0,0,'Données projet'!$E$9+1,1))</f>
        <v>138.8931001150624</v>
      </c>
      <c r="T106" s="59">
        <f t="shared" si="88"/>
        <v>48.964659354096625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-8.5265128291212022E-14</v>
      </c>
      <c r="AJ106" s="13">
        <f>AI106*VLOOKUP('Données projet'!$B$10,Paramètres!$A$1:$I$89,3,0)*VLOOKUP('Données projet'!$B$10,Paramètres!$A$1:$I$89,5,0)</f>
        <v>-7.4487616075202836E-14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191.94797389630673</v>
      </c>
      <c r="AO106" s="59">
        <f t="shared" si="90"/>
        <v>273.52540822767878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0.60653702734528714</v>
      </c>
      <c r="AV106" s="21">
        <f>EXP(-LN(2)/25)*AV105+(1-EXP(-LN(2)/25))/(LN(2)/25)*Calculateur!AQ106*Calculateur!AS106*VLOOKUP('Données projet'!$B$10,Paramètres!$A$1:$I$89,3,0)*0.475*44/12</f>
        <v>1.8561436368326245</v>
      </c>
      <c r="AW106" s="21">
        <f>EXP(-LN(2)/2)*AW105+(1-EXP(-LN(2)/2))/(LN(2)/2)*AQ106*AT106*VLOOKUP('Données projet'!$B$10,Paramètres!$A$1:$I$89,3,0)*0.475*44/12</f>
        <v>2.3875390084571476E-10</v>
      </c>
      <c r="AX106" s="21">
        <f t="shared" si="60"/>
        <v>2.4626806644166654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-3.4106051316484809E-13</v>
      </c>
      <c r="BE106" s="13">
        <f>BD106*VLOOKUP('Données projet'!$B$11,Paramètres!$A$1:$I$89,3,0)*VLOOKUP('Données projet'!$B$11,Paramètres!$A$1:$I$89,5,0)</f>
        <v>-1.9065282685915009E-13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279.98352834501759</v>
      </c>
      <c r="BJ106" s="59">
        <f t="shared" si="92"/>
        <v>281.30062655265488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0.94159982067715919</v>
      </c>
      <c r="BQ106" s="21">
        <f>EXP(-LN(2)/25)*BQ105+(1-EXP(-LN(2)/25))/(LN(2)/25)*Calculateur!BL106*Calculateur!BN106*VLOOKUP('Données projet'!$B$11,Paramètres!$A$1:$I$89,3,0)*0.475*44/12</f>
        <v>3.2010400275260822</v>
      </c>
      <c r="BR106" s="21">
        <f>EXP(-LN(2)/2)*BR105+(1-EXP(-LN(2)/2))/(LN(2)/2)*BL106*BO106*VLOOKUP('Données projet'!$B$11,Paramètres!$A$1:$I$89,3,0)*0.475*44/12</f>
        <v>2.9137651994169528E-10</v>
      </c>
      <c r="BS106" s="22">
        <f t="shared" si="63"/>
        <v>4.1426398484946185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-8.5265128291212022E-14</v>
      </c>
      <c r="BZ106" s="13">
        <f>BY106*VLOOKUP('Données projet'!$B$12,Paramètres!$A$1:$I$89,3,0)*VLOOKUP('Données projet'!$B$12,Paramètres!$A$1:$I$89,5,0)</f>
        <v>-6.2516392063116648E-14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124.15919323713428</v>
      </c>
      <c r="CE106" s="59">
        <f t="shared" si="94"/>
        <v>157.85954678210715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0.66412270129721784</v>
      </c>
      <c r="CM106" s="21">
        <f>EXP(-LN(2)/2)*CM105+(1-EXP(-LN(2)/2))/(LN(2)/2)*CG106*CJ106*VLOOKUP('Données projet'!$B$12,Paramètres!$A$1:$I$89,3,0)*0.475*44/12</f>
        <v>7.5910978479232899E-11</v>
      </c>
      <c r="CN106" s="22">
        <f t="shared" si="66"/>
        <v>0.66412270137312879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3.1</v>
      </c>
      <c r="N107" s="13">
        <f>IF('Données projet'!$A$36&gt;35,N106+M107-V106,IF(A107&lt;'Données projet'!$A$36,$K$205^A107,IF(A107='Données projet'!$A$36,'Données projet'!$B$36,N106+M107-V106)))</f>
        <v>214.39999999999995</v>
      </c>
      <c r="O107" s="13">
        <f>N107*VLOOKUP('Données projet'!$B$9,Paramètres!$A$1:$I$89,3,0)*VLOOKUP('Données projet'!$B$9,Paramètres!$A$1:$I$89,5,0)</f>
        <v>193.98911999999996</v>
      </c>
      <c r="P107" s="13">
        <f t="shared" si="87"/>
        <v>48.420821305775434</v>
      </c>
      <c r="Q107" s="20">
        <f t="shared" si="107"/>
        <v>422.19731444089211</v>
      </c>
      <c r="R107" s="59">
        <f t="shared" si="55"/>
        <v>715.53064777422537</v>
      </c>
      <c r="S107" s="59">
        <f ca="1">AVERAGE(OFFSET($R$3,0,0,'Données projet'!$E$9+1,1))-AVERAGE(OFFSET($H$3,0,0,'Données projet'!$E$9+1,1))</f>
        <v>138.8931001150624</v>
      </c>
      <c r="T107" s="59">
        <f t="shared" si="88"/>
        <v>48.964659354096625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-8.5265128291212022E-14</v>
      </c>
      <c r="AJ107" s="13">
        <f>AI107*VLOOKUP('Données projet'!$B$10,Paramètres!$A$1:$I$89,3,0)*VLOOKUP('Données projet'!$B$10,Paramètres!$A$1:$I$89,5,0)</f>
        <v>-7.4487616075202836E-14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191.94797389630673</v>
      </c>
      <c r="AO107" s="59">
        <f t="shared" si="90"/>
        <v>273.52540822767878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0.59464320619010314</v>
      </c>
      <c r="AV107" s="21">
        <f>EXP(-LN(2)/25)*AV106+(1-EXP(-LN(2)/25))/(LN(2)/25)*Calculateur!AQ107*Calculateur!AS107*VLOOKUP('Données projet'!$B$10,Paramètres!$A$1:$I$89,3,0)*0.475*44/12</f>
        <v>1.8053872914730849</v>
      </c>
      <c r="AW107" s="21">
        <f>EXP(-LN(2)/2)*AW106+(1-EXP(-LN(2)/2))/(LN(2)/2)*AQ107*AT107*VLOOKUP('Données projet'!$B$10,Paramètres!$A$1:$I$89,3,0)*0.475*44/12</f>
        <v>1.688245023227455E-10</v>
      </c>
      <c r="AX107" s="21">
        <f t="shared" si="60"/>
        <v>2.4000304978320126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-3.4106051316484809E-13</v>
      </c>
      <c r="BE107" s="13">
        <f>BD107*VLOOKUP('Données projet'!$B$11,Paramètres!$A$1:$I$89,3,0)*VLOOKUP('Données projet'!$B$11,Paramètres!$A$1:$I$89,5,0)</f>
        <v>-1.9065282685915009E-13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279.98352834501759</v>
      </c>
      <c r="BJ107" s="59">
        <f t="shared" si="92"/>
        <v>281.30062655265488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0.92313562251286141</v>
      </c>
      <c r="BQ107" s="21">
        <f>EXP(-LN(2)/25)*BQ106+(1-EXP(-LN(2)/25))/(LN(2)/25)*Calculateur!BL107*Calculateur!BN107*VLOOKUP('Données projet'!$B$11,Paramètres!$A$1:$I$89,3,0)*0.475*44/12</f>
        <v>3.1135074196380024</v>
      </c>
      <c r="BR107" s="21">
        <f>EXP(-LN(2)/2)*BR106+(1-EXP(-LN(2)/2))/(LN(2)/2)*BL107*BO107*VLOOKUP('Données projet'!$B$11,Paramètres!$A$1:$I$89,3,0)*0.475*44/12</f>
        <v>2.0603431312931003E-10</v>
      </c>
      <c r="BS107" s="22">
        <f t="shared" si="63"/>
        <v>4.0366430423568982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-8.5265128291212022E-14</v>
      </c>
      <c r="BZ107" s="13">
        <f>BY107*VLOOKUP('Données projet'!$B$12,Paramètres!$A$1:$I$89,3,0)*VLOOKUP('Données projet'!$B$12,Paramètres!$A$1:$I$89,5,0)</f>
        <v>-6.2516392063116648E-14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124.15919323713428</v>
      </c>
      <c r="CE107" s="59">
        <f t="shared" si="94"/>
        <v>157.85954678210715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0.6459622311055504</v>
      </c>
      <c r="CM107" s="21">
        <f>EXP(-LN(2)/2)*CM106+(1-EXP(-LN(2)/2))/(LN(2)/2)*CG107*CJ107*VLOOKUP('Données projet'!$B$12,Paramètres!$A$1:$I$89,3,0)*0.475*44/12</f>
        <v>5.3677167649171657E-11</v>
      </c>
      <c r="CN107" s="22">
        <f t="shared" si="66"/>
        <v>0.64596223115922757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3.1</v>
      </c>
      <c r="N108" s="13">
        <f>IF('Données projet'!$A$36&gt;35,N107+M108-V107,IF(A108&lt;'Données projet'!$A$36,$K$205^A108,IF(A108='Données projet'!$A$36,'Données projet'!$B$36,N107+M108-V107)))</f>
        <v>217.49999999999994</v>
      </c>
      <c r="O108" s="13">
        <f>N108*VLOOKUP('Données projet'!$B$9,Paramètres!$A$1:$I$89,3,0)*VLOOKUP('Données projet'!$B$9,Paramètres!$A$1:$I$89,5,0)</f>
        <v>196.79399999999995</v>
      </c>
      <c r="P108" s="13">
        <f t="shared" si="87"/>
        <v>49.038924669809596</v>
      </c>
      <c r="Q108" s="20">
        <f t="shared" si="107"/>
        <v>428.15901046658496</v>
      </c>
      <c r="R108" s="59">
        <f t="shared" si="55"/>
        <v>721.49234379991822</v>
      </c>
      <c r="S108" s="59">
        <f ca="1">AVERAGE(OFFSET($R$3,0,0,'Données projet'!$E$9+1,1))-AVERAGE(OFFSET($H$3,0,0,'Données projet'!$E$9+1,1))</f>
        <v>138.8931001150624</v>
      </c>
      <c r="T108" s="59">
        <f t="shared" si="88"/>
        <v>48.964659354096625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-8.5265128291212022E-14</v>
      </c>
      <c r="AJ108" s="13">
        <f>AI108*VLOOKUP('Données projet'!$B$10,Paramètres!$A$1:$I$89,3,0)*VLOOKUP('Données projet'!$B$10,Paramètres!$A$1:$I$89,5,0)</f>
        <v>-7.4487616075202836E-14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191.94797389630673</v>
      </c>
      <c r="AO108" s="59">
        <f t="shared" si="90"/>
        <v>273.52540822767878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0.5829826156132577</v>
      </c>
      <c r="AV108" s="21">
        <f>EXP(-LN(2)/25)*AV107+(1-EXP(-LN(2)/25))/(LN(2)/25)*Calculateur!AQ108*Calculateur!AS108*VLOOKUP('Données projet'!$B$10,Paramètres!$A$1:$I$89,3,0)*0.475*44/12</f>
        <v>1.756018881046562</v>
      </c>
      <c r="AW108" s="21">
        <f>EXP(-LN(2)/2)*AW107+(1-EXP(-LN(2)/2))/(LN(2)/2)*AQ108*AT108*VLOOKUP('Données projet'!$B$10,Paramètres!$A$1:$I$89,3,0)*0.475*44/12</f>
        <v>1.1937695042285738E-10</v>
      </c>
      <c r="AX108" s="21">
        <f t="shared" si="60"/>
        <v>2.3390014967791966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-3.4106051316484809E-13</v>
      </c>
      <c r="BE108" s="13">
        <f>BD108*VLOOKUP('Données projet'!$B$11,Paramètres!$A$1:$I$89,3,0)*VLOOKUP('Données projet'!$B$11,Paramètres!$A$1:$I$89,5,0)</f>
        <v>-1.9065282685915009E-13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279.98352834501759</v>
      </c>
      <c r="BJ108" s="59">
        <f t="shared" si="92"/>
        <v>281.30062655265488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0.9050334960125167</v>
      </c>
      <c r="BQ108" s="21">
        <f>EXP(-LN(2)/25)*BQ107+(1-EXP(-LN(2)/25))/(LN(2)/25)*Calculateur!BL108*Calculateur!BN108*VLOOKUP('Données projet'!$B$11,Paramètres!$A$1:$I$89,3,0)*0.475*44/12</f>
        <v>3.0283683955157619</v>
      </c>
      <c r="BR108" s="21">
        <f>EXP(-LN(2)/2)*BR107+(1-EXP(-LN(2)/2))/(LN(2)/2)*BL108*BO108*VLOOKUP('Données projet'!$B$11,Paramètres!$A$1:$I$89,3,0)*0.475*44/12</f>
        <v>1.4568825997084764E-10</v>
      </c>
      <c r="BS108" s="22">
        <f t="shared" si="63"/>
        <v>3.933401891673967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-8.5265128291212022E-14</v>
      </c>
      <c r="BZ108" s="13">
        <f>BY108*VLOOKUP('Données projet'!$B$12,Paramètres!$A$1:$I$89,3,0)*VLOOKUP('Données projet'!$B$12,Paramètres!$A$1:$I$89,5,0)</f>
        <v>-6.2516392063116648E-14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124.15919323713428</v>
      </c>
      <c r="CE108" s="59">
        <f t="shared" si="94"/>
        <v>157.85954678210715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0.62829835992629179</v>
      </c>
      <c r="CM108" s="21">
        <f>EXP(-LN(2)/2)*CM107+(1-EXP(-LN(2)/2))/(LN(2)/2)*CG108*CJ108*VLOOKUP('Données projet'!$B$12,Paramètres!$A$1:$I$89,3,0)*0.475*44/12</f>
        <v>3.795548923961645E-11</v>
      </c>
      <c r="CN108" s="22">
        <f t="shared" si="66"/>
        <v>0.62829835996424732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3.1</v>
      </c>
      <c r="N109" s="13">
        <f>IF('Données projet'!$A$36&gt;35,N108+M109-V108,IF(A109&lt;'Données projet'!$A$36,$K$205^A109,IF(A109='Données projet'!$A$36,'Données projet'!$B$36,N108+M109-V108)))</f>
        <v>220.59999999999994</v>
      </c>
      <c r="O109" s="13">
        <f>N109*VLOOKUP('Données projet'!$B$9,Paramètres!$A$1:$I$89,3,0)*VLOOKUP('Données projet'!$B$9,Paramètres!$A$1:$I$89,5,0)</f>
        <v>199.59887999999992</v>
      </c>
      <c r="P109" s="13">
        <f t="shared" si="87"/>
        <v>49.656003392528994</v>
      </c>
      <c r="Q109" s="20">
        <f t="shared" si="107"/>
        <v>434.1189219086545</v>
      </c>
      <c r="R109" s="59">
        <f t="shared" si="55"/>
        <v>727.45225524198781</v>
      </c>
      <c r="S109" s="59">
        <f ca="1">AVERAGE(OFFSET($R$3,0,0,'Données projet'!$E$9+1,1))-AVERAGE(OFFSET($H$3,0,0,'Données projet'!$E$9+1,1))</f>
        <v>138.8931001150624</v>
      </c>
      <c r="T109" s="59">
        <f t="shared" si="88"/>
        <v>48.964659354096625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-8.5265128291212022E-14</v>
      </c>
      <c r="AJ109" s="13">
        <f>AI109*VLOOKUP('Données projet'!$B$10,Paramètres!$A$1:$I$89,3,0)*VLOOKUP('Données projet'!$B$10,Paramètres!$A$1:$I$89,5,0)</f>
        <v>-7.4487616075202836E-14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191.94797389630673</v>
      </c>
      <c r="AO109" s="59">
        <f t="shared" si="90"/>
        <v>273.52540822767878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0.57155068210536619</v>
      </c>
      <c r="AV109" s="21">
        <f>EXP(-LN(2)/25)*AV108+(1-EXP(-LN(2)/25))/(LN(2)/25)*Calculateur!AQ109*Calculateur!AS109*VLOOKUP('Données projet'!$B$10,Paramètres!$A$1:$I$89,3,0)*0.475*44/12</f>
        <v>1.7080004523993242</v>
      </c>
      <c r="AW109" s="21">
        <f>EXP(-LN(2)/2)*AW108+(1-EXP(-LN(2)/2))/(LN(2)/2)*AQ109*AT109*VLOOKUP('Données projet'!$B$10,Paramètres!$A$1:$I$89,3,0)*0.475*44/12</f>
        <v>8.4412251161372749E-11</v>
      </c>
      <c r="AX109" s="21">
        <f t="shared" si="60"/>
        <v>2.2795511345891026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-3.4106051316484809E-13</v>
      </c>
      <c r="BE109" s="13">
        <f>BD109*VLOOKUP('Données projet'!$B$11,Paramètres!$A$1:$I$89,3,0)*VLOOKUP('Données projet'!$B$11,Paramètres!$A$1:$I$89,5,0)</f>
        <v>-1.9065282685915009E-13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279.98352834501759</v>
      </c>
      <c r="BJ109" s="59">
        <f t="shared" si="92"/>
        <v>281.30062655265488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0.88728634117163674</v>
      </c>
      <c r="BQ109" s="21">
        <f>EXP(-LN(2)/25)*BQ108+(1-EXP(-LN(2)/25))/(LN(2)/25)*Calculateur!BL109*Calculateur!BN109*VLOOKUP('Données projet'!$B$11,Paramètres!$A$1:$I$89,3,0)*0.475*44/12</f>
        <v>2.945557502485411</v>
      </c>
      <c r="BR109" s="21">
        <f>EXP(-LN(2)/2)*BR108+(1-EXP(-LN(2)/2))/(LN(2)/2)*BL109*BO109*VLOOKUP('Données projet'!$B$11,Paramètres!$A$1:$I$89,3,0)*0.475*44/12</f>
        <v>1.0301715656465502E-10</v>
      </c>
      <c r="BS109" s="22">
        <f t="shared" si="63"/>
        <v>3.8328438437600649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-8.5265128291212022E-14</v>
      </c>
      <c r="BZ109" s="13">
        <f>BY109*VLOOKUP('Données projet'!$B$12,Paramètres!$A$1:$I$89,3,0)*VLOOKUP('Données projet'!$B$12,Paramètres!$A$1:$I$89,5,0)</f>
        <v>-6.2516392063116648E-14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124.15919323713428</v>
      </c>
      <c r="CE109" s="59">
        <f t="shared" si="94"/>
        <v>157.85954678210715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0.61111750823333255</v>
      </c>
      <c r="CM109" s="21">
        <f>EXP(-LN(2)/2)*CM108+(1-EXP(-LN(2)/2))/(LN(2)/2)*CG109*CJ109*VLOOKUP('Données projet'!$B$12,Paramètres!$A$1:$I$89,3,0)*0.475*44/12</f>
        <v>2.6838583824585828E-11</v>
      </c>
      <c r="CN109" s="22">
        <f t="shared" si="66"/>
        <v>0.61111750826017108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3.1</v>
      </c>
      <c r="N110" s="13">
        <f>IF('Données projet'!$A$36&gt;35,N109+M110-V109,IF(A110&lt;'Données projet'!$A$36,$K$205^A110,IF(A110='Données projet'!$A$36,'Données projet'!$B$36,N109+M110-V109)))</f>
        <v>223.69999999999993</v>
      </c>
      <c r="O110" s="13">
        <f>N110*VLOOKUP('Données projet'!$B$9,Paramètres!$A$1:$I$89,3,0)*VLOOKUP('Données projet'!$B$9,Paramètres!$A$1:$I$89,5,0)</f>
        <v>202.40375999999992</v>
      </c>
      <c r="P110" s="13">
        <f t="shared" si="87"/>
        <v>50.272073536742994</v>
      </c>
      <c r="Q110" s="20">
        <f t="shared" si="107"/>
        <v>440.0770767431606</v>
      </c>
      <c r="R110" s="59">
        <f t="shared" si="55"/>
        <v>733.41041007649392</v>
      </c>
      <c r="S110" s="59">
        <f ca="1">AVERAGE(OFFSET($R$3,0,0,'Données projet'!$E$9+1,1))-AVERAGE(OFFSET($H$3,0,0,'Données projet'!$E$9+1,1))</f>
        <v>138.8931001150624</v>
      </c>
      <c r="T110" s="59">
        <f t="shared" si="88"/>
        <v>48.964659354096625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-8.5265128291212022E-14</v>
      </c>
      <c r="AJ110" s="13">
        <f>AI110*VLOOKUP('Données projet'!$B$10,Paramètres!$A$1:$I$89,3,0)*VLOOKUP('Données projet'!$B$10,Paramètres!$A$1:$I$89,5,0)</f>
        <v>-7.4487616075202836E-14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191.94797389630673</v>
      </c>
      <c r="AO110" s="59">
        <f t="shared" si="90"/>
        <v>273.52540822767878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0.5603429218407735</v>
      </c>
      <c r="AV110" s="21">
        <f>EXP(-LN(2)/25)*AV109+(1-EXP(-LN(2)/25))/(LN(2)/25)*Calculateur!AQ110*Calculateur!AS110*VLOOKUP('Données projet'!$B$10,Paramètres!$A$1:$I$89,3,0)*0.475*44/12</f>
        <v>1.6612950902086245</v>
      </c>
      <c r="AW110" s="21">
        <f>EXP(-LN(2)/2)*AW109+(1-EXP(-LN(2)/2))/(LN(2)/2)*AQ110*AT110*VLOOKUP('Données projet'!$B$10,Paramètres!$A$1:$I$89,3,0)*0.475*44/12</f>
        <v>5.9688475211428691E-11</v>
      </c>
      <c r="AX110" s="21">
        <f t="shared" si="60"/>
        <v>2.2216380121090862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-3.4106051316484809E-13</v>
      </c>
      <c r="BE110" s="13">
        <f>BD110*VLOOKUP('Données projet'!$B$11,Paramètres!$A$1:$I$89,3,0)*VLOOKUP('Données projet'!$B$11,Paramètres!$A$1:$I$89,5,0)</f>
        <v>-1.9065282685915009E-13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279.98352834501759</v>
      </c>
      <c r="BJ110" s="59">
        <f t="shared" si="92"/>
        <v>281.30062655265488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0.86988719721249086</v>
      </c>
      <c r="BQ110" s="21">
        <f>EXP(-LN(2)/25)*BQ109+(1-EXP(-LN(2)/25))/(LN(2)/25)*Calculateur!BL110*Calculateur!BN110*VLOOKUP('Données projet'!$B$11,Paramètres!$A$1:$I$89,3,0)*0.475*44/12</f>
        <v>2.8650110776798106</v>
      </c>
      <c r="BR110" s="21">
        <f>EXP(-LN(2)/2)*BR109+(1-EXP(-LN(2)/2))/(LN(2)/2)*BL110*BO110*VLOOKUP('Données projet'!$B$11,Paramètres!$A$1:$I$89,3,0)*0.475*44/12</f>
        <v>7.2844129985423821E-11</v>
      </c>
      <c r="BS110" s="22">
        <f t="shared" si="63"/>
        <v>3.7348982749651451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-8.5265128291212022E-14</v>
      </c>
      <c r="BZ110" s="13">
        <f>BY110*VLOOKUP('Données projet'!$B$12,Paramètres!$A$1:$I$89,3,0)*VLOOKUP('Données projet'!$B$12,Paramètres!$A$1:$I$89,5,0)</f>
        <v>-6.2516392063116648E-14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124.15919323713428</v>
      </c>
      <c r="CE110" s="59">
        <f t="shared" si="94"/>
        <v>157.85954678210715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0.59440646783341899</v>
      </c>
      <c r="CM110" s="21">
        <f>EXP(-LN(2)/2)*CM109+(1-EXP(-LN(2)/2))/(LN(2)/2)*CG110*CJ110*VLOOKUP('Données projet'!$B$12,Paramètres!$A$1:$I$89,3,0)*0.475*44/12</f>
        <v>1.8977744619808225E-11</v>
      </c>
      <c r="CN110" s="22">
        <f t="shared" si="66"/>
        <v>0.5944064678523967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3.1</v>
      </c>
      <c r="N111" s="13">
        <f>IF('Données projet'!$A$36&gt;35,N110+M111-V110,IF(A111&lt;'Données projet'!$A$36,$K$205^A111,IF(A111='Données projet'!$A$36,'Données projet'!$B$36,N110+M111-V110)))</f>
        <v>226.79999999999993</v>
      </c>
      <c r="O111" s="13">
        <f>N111*VLOOKUP('Données projet'!$B$9,Paramètres!$A$1:$I$89,3,0)*VLOOKUP('Données projet'!$B$9,Paramètres!$A$1:$I$89,5,0)</f>
        <v>205.20863999999995</v>
      </c>
      <c r="P111" s="13">
        <f t="shared" si="87"/>
        <v>50.887150694493549</v>
      </c>
      <c r="Q111" s="20">
        <f t="shared" si="107"/>
        <v>446.03350212624281</v>
      </c>
      <c r="R111" s="59">
        <f t="shared" si="55"/>
        <v>739.36683545957612</v>
      </c>
      <c r="S111" s="59">
        <f ca="1">AVERAGE(OFFSET($R$3,0,0,'Données projet'!$E$9+1,1))-AVERAGE(OFFSET($H$3,0,0,'Données projet'!$E$9+1,1))</f>
        <v>138.8931001150624</v>
      </c>
      <c r="T111" s="59">
        <f t="shared" si="88"/>
        <v>48.964659354096625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-8.5265128291212022E-14</v>
      </c>
      <c r="AJ111" s="13">
        <f>AI111*VLOOKUP('Données projet'!$B$10,Paramètres!$A$1:$I$89,3,0)*VLOOKUP('Données projet'!$B$10,Paramètres!$A$1:$I$89,5,0)</f>
        <v>-7.4487616075202836E-14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191.94797389630673</v>
      </c>
      <c r="AO111" s="59">
        <f t="shared" si="90"/>
        <v>273.52540822767878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0.54935493891891074</v>
      </c>
      <c r="AV111" s="21">
        <f>EXP(-LN(2)/25)*AV110+(1-EXP(-LN(2)/25))/(LN(2)/25)*Calculateur!AQ111*Calculateur!AS111*VLOOKUP('Données projet'!$B$10,Paramètres!$A$1:$I$89,3,0)*0.475*44/12</f>
        <v>1.6158668886031577</v>
      </c>
      <c r="AW111" s="21">
        <f>EXP(-LN(2)/2)*AW110+(1-EXP(-LN(2)/2))/(LN(2)/2)*AQ111*AT111*VLOOKUP('Données projet'!$B$10,Paramètres!$A$1:$I$89,3,0)*0.475*44/12</f>
        <v>4.2206125580686375E-11</v>
      </c>
      <c r="AX111" s="21">
        <f t="shared" si="60"/>
        <v>2.1652218275642747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-3.4106051316484809E-13</v>
      </c>
      <c r="BE111" s="13">
        <f>BD111*VLOOKUP('Données projet'!$B$11,Paramètres!$A$1:$I$89,3,0)*VLOOKUP('Données projet'!$B$11,Paramètres!$A$1:$I$89,5,0)</f>
        <v>-1.9065282685915009E-13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279.98352834501759</v>
      </c>
      <c r="BJ111" s="59">
        <f t="shared" si="92"/>
        <v>281.30062655265488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0.85282923985395387</v>
      </c>
      <c r="BQ111" s="21">
        <f>EXP(-LN(2)/25)*BQ110+(1-EXP(-LN(2)/25))/(LN(2)/25)*Calculateur!BL111*Calculateur!BN111*VLOOKUP('Données projet'!$B$11,Paramètres!$A$1:$I$89,3,0)*0.475*44/12</f>
        <v>2.7866671990962715</v>
      </c>
      <c r="BR111" s="21">
        <f>EXP(-LN(2)/2)*BR110+(1-EXP(-LN(2)/2))/(LN(2)/2)*BL111*BO111*VLOOKUP('Données projet'!$B$11,Paramètres!$A$1:$I$89,3,0)*0.475*44/12</f>
        <v>5.1508578282327508E-11</v>
      </c>
      <c r="BS111" s="22">
        <f t="shared" si="63"/>
        <v>3.6394964390017339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-8.5265128291212022E-14</v>
      </c>
      <c r="BZ111" s="13">
        <f>BY111*VLOOKUP('Données projet'!$B$12,Paramètres!$A$1:$I$89,3,0)*VLOOKUP('Données projet'!$B$12,Paramètres!$A$1:$I$89,5,0)</f>
        <v>-6.2516392063116648E-14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124.15919323713428</v>
      </c>
      <c r="CE111" s="59">
        <f t="shared" si="94"/>
        <v>157.85954678210715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0.57815239171203658</v>
      </c>
      <c r="CM111" s="21">
        <f>EXP(-LN(2)/2)*CM110+(1-EXP(-LN(2)/2))/(LN(2)/2)*CG111*CJ111*VLOOKUP('Données projet'!$B$12,Paramètres!$A$1:$I$89,3,0)*0.475*44/12</f>
        <v>1.3419291912292914E-11</v>
      </c>
      <c r="CN111" s="22">
        <f t="shared" si="66"/>
        <v>0.57815239172545585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3.1</v>
      </c>
      <c r="N112" s="13">
        <f>IF('Données projet'!$A$36&gt;35,N111+M112-V111,IF(A112&lt;'Données projet'!$A$36,$K$205^A112,IF(A112='Données projet'!$A$36,'Données projet'!$B$36,N111+M112-V111)))</f>
        <v>229.89999999999992</v>
      </c>
      <c r="O112" s="13">
        <f>N112*VLOOKUP('Données projet'!$B$9,Paramètres!$A$1:$I$89,3,0)*VLOOKUP('Données projet'!$B$9,Paramètres!$A$1:$I$89,5,0)</f>
        <v>208.01351999999994</v>
      </c>
      <c r="P112" s="13">
        <f t="shared" si="87"/>
        <v>51.501250007095145</v>
      </c>
      <c r="Q112" s="20">
        <f t="shared" si="107"/>
        <v>451.98822442902389</v>
      </c>
      <c r="R112" s="59">
        <f t="shared" si="55"/>
        <v>745.3215577623572</v>
      </c>
      <c r="S112" s="59">
        <f ca="1">AVERAGE(OFFSET($R$3,0,0,'Données projet'!$E$9+1,1))-AVERAGE(OFFSET($H$3,0,0,'Données projet'!$E$9+1,1))</f>
        <v>138.8931001150624</v>
      </c>
      <c r="T112" s="59">
        <f t="shared" si="88"/>
        <v>48.964659354096625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-8.5265128291212022E-14</v>
      </c>
      <c r="AJ112" s="13">
        <f>AI112*VLOOKUP('Données projet'!$B$10,Paramètres!$A$1:$I$89,3,0)*VLOOKUP('Données projet'!$B$10,Paramètres!$A$1:$I$89,5,0)</f>
        <v>-7.4487616075202836E-14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191.94797389630673</v>
      </c>
      <c r="AO112" s="59">
        <f t="shared" si="90"/>
        <v>273.52540822767878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0.53858242364013786</v>
      </c>
      <c r="AV112" s="21">
        <f>EXP(-LN(2)/25)*AV111+(1-EXP(-LN(2)/25))/(LN(2)/25)*Calculateur!AQ112*Calculateur!AS112*VLOOKUP('Données projet'!$B$10,Paramètres!$A$1:$I$89,3,0)*0.475*44/12</f>
        <v>1.5716809235595579</v>
      </c>
      <c r="AW112" s="21">
        <f>EXP(-LN(2)/2)*AW111+(1-EXP(-LN(2)/2))/(LN(2)/2)*AQ112*AT112*VLOOKUP('Données projet'!$B$10,Paramètres!$A$1:$I$89,3,0)*0.475*44/12</f>
        <v>2.9844237605714345E-11</v>
      </c>
      <c r="AX112" s="21">
        <f t="shared" si="60"/>
        <v>2.11026334722954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-3.4106051316484809E-13</v>
      </c>
      <c r="BE112" s="13">
        <f>BD112*VLOOKUP('Données projet'!$B$11,Paramètres!$A$1:$I$89,3,0)*VLOOKUP('Données projet'!$B$11,Paramètres!$A$1:$I$89,5,0)</f>
        <v>-1.9065282685915009E-13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279.98352834501759</v>
      </c>
      <c r="BJ112" s="59">
        <f t="shared" si="92"/>
        <v>281.30062655265488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0.83610577863489122</v>
      </c>
      <c r="BQ112" s="21">
        <f>EXP(-LN(2)/25)*BQ111+(1-EXP(-LN(2)/25))/(LN(2)/25)*Calculateur!BL112*Calculateur!BN112*VLOOKUP('Données projet'!$B$11,Paramètres!$A$1:$I$89,3,0)*0.475*44/12</f>
        <v>2.7104656379925252</v>
      </c>
      <c r="BR112" s="21">
        <f>EXP(-LN(2)/2)*BR111+(1-EXP(-LN(2)/2))/(LN(2)/2)*BL112*BO112*VLOOKUP('Données projet'!$B$11,Paramètres!$A$1:$I$89,3,0)*0.475*44/12</f>
        <v>3.642206499271191E-11</v>
      </c>
      <c r="BS112" s="22">
        <f t="shared" si="63"/>
        <v>3.5465714166638382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-8.5265128291212022E-14</v>
      </c>
      <c r="BZ112" s="13">
        <f>BY112*VLOOKUP('Données projet'!$B$12,Paramètres!$A$1:$I$89,3,0)*VLOOKUP('Données projet'!$B$12,Paramètres!$A$1:$I$89,5,0)</f>
        <v>-6.2516392063116648E-14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124.15919323713428</v>
      </c>
      <c r="CE112" s="59">
        <f t="shared" si="94"/>
        <v>157.85954678210715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0.56234278415695804</v>
      </c>
      <c r="CM112" s="21">
        <f>EXP(-LN(2)/2)*CM111+(1-EXP(-LN(2)/2))/(LN(2)/2)*CG112*CJ112*VLOOKUP('Données projet'!$B$12,Paramètres!$A$1:$I$89,3,0)*0.475*44/12</f>
        <v>9.4888723099041124E-12</v>
      </c>
      <c r="CN112" s="22">
        <f t="shared" si="66"/>
        <v>0.5623427841664469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233</v>
      </c>
      <c r="L113" s="12">
        <f>VLOOKUP(A113,'Données projet'!$A$35:$I$55,9,0)</f>
        <v>3.1</v>
      </c>
      <c r="M113" s="12">
        <f t="array" ref="M113">INDEX(L:L,MIN(IF(ISNUMBER(L113:L309),ROW(L113:L309),"")))</f>
        <v>3.1</v>
      </c>
      <c r="N113" s="13">
        <f>IF('Données projet'!$A$36&gt;35,N112+M113-V112,IF(A113&lt;'Données projet'!$A$36,$K$205^A113,IF(A113='Données projet'!$A$36,'Données projet'!$B$36,N112+M113-V112)))</f>
        <v>232.99999999999991</v>
      </c>
      <c r="O113" s="13">
        <f>N113*VLOOKUP('Données projet'!$B$9,Paramètres!$A$1:$I$89,3,0)*VLOOKUP('Données projet'!$B$9,Paramètres!$A$1:$I$89,5,0)</f>
        <v>210.81839999999988</v>
      </c>
      <c r="P113" s="13">
        <f t="shared" si="87"/>
        <v>52.114386184062155</v>
      </c>
      <c r="Q113" s="20">
        <f t="shared" si="107"/>
        <v>457.94126927057465</v>
      </c>
      <c r="R113" s="59">
        <f t="shared" si="55"/>
        <v>751.27460260390797</v>
      </c>
      <c r="S113" s="59">
        <f ca="1">AVERAGE(OFFSET($R$3,0,0,'Données projet'!$E$9+1,1))-AVERAGE(OFFSET($H$3,0,0,'Données projet'!$E$9+1,1))</f>
        <v>138.8931001150624</v>
      </c>
      <c r="T113" s="59">
        <f t="shared" si="88"/>
        <v>48.964659354096625</v>
      </c>
      <c r="U113" s="15">
        <f>IF(ISNA(VLOOKUP(A113,'Données projet'!$A$35:$I$55,3,0)),0,VLOOKUP(A113,'Données projet'!$A$35:$I$55,3,0))</f>
        <v>8</v>
      </c>
      <c r="V113" s="15">
        <f>IF(ISNA(VLOOKUP(A113,'Données projet'!$A$35:$I$55,4,0)),0,VLOOKUP(A113,'Données projet'!$A$35:$I$55,4,0))</f>
        <v>27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-8.5265128291212022E-14</v>
      </c>
      <c r="AJ113" s="13">
        <f>AI113*VLOOKUP('Données projet'!$B$10,Paramètres!$A$1:$I$89,3,0)*VLOOKUP('Données projet'!$B$10,Paramètres!$A$1:$I$89,5,0)</f>
        <v>-7.4487616075202836E-14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191.94797389630673</v>
      </c>
      <c r="AO113" s="59">
        <f t="shared" si="90"/>
        <v>273.52540822767878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0.52802115081539625</v>
      </c>
      <c r="AV113" s="21">
        <f>EXP(-LN(2)/25)*AV112+(1-EXP(-LN(2)/25))/(LN(2)/25)*Calculateur!AQ113*Calculateur!AS113*VLOOKUP('Données projet'!$B$10,Paramètres!$A$1:$I$89,3,0)*0.475*44/12</f>
        <v>1.5287032260537141</v>
      </c>
      <c r="AW113" s="21">
        <f>EXP(-LN(2)/2)*AW112+(1-EXP(-LN(2)/2))/(LN(2)/2)*AQ113*AT113*VLOOKUP('Données projet'!$B$10,Paramètres!$A$1:$I$89,3,0)*0.475*44/12</f>
        <v>2.1103062790343187E-11</v>
      </c>
      <c r="AX113" s="21">
        <f t="shared" si="60"/>
        <v>2.0567243768902133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-3.4106051316484809E-13</v>
      </c>
      <c r="BE113" s="13">
        <f>BD113*VLOOKUP('Données projet'!$B$11,Paramètres!$A$1:$I$89,3,0)*VLOOKUP('Données projet'!$B$11,Paramètres!$A$1:$I$89,5,0)</f>
        <v>-1.9065282685915009E-13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279.98352834501759</v>
      </c>
      <c r="BJ113" s="59">
        <f t="shared" si="92"/>
        <v>281.30062655265488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0.81971025429003019</v>
      </c>
      <c r="BQ113" s="21">
        <f>EXP(-LN(2)/25)*BQ112+(1-EXP(-LN(2)/25))/(LN(2)/25)*Calculateur!BL113*Calculateur!BN113*VLOOKUP('Données projet'!$B$11,Paramètres!$A$1:$I$89,3,0)*0.475*44/12</f>
        <v>2.6363478125844266</v>
      </c>
      <c r="BR113" s="21">
        <f>EXP(-LN(2)/2)*BR112+(1-EXP(-LN(2)/2))/(LN(2)/2)*BL113*BO113*VLOOKUP('Données projet'!$B$11,Paramètres!$A$1:$I$89,3,0)*0.475*44/12</f>
        <v>2.5754289141163754E-11</v>
      </c>
      <c r="BS113" s="22">
        <f t="shared" si="63"/>
        <v>3.4560580669002112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-8.5265128291212022E-14</v>
      </c>
      <c r="BZ113" s="13">
        <f>BY113*VLOOKUP('Données projet'!$B$12,Paramètres!$A$1:$I$89,3,0)*VLOOKUP('Données projet'!$B$12,Paramètres!$A$1:$I$89,5,0)</f>
        <v>-6.2516392063116648E-14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124.15919323713428</v>
      </c>
      <c r="CE113" s="59">
        <f t="shared" si="94"/>
        <v>157.85954678210715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0.54696549115186421</v>
      </c>
      <c r="CM113" s="21">
        <f>EXP(-LN(2)/2)*CM112+(1-EXP(-LN(2)/2))/(LN(2)/2)*CG113*CJ113*VLOOKUP('Données projet'!$B$12,Paramètres!$A$1:$I$89,3,0)*0.475*44/12</f>
        <v>6.7096459561464571E-12</v>
      </c>
      <c r="CN113" s="22">
        <f t="shared" si="66"/>
        <v>0.54696549115857385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2.8</v>
      </c>
      <c r="N114" s="13">
        <f>IF('Données projet'!$A$36&gt;35,N113+M114-V113,IF(A114&lt;'Données projet'!$A$36,$K$205^A114,IF(A114='Données projet'!$A$36,'Données projet'!$B$36,N113+M114-V113)))</f>
        <v>208.79999999999993</v>
      </c>
      <c r="O114" s="13">
        <f>N114*VLOOKUP('Données projet'!$B$9,Paramètres!$A$1:$I$89,3,0)*VLOOKUP('Données projet'!$B$9,Paramètres!$A$1:$I$89,5,0)</f>
        <v>188.9222399999999</v>
      </c>
      <c r="P114" s="13">
        <f t="shared" si="87"/>
        <v>47.301596587245974</v>
      </c>
      <c r="Q114" s="20">
        <f t="shared" si="107"/>
        <v>411.42318205611986</v>
      </c>
      <c r="R114" s="59">
        <f t="shared" si="55"/>
        <v>704.75651538945317</v>
      </c>
      <c r="S114" s="59">
        <f ca="1">AVERAGE(OFFSET($R$3,0,0,'Données projet'!$E$9+1,1))-AVERAGE(OFFSET($H$3,0,0,'Données projet'!$E$9+1,1))</f>
        <v>138.8931001150624</v>
      </c>
      <c r="T114" s="59">
        <f t="shared" si="88"/>
        <v>48.964659354096625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-8.5265128291212022E-14</v>
      </c>
      <c r="AJ114" s="13">
        <f>AI114*VLOOKUP('Données projet'!$B$10,Paramètres!$A$1:$I$89,3,0)*VLOOKUP('Données projet'!$B$10,Paramètres!$A$1:$I$89,5,0)</f>
        <v>-7.4487616075202836E-14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191.94797389630673</v>
      </c>
      <c r="AO114" s="59">
        <f t="shared" si="90"/>
        <v>273.52540822767878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0.51766697810900741</v>
      </c>
      <c r="AV114" s="21">
        <f>EXP(-LN(2)/25)*AV113+(1-EXP(-LN(2)/25))/(LN(2)/25)*Calculateur!AQ114*Calculateur!AS114*VLOOKUP('Données projet'!$B$10,Paramètres!$A$1:$I$89,3,0)*0.475*44/12</f>
        <v>1.4869007559462666</v>
      </c>
      <c r="AW114" s="21">
        <f>EXP(-LN(2)/2)*AW113+(1-EXP(-LN(2)/2))/(LN(2)/2)*AQ114*AT114*VLOOKUP('Données projet'!$B$10,Paramètres!$A$1:$I$89,3,0)*0.475*44/12</f>
        <v>1.4922118802857173E-11</v>
      </c>
      <c r="AX114" s="21">
        <f t="shared" si="60"/>
        <v>2.0045677340701964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-3.4106051316484809E-13</v>
      </c>
      <c r="BE114" s="13">
        <f>BD114*VLOOKUP('Données projet'!$B$11,Paramètres!$A$1:$I$89,3,0)*VLOOKUP('Données projet'!$B$11,Paramètres!$A$1:$I$89,5,0)</f>
        <v>-1.9065282685915009E-13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279.98352834501759</v>
      </c>
      <c r="BJ114" s="59">
        <f t="shared" si="92"/>
        <v>281.30062655265488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0.80363623617728952</v>
      </c>
      <c r="BQ114" s="21">
        <f>EXP(-LN(2)/25)*BQ113+(1-EXP(-LN(2)/25))/(LN(2)/25)*Calculateur!BL114*Calculateur!BN114*VLOOKUP('Données projet'!$B$11,Paramètres!$A$1:$I$89,3,0)*0.475*44/12</f>
        <v>2.5642567430097993</v>
      </c>
      <c r="BR114" s="21">
        <f>EXP(-LN(2)/2)*BR113+(1-EXP(-LN(2)/2))/(LN(2)/2)*BL114*BO114*VLOOKUP('Données projet'!$B$11,Paramètres!$A$1:$I$89,3,0)*0.475*44/12</f>
        <v>1.8211032496355955E-11</v>
      </c>
      <c r="BS114" s="22">
        <f t="shared" si="63"/>
        <v>3.3678929792053003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-8.5265128291212022E-14</v>
      </c>
      <c r="BZ114" s="13">
        <f>BY114*VLOOKUP('Données projet'!$B$12,Paramètres!$A$1:$I$89,3,0)*VLOOKUP('Données projet'!$B$12,Paramètres!$A$1:$I$89,5,0)</f>
        <v>-6.2516392063116648E-14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124.15919323713428</v>
      </c>
      <c r="CE114" s="59">
        <f t="shared" si="94"/>
        <v>157.85954678210715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0.53200869103265136</v>
      </c>
      <c r="CM114" s="21">
        <f>EXP(-LN(2)/2)*CM113+(1-EXP(-LN(2)/2))/(LN(2)/2)*CG114*CJ114*VLOOKUP('Données projet'!$B$12,Paramètres!$A$1:$I$89,3,0)*0.475*44/12</f>
        <v>4.7444361549520562E-12</v>
      </c>
      <c r="CN114" s="22">
        <f t="shared" si="66"/>
        <v>0.53200869103739579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2.8</v>
      </c>
      <c r="N115" s="13">
        <f>IF('Données projet'!$A$36&gt;35,N114+M115-V114,IF(A115&lt;'Données projet'!$A$36,$K$205^A115,IF(A115='Données projet'!$A$36,'Données projet'!$B$36,N114+M115-V114)))</f>
        <v>211.59999999999994</v>
      </c>
      <c r="O115" s="13">
        <f>N115*VLOOKUP('Données projet'!$B$9,Paramètres!$A$1:$I$89,3,0)*VLOOKUP('Données projet'!$B$9,Paramètres!$A$1:$I$89,5,0)</f>
        <v>191.45567999999994</v>
      </c>
      <c r="P115" s="13">
        <f t="shared" si="87"/>
        <v>47.861639935303188</v>
      </c>
      <c r="Q115" s="20">
        <f t="shared" si="107"/>
        <v>416.81099888731961</v>
      </c>
      <c r="R115" s="59">
        <f t="shared" si="55"/>
        <v>710.14433222065293</v>
      </c>
      <c r="S115" s="59">
        <f ca="1">AVERAGE(OFFSET($R$3,0,0,'Données projet'!$E$9+1,1))-AVERAGE(OFFSET($H$3,0,0,'Données projet'!$E$9+1,1))</f>
        <v>138.8931001150624</v>
      </c>
      <c r="T115" s="59">
        <f t="shared" si="88"/>
        <v>48.964659354096625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-8.5265128291212022E-14</v>
      </c>
      <c r="AJ115" s="13">
        <f>AI115*VLOOKUP('Données projet'!$B$10,Paramètres!$A$1:$I$89,3,0)*VLOOKUP('Données projet'!$B$10,Paramètres!$A$1:$I$89,5,0)</f>
        <v>-7.4487616075202836E-14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191.94797389630673</v>
      </c>
      <c r="AO115" s="59">
        <f t="shared" si="90"/>
        <v>273.52540822767878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0.50751584441396913</v>
      </c>
      <c r="AV115" s="21">
        <f>EXP(-LN(2)/25)*AV114+(1-EXP(-LN(2)/25))/(LN(2)/25)*Calculateur!AQ115*Calculateur!AS115*VLOOKUP('Données projet'!$B$10,Paramètres!$A$1:$I$89,3,0)*0.475*44/12</f>
        <v>1.4462413765822035</v>
      </c>
      <c r="AW115" s="21">
        <f>EXP(-LN(2)/2)*AW114+(1-EXP(-LN(2)/2))/(LN(2)/2)*AQ115*AT115*VLOOKUP('Données projet'!$B$10,Paramètres!$A$1:$I$89,3,0)*0.475*44/12</f>
        <v>1.0551531395171594E-11</v>
      </c>
      <c r="AX115" s="21">
        <f t="shared" si="60"/>
        <v>1.9537572210067242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-3.4106051316484809E-13</v>
      </c>
      <c r="BE115" s="13">
        <f>BD115*VLOOKUP('Données projet'!$B$11,Paramètres!$A$1:$I$89,3,0)*VLOOKUP('Données projet'!$B$11,Paramètres!$A$1:$I$89,5,0)</f>
        <v>-1.9065282685915009E-13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279.98352834501759</v>
      </c>
      <c r="BJ115" s="59">
        <f t="shared" si="92"/>
        <v>281.30062655265488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0.7878774197555567</v>
      </c>
      <c r="BQ115" s="21">
        <f>EXP(-LN(2)/25)*BQ114+(1-EXP(-LN(2)/25))/(LN(2)/25)*Calculateur!BL115*Calculateur!BN115*VLOOKUP('Données projet'!$B$11,Paramètres!$A$1:$I$89,3,0)*0.475*44/12</f>
        <v>2.4941370075237947</v>
      </c>
      <c r="BR115" s="21">
        <f>EXP(-LN(2)/2)*BR114+(1-EXP(-LN(2)/2))/(LN(2)/2)*BL115*BO115*VLOOKUP('Données projet'!$B$11,Paramètres!$A$1:$I$89,3,0)*0.475*44/12</f>
        <v>1.2877144570581877E-11</v>
      </c>
      <c r="BS115" s="22">
        <f t="shared" si="63"/>
        <v>3.2820144272922289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-8.5265128291212022E-14</v>
      </c>
      <c r="BZ115" s="13">
        <f>BY115*VLOOKUP('Données projet'!$B$12,Paramètres!$A$1:$I$89,3,0)*VLOOKUP('Données projet'!$B$12,Paramètres!$A$1:$I$89,5,0)</f>
        <v>-6.2516392063116648E-14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124.15919323713428</v>
      </c>
      <c r="CE115" s="59">
        <f t="shared" si="94"/>
        <v>157.85954678210715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0.5174608853992424</v>
      </c>
      <c r="CM115" s="21">
        <f>EXP(-LN(2)/2)*CM114+(1-EXP(-LN(2)/2))/(LN(2)/2)*CG115*CJ115*VLOOKUP('Données projet'!$B$12,Paramètres!$A$1:$I$89,3,0)*0.475*44/12</f>
        <v>3.3548229780732286E-12</v>
      </c>
      <c r="CN115" s="22">
        <f t="shared" si="66"/>
        <v>0.51746088540259727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2.8</v>
      </c>
      <c r="N116" s="13">
        <f>IF('Données projet'!$A$36&gt;35,N115+M116-V115,IF(A116&lt;'Données projet'!$A$36,$K$205^A116,IF(A116='Données projet'!$A$36,'Données projet'!$B$36,N115+M116-V115)))</f>
        <v>214.39999999999995</v>
      </c>
      <c r="O116" s="13">
        <f>N116*VLOOKUP('Données projet'!$B$9,Paramètres!$A$1:$I$89,3,0)*VLOOKUP('Données projet'!$B$9,Paramètres!$A$1:$I$89,5,0)</f>
        <v>193.98911999999996</v>
      </c>
      <c r="P116" s="13">
        <f t="shared" si="87"/>
        <v>48.420821305775434</v>
      </c>
      <c r="Q116" s="20">
        <f t="shared" si="107"/>
        <v>422.19731444089211</v>
      </c>
      <c r="R116" s="59">
        <f t="shared" si="55"/>
        <v>715.53064777422537</v>
      </c>
      <c r="S116" s="59">
        <f ca="1">AVERAGE(OFFSET($R$3,0,0,'Données projet'!$E$9+1,1))-AVERAGE(OFFSET($H$3,0,0,'Données projet'!$E$9+1,1))</f>
        <v>138.8931001150624</v>
      </c>
      <c r="T116" s="59">
        <f t="shared" si="88"/>
        <v>48.964659354096625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-8.5265128291212022E-14</v>
      </c>
      <c r="AJ116" s="13">
        <f>AI116*VLOOKUP('Données projet'!$B$10,Paramètres!$A$1:$I$89,3,0)*VLOOKUP('Données projet'!$B$10,Paramètres!$A$1:$I$89,5,0)</f>
        <v>-7.4487616075202836E-14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191.94797389630673</v>
      </c>
      <c r="AO116" s="59">
        <f t="shared" si="90"/>
        <v>273.52540822767878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0.49756376825911036</v>
      </c>
      <c r="AV116" s="21">
        <f>EXP(-LN(2)/25)*AV115+(1-EXP(-LN(2)/25))/(LN(2)/25)*Calculateur!AQ116*Calculateur!AS116*VLOOKUP('Données projet'!$B$10,Paramètres!$A$1:$I$89,3,0)*0.475*44/12</f>
        <v>1.4066938300850347</v>
      </c>
      <c r="AW116" s="21">
        <f>EXP(-LN(2)/2)*AW115+(1-EXP(-LN(2)/2))/(LN(2)/2)*AQ116*AT116*VLOOKUP('Données projet'!$B$10,Paramètres!$A$1:$I$89,3,0)*0.475*44/12</f>
        <v>7.4610594014285863E-12</v>
      </c>
      <c r="AX116" s="21">
        <f t="shared" si="60"/>
        <v>1.9042575983516061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-3.4106051316484809E-13</v>
      </c>
      <c r="BE116" s="13">
        <f>BD116*VLOOKUP('Données projet'!$B$11,Paramètres!$A$1:$I$89,3,0)*VLOOKUP('Données projet'!$B$11,Paramètres!$A$1:$I$89,5,0)</f>
        <v>-1.9065282685915009E-13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279.98352834501759</v>
      </c>
      <c r="BJ116" s="59">
        <f t="shared" si="92"/>
        <v>281.30062655265488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0.77242762411192512</v>
      </c>
      <c r="BQ116" s="21">
        <f>EXP(-LN(2)/25)*BQ115+(1-EXP(-LN(2)/25))/(LN(2)/25)*Calculateur!BL116*Calculateur!BN116*VLOOKUP('Données projet'!$B$11,Paramètres!$A$1:$I$89,3,0)*0.475*44/12</f>
        <v>2.4259346998920917</v>
      </c>
      <c r="BR116" s="21">
        <f>EXP(-LN(2)/2)*BR115+(1-EXP(-LN(2)/2))/(LN(2)/2)*BL116*BO116*VLOOKUP('Données projet'!$B$11,Paramètres!$A$1:$I$89,3,0)*0.475*44/12</f>
        <v>9.1055162481779776E-12</v>
      </c>
      <c r="BS116" s="22">
        <f t="shared" si="63"/>
        <v>3.1983623240131225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-8.5265128291212022E-14</v>
      </c>
      <c r="BZ116" s="13">
        <f>BY116*VLOOKUP('Données projet'!$B$12,Paramètres!$A$1:$I$89,3,0)*VLOOKUP('Données projet'!$B$12,Paramètres!$A$1:$I$89,5,0)</f>
        <v>-6.2516392063116648E-14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124.15919323713428</v>
      </c>
      <c r="CE116" s="59">
        <f t="shared" si="94"/>
        <v>157.85954678210715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0.5033108902759148</v>
      </c>
      <c r="CM116" s="21">
        <f>EXP(-LN(2)/2)*CM115+(1-EXP(-LN(2)/2))/(LN(2)/2)*CG116*CJ116*VLOOKUP('Données projet'!$B$12,Paramètres!$A$1:$I$89,3,0)*0.475*44/12</f>
        <v>2.3722180774760281E-12</v>
      </c>
      <c r="CN116" s="22">
        <f t="shared" si="66"/>
        <v>0.50331089027828702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2.8</v>
      </c>
      <c r="N117" s="13">
        <f>IF('Données projet'!$A$36&gt;35,N116+M117-V116,IF(A117&lt;'Données projet'!$A$36,$K$205^A117,IF(A117='Données projet'!$A$36,'Données projet'!$B$36,N116+M117-V116)))</f>
        <v>217.19999999999996</v>
      </c>
      <c r="O117" s="13">
        <f>N117*VLOOKUP('Données projet'!$B$9,Paramètres!$A$1:$I$89,3,0)*VLOOKUP('Données projet'!$B$9,Paramètres!$A$1:$I$89,5,0)</f>
        <v>196.52255999999997</v>
      </c>
      <c r="P117" s="13">
        <f t="shared" si="87"/>
        <v>48.979153257338155</v>
      </c>
      <c r="Q117" s="20">
        <f t="shared" si="107"/>
        <v>427.58215058986383</v>
      </c>
      <c r="R117" s="59">
        <f t="shared" si="55"/>
        <v>720.91548392319714</v>
      </c>
      <c r="S117" s="59">
        <f ca="1">AVERAGE(OFFSET($R$3,0,0,'Données projet'!$E$9+1,1))-AVERAGE(OFFSET($H$3,0,0,'Données projet'!$E$9+1,1))</f>
        <v>138.8931001150624</v>
      </c>
      <c r="T117" s="59">
        <f t="shared" si="88"/>
        <v>48.964659354096625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-8.5265128291212022E-14</v>
      </c>
      <c r="AJ117" s="13">
        <f>AI117*VLOOKUP('Données projet'!$B$10,Paramètres!$A$1:$I$89,3,0)*VLOOKUP('Données projet'!$B$10,Paramètres!$A$1:$I$89,5,0)</f>
        <v>-7.4487616075202836E-14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191.94797389630673</v>
      </c>
      <c r="AO117" s="59">
        <f t="shared" si="90"/>
        <v>273.52540822767878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0.48780684624748127</v>
      </c>
      <c r="AV117" s="21">
        <f>EXP(-LN(2)/25)*AV116+(1-EXP(-LN(2)/25))/(LN(2)/25)*Calculateur!AQ117*Calculateur!AS117*VLOOKUP('Données projet'!$B$10,Paramètres!$A$1:$I$89,3,0)*0.475*44/12</f>
        <v>1.3682277133265459</v>
      </c>
      <c r="AW117" s="21">
        <f>EXP(-LN(2)/2)*AW116+(1-EXP(-LN(2)/2))/(LN(2)/2)*AQ117*AT117*VLOOKUP('Données projet'!$B$10,Paramètres!$A$1:$I$89,3,0)*0.475*44/12</f>
        <v>5.2757656975857968E-12</v>
      </c>
      <c r="AX117" s="21">
        <f t="shared" si="60"/>
        <v>1.8560345595793031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-3.4106051316484809E-13</v>
      </c>
      <c r="BE117" s="13">
        <f>BD117*VLOOKUP('Données projet'!$B$11,Paramètres!$A$1:$I$89,3,0)*VLOOKUP('Données projet'!$B$11,Paramètres!$A$1:$I$89,5,0)</f>
        <v>-1.9065282685915009E-13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279.98352834501759</v>
      </c>
      <c r="BJ117" s="59">
        <f t="shared" si="92"/>
        <v>281.30062655265488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0.75728078953742028</v>
      </c>
      <c r="BQ117" s="21">
        <f>EXP(-LN(2)/25)*BQ116+(1-EXP(-LN(2)/25))/(LN(2)/25)*Calculateur!BL117*Calculateur!BN117*VLOOKUP('Données projet'!$B$11,Paramètres!$A$1:$I$89,3,0)*0.475*44/12</f>
        <v>2.3595973879491812</v>
      </c>
      <c r="BR117" s="21">
        <f>EXP(-LN(2)/2)*BR116+(1-EXP(-LN(2)/2))/(LN(2)/2)*BL117*BO117*VLOOKUP('Données projet'!$B$11,Paramètres!$A$1:$I$89,3,0)*0.475*44/12</f>
        <v>6.4385722852909385E-12</v>
      </c>
      <c r="BS117" s="22">
        <f t="shared" si="63"/>
        <v>3.1168781774930396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-8.5265128291212022E-14</v>
      </c>
      <c r="BZ117" s="13">
        <f>BY117*VLOOKUP('Données projet'!$B$12,Paramètres!$A$1:$I$89,3,0)*VLOOKUP('Données projet'!$B$12,Paramètres!$A$1:$I$89,5,0)</f>
        <v>-6.2516392063116648E-14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124.15919323713428</v>
      </c>
      <c r="CE117" s="59">
        <f t="shared" si="94"/>
        <v>157.85954678210715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0.48954782751335052</v>
      </c>
      <c r="CM117" s="21">
        <f>EXP(-LN(2)/2)*CM116+(1-EXP(-LN(2)/2))/(LN(2)/2)*CG117*CJ117*VLOOKUP('Données projet'!$B$12,Paramètres!$A$1:$I$89,3,0)*0.475*44/12</f>
        <v>1.6774114890366143E-12</v>
      </c>
      <c r="CN117" s="22">
        <f t="shared" si="66"/>
        <v>0.48954782751502796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2.8</v>
      </c>
      <c r="N118" s="13">
        <f>IF('Données projet'!$A$36&gt;35,N117+M118-V117,IF(A118&lt;'Données projet'!$A$36,$K$205^A118,IF(A118='Données projet'!$A$36,'Données projet'!$B$36,N117+M118-V117)))</f>
        <v>219.99999999999997</v>
      </c>
      <c r="O118" s="13">
        <f>N118*VLOOKUP('Données projet'!$B$9,Paramètres!$A$1:$I$89,3,0)*VLOOKUP('Données projet'!$B$9,Paramètres!$A$1:$I$89,5,0)</f>
        <v>199.05599999999998</v>
      </c>
      <c r="P118" s="13">
        <f t="shared" si="87"/>
        <v>49.536648006253934</v>
      </c>
      <c r="Q118" s="20">
        <f t="shared" si="107"/>
        <v>432.96552861089225</v>
      </c>
      <c r="R118" s="59">
        <f t="shared" si="55"/>
        <v>726.29886194422556</v>
      </c>
      <c r="S118" s="59">
        <f ca="1">AVERAGE(OFFSET($R$3,0,0,'Données projet'!$E$9+1,1))-AVERAGE(OFFSET($H$3,0,0,'Données projet'!$E$9+1,1))</f>
        <v>138.8931001150624</v>
      </c>
      <c r="T118" s="59">
        <f t="shared" si="88"/>
        <v>48.964659354096625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-8.5265128291212022E-14</v>
      </c>
      <c r="AJ118" s="13">
        <f>AI118*VLOOKUP('Données projet'!$B$10,Paramètres!$A$1:$I$89,3,0)*VLOOKUP('Données projet'!$B$10,Paramètres!$A$1:$I$89,5,0)</f>
        <v>-7.4487616075202836E-14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191.94797389630673</v>
      </c>
      <c r="AO118" s="59">
        <f t="shared" si="90"/>
        <v>273.52540822767878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0.47824125152536545</v>
      </c>
      <c r="AV118" s="21">
        <f>EXP(-LN(2)/25)*AV117+(1-EXP(-LN(2)/25))/(LN(2)/25)*Calculateur!AQ118*Calculateur!AS118*VLOOKUP('Données projet'!$B$10,Paramètres!$A$1:$I$89,3,0)*0.475*44/12</f>
        <v>1.3308134545536632</v>
      </c>
      <c r="AW118" s="21">
        <f>EXP(-LN(2)/2)*AW117+(1-EXP(-LN(2)/2))/(LN(2)/2)*AQ118*AT118*VLOOKUP('Données projet'!$B$10,Paramètres!$A$1:$I$89,3,0)*0.475*44/12</f>
        <v>3.7305297007142932E-12</v>
      </c>
      <c r="AX118" s="21">
        <f t="shared" si="60"/>
        <v>1.8090547060827593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-3.4106051316484809E-13</v>
      </c>
      <c r="BE118" s="13">
        <f>BD118*VLOOKUP('Données projet'!$B$11,Paramètres!$A$1:$I$89,3,0)*VLOOKUP('Données projet'!$B$11,Paramètres!$A$1:$I$89,5,0)</f>
        <v>-1.9065282685915009E-13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279.98352834501759</v>
      </c>
      <c r="BJ118" s="59">
        <f t="shared" si="92"/>
        <v>281.30062655265488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0.74243097515026468</v>
      </c>
      <c r="BQ118" s="21">
        <f>EXP(-LN(2)/25)*BQ117+(1-EXP(-LN(2)/25))/(LN(2)/25)*Calculateur!BL118*Calculateur!BN118*VLOOKUP('Données projet'!$B$11,Paramètres!$A$1:$I$89,3,0)*0.475*44/12</f>
        <v>2.2950740732898769</v>
      </c>
      <c r="BR118" s="21">
        <f>EXP(-LN(2)/2)*BR117+(1-EXP(-LN(2)/2))/(LN(2)/2)*BL118*BO118*VLOOKUP('Données projet'!$B$11,Paramètres!$A$1:$I$89,3,0)*0.475*44/12</f>
        <v>4.5527581240889888E-12</v>
      </c>
      <c r="BS118" s="22">
        <f t="shared" si="63"/>
        <v>3.0375050484446944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-8.5265128291212022E-14</v>
      </c>
      <c r="BZ118" s="13">
        <f>BY118*VLOOKUP('Données projet'!$B$12,Paramètres!$A$1:$I$89,3,0)*VLOOKUP('Données projet'!$B$12,Paramètres!$A$1:$I$89,5,0)</f>
        <v>-6.2516392063116648E-14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124.15919323713428</v>
      </c>
      <c r="CE118" s="59">
        <f t="shared" si="94"/>
        <v>157.85954678210715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0.47616111642579656</v>
      </c>
      <c r="CM118" s="21">
        <f>EXP(-LN(2)/2)*CM117+(1-EXP(-LN(2)/2))/(LN(2)/2)*CG118*CJ118*VLOOKUP('Données projet'!$B$12,Paramètres!$A$1:$I$89,3,0)*0.475*44/12</f>
        <v>1.1861090387380141E-12</v>
      </c>
      <c r="CN118" s="22">
        <f t="shared" si="66"/>
        <v>0.47616111642698267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2.8</v>
      </c>
      <c r="N119" s="13">
        <f>IF('Données projet'!$A$36&gt;35,N118+M119-V118,IF(A119&lt;'Données projet'!$A$36,$K$205^A119,IF(A119='Données projet'!$A$36,'Données projet'!$B$36,N118+M119-V118)))</f>
        <v>222.79999999999998</v>
      </c>
      <c r="O119" s="13">
        <f>N119*VLOOKUP('Données projet'!$B$9,Paramètres!$A$1:$I$89,3,0)*VLOOKUP('Données projet'!$B$9,Paramètres!$A$1:$I$89,5,0)</f>
        <v>201.58944</v>
      </c>
      <c r="P119" s="13">
        <f t="shared" si="87"/>
        <v>50.093317439945402</v>
      </c>
      <c r="Q119" s="20">
        <f t="shared" si="107"/>
        <v>438.34746920790485</v>
      </c>
      <c r="R119" s="59">
        <f t="shared" si="55"/>
        <v>731.68080254123811</v>
      </c>
      <c r="S119" s="59">
        <f ca="1">AVERAGE(OFFSET($R$3,0,0,'Données projet'!$E$9+1,1))-AVERAGE(OFFSET($H$3,0,0,'Données projet'!$E$9+1,1))</f>
        <v>138.8931001150624</v>
      </c>
      <c r="T119" s="59">
        <f t="shared" si="88"/>
        <v>48.964659354096625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-8.5265128291212022E-14</v>
      </c>
      <c r="AJ119" s="13">
        <f>AI119*VLOOKUP('Données projet'!$B$10,Paramètres!$A$1:$I$89,3,0)*VLOOKUP('Données projet'!$B$10,Paramètres!$A$1:$I$89,5,0)</f>
        <v>-7.4487616075202836E-14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191.94797389630673</v>
      </c>
      <c r="AO119" s="59">
        <f t="shared" si="90"/>
        <v>273.52540822767878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0.46886323228131366</v>
      </c>
      <c r="AV119" s="21">
        <f>EXP(-LN(2)/25)*AV118+(1-EXP(-LN(2)/25))/(LN(2)/25)*Calculateur!AQ119*Calculateur!AS119*VLOOKUP('Données projet'!$B$10,Paramètres!$A$1:$I$89,3,0)*0.475*44/12</f>
        <v>1.2944222906544554</v>
      </c>
      <c r="AW119" s="21">
        <f>EXP(-LN(2)/2)*AW118+(1-EXP(-LN(2)/2))/(LN(2)/2)*AQ119*AT119*VLOOKUP('Données projet'!$B$10,Paramètres!$A$1:$I$89,3,0)*0.475*44/12</f>
        <v>2.6378828487928984E-12</v>
      </c>
      <c r="AX119" s="21">
        <f t="shared" si="60"/>
        <v>1.763285522938407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-3.4106051316484809E-13</v>
      </c>
      <c r="BE119" s="13">
        <f>BD119*VLOOKUP('Données projet'!$B$11,Paramètres!$A$1:$I$89,3,0)*VLOOKUP('Données projet'!$B$11,Paramètres!$A$1:$I$89,5,0)</f>
        <v>-1.9065282685915009E-13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279.98352834501759</v>
      </c>
      <c r="BJ119" s="59">
        <f t="shared" si="92"/>
        <v>281.30062655265488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0.72787235656574878</v>
      </c>
      <c r="BQ119" s="21">
        <f>EXP(-LN(2)/25)*BQ118+(1-EXP(-LN(2)/25))/(LN(2)/25)*Calculateur!BL119*Calculateur!BN119*VLOOKUP('Données projet'!$B$11,Paramètres!$A$1:$I$89,3,0)*0.475*44/12</f>
        <v>2.2323151520630651</v>
      </c>
      <c r="BR119" s="21">
        <f>EXP(-LN(2)/2)*BR118+(1-EXP(-LN(2)/2))/(LN(2)/2)*BL119*BO119*VLOOKUP('Données projet'!$B$11,Paramètres!$A$1:$I$89,3,0)*0.475*44/12</f>
        <v>3.2192861426454692E-12</v>
      </c>
      <c r="BS119" s="22">
        <f t="shared" si="63"/>
        <v>2.9601875086320333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-8.5265128291212022E-14</v>
      </c>
      <c r="BZ119" s="13">
        <f>BY119*VLOOKUP('Données projet'!$B$12,Paramètres!$A$1:$I$89,3,0)*VLOOKUP('Données projet'!$B$12,Paramètres!$A$1:$I$89,5,0)</f>
        <v>-6.2516392063116648E-14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124.15919323713428</v>
      </c>
      <c r="CE119" s="59">
        <f t="shared" si="94"/>
        <v>157.85954678210715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0.46314046565690831</v>
      </c>
      <c r="CM119" s="21">
        <f>EXP(-LN(2)/2)*CM118+(1-EXP(-LN(2)/2))/(LN(2)/2)*CG119*CJ119*VLOOKUP('Données projet'!$B$12,Paramètres!$A$1:$I$89,3,0)*0.475*44/12</f>
        <v>8.3870574451830714E-13</v>
      </c>
      <c r="CN119" s="22">
        <f t="shared" si="66"/>
        <v>0.46314046565774702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2.8</v>
      </c>
      <c r="N120" s="13">
        <f>IF('Données projet'!$A$36&gt;35,N119+M120-V119,IF(A120&lt;'Données projet'!$A$36,$K$205^A120,IF(A120='Données projet'!$A$36,'Données projet'!$B$36,N119+M120-V119)))</f>
        <v>225.6</v>
      </c>
      <c r="O120" s="13">
        <f>N120*VLOOKUP('Données projet'!$B$9,Paramètres!$A$1:$I$89,3,0)*VLOOKUP('Données projet'!$B$9,Paramètres!$A$1:$I$89,5,0)</f>
        <v>204.12287999999998</v>
      </c>
      <c r="P120" s="13">
        <f t="shared" si="87"/>
        <v>50.649173129865886</v>
      </c>
      <c r="Q120" s="20">
        <f t="shared" si="107"/>
        <v>443.72799253451632</v>
      </c>
      <c r="R120" s="59">
        <f t="shared" si="55"/>
        <v>737.06132586784963</v>
      </c>
      <c r="S120" s="59">
        <f ca="1">AVERAGE(OFFSET($R$3,0,0,'Données projet'!$E$9+1,1))-AVERAGE(OFFSET($H$3,0,0,'Données projet'!$E$9+1,1))</f>
        <v>138.8931001150624</v>
      </c>
      <c r="T120" s="59">
        <f t="shared" si="88"/>
        <v>48.964659354096625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-8.5265128291212022E-14</v>
      </c>
      <c r="AJ120" s="13">
        <f>AI120*VLOOKUP('Données projet'!$B$10,Paramètres!$A$1:$I$89,3,0)*VLOOKUP('Données projet'!$B$10,Paramètres!$A$1:$I$89,5,0)</f>
        <v>-7.4487616075202836E-14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191.94797389630673</v>
      </c>
      <c r="AO120" s="59">
        <f t="shared" si="90"/>
        <v>273.52540822767878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0.45966911027461077</v>
      </c>
      <c r="AV120" s="21">
        <f>EXP(-LN(2)/25)*AV119+(1-EXP(-LN(2)/25))/(LN(2)/25)*Calculateur!AQ120*Calculateur!AS120*VLOOKUP('Données projet'!$B$10,Paramètres!$A$1:$I$89,3,0)*0.475*44/12</f>
        <v>1.2590262450457994</v>
      </c>
      <c r="AW120" s="21">
        <f>EXP(-LN(2)/2)*AW119+(1-EXP(-LN(2)/2))/(LN(2)/2)*AQ120*AT120*VLOOKUP('Données projet'!$B$10,Paramètres!$A$1:$I$89,3,0)*0.475*44/12</f>
        <v>1.8652648503571466E-12</v>
      </c>
      <c r="AX120" s="21">
        <f t="shared" si="60"/>
        <v>1.7186953553222755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-3.4106051316484809E-13</v>
      </c>
      <c r="BE120" s="13">
        <f>BD120*VLOOKUP('Données projet'!$B$11,Paramètres!$A$1:$I$89,3,0)*VLOOKUP('Données projet'!$B$11,Paramètres!$A$1:$I$89,5,0)</f>
        <v>-1.9065282685915009E-13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279.98352834501759</v>
      </c>
      <c r="BJ120" s="59">
        <f t="shared" si="92"/>
        <v>281.30062655265488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0.71359922361179473</v>
      </c>
      <c r="BQ120" s="21">
        <f>EXP(-LN(2)/25)*BQ119+(1-EXP(-LN(2)/25))/(LN(2)/25)*Calculateur!BL120*Calculateur!BN120*VLOOKUP('Données projet'!$B$11,Paramètres!$A$1:$I$89,3,0)*0.475*44/12</f>
        <v>2.1712723768375488</v>
      </c>
      <c r="BR120" s="21">
        <f>EXP(-LN(2)/2)*BR119+(1-EXP(-LN(2)/2))/(LN(2)/2)*BL120*BO120*VLOOKUP('Données projet'!$B$11,Paramètres!$A$1:$I$89,3,0)*0.475*44/12</f>
        <v>2.2763790620444944E-12</v>
      </c>
      <c r="BS120" s="22">
        <f t="shared" si="63"/>
        <v>2.8848716004516199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-8.5265128291212022E-14</v>
      </c>
      <c r="BZ120" s="13">
        <f>BY120*VLOOKUP('Données projet'!$B$12,Paramètres!$A$1:$I$89,3,0)*VLOOKUP('Données projet'!$B$12,Paramètres!$A$1:$I$89,5,0)</f>
        <v>-6.2516392063116648E-14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124.15919323713428</v>
      </c>
      <c r="CE120" s="59">
        <f t="shared" si="94"/>
        <v>157.85954678210715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0.45047586526802158</v>
      </c>
      <c r="CM120" s="21">
        <f>EXP(-LN(2)/2)*CM119+(1-EXP(-LN(2)/2))/(LN(2)/2)*CG120*CJ120*VLOOKUP('Données projet'!$B$12,Paramètres!$A$1:$I$89,3,0)*0.475*44/12</f>
        <v>5.9305451936900703E-13</v>
      </c>
      <c r="CN120" s="22">
        <f t="shared" si="66"/>
        <v>0.45047586526861466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2.8</v>
      </c>
      <c r="N121" s="13">
        <f>IF('Données projet'!$A$36&gt;35,N120+M121-V120,IF(A121&lt;'Données projet'!$A$36,$K$205^A121,IF(A121='Données projet'!$A$36,'Données projet'!$B$36,N120+M121-V120)))</f>
        <v>228.4</v>
      </c>
      <c r="O121" s="13">
        <f>N121*VLOOKUP('Données projet'!$B$9,Paramètres!$A$1:$I$89,3,0)*VLOOKUP('Données projet'!$B$9,Paramètres!$A$1:$I$89,5,0)</f>
        <v>206.65631999999997</v>
      </c>
      <c r="P121" s="13">
        <f t="shared" si="87"/>
        <v>51.20422634371338</v>
      </c>
      <c r="Q121" s="20">
        <f t="shared" si="107"/>
        <v>449.10711821530072</v>
      </c>
      <c r="R121" s="59">
        <f t="shared" si="55"/>
        <v>742.44045154863397</v>
      </c>
      <c r="S121" s="59">
        <f ca="1">AVERAGE(OFFSET($R$3,0,0,'Données projet'!$E$9+1,1))-AVERAGE(OFFSET($H$3,0,0,'Données projet'!$E$9+1,1))</f>
        <v>138.8931001150624</v>
      </c>
      <c r="T121" s="59">
        <f t="shared" si="88"/>
        <v>48.964659354096625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-8.5265128291212022E-14</v>
      </c>
      <c r="AJ121" s="13">
        <f>AI121*VLOOKUP('Données projet'!$B$10,Paramètres!$A$1:$I$89,3,0)*VLOOKUP('Données projet'!$B$10,Paramètres!$A$1:$I$89,5,0)</f>
        <v>-7.4487616075202836E-14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191.94797389630673</v>
      </c>
      <c r="AO121" s="59">
        <f t="shared" si="90"/>
        <v>273.52540822767878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0.45065527939259864</v>
      </c>
      <c r="AV121" s="21">
        <f>EXP(-LN(2)/25)*AV120+(1-EXP(-LN(2)/25))/(LN(2)/25)*Calculateur!AQ121*Calculateur!AS121*VLOOKUP('Données projet'!$B$10,Paramètres!$A$1:$I$89,3,0)*0.475*44/12</f>
        <v>1.2245981061657094</v>
      </c>
      <c r="AW121" s="21">
        <f>EXP(-LN(2)/2)*AW120+(1-EXP(-LN(2)/2))/(LN(2)/2)*AQ121*AT121*VLOOKUP('Données projet'!$B$10,Paramètres!$A$1:$I$89,3,0)*0.475*44/12</f>
        <v>1.3189414243964492E-12</v>
      </c>
      <c r="AX121" s="21">
        <f t="shared" si="60"/>
        <v>1.675253385559627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-3.4106051316484809E-13</v>
      </c>
      <c r="BE121" s="13">
        <f>BD121*VLOOKUP('Données projet'!$B$11,Paramètres!$A$1:$I$89,3,0)*VLOOKUP('Données projet'!$B$11,Paramètres!$A$1:$I$89,5,0)</f>
        <v>-1.9065282685915009E-13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279.98352834501759</v>
      </c>
      <c r="BJ121" s="59">
        <f t="shared" si="92"/>
        <v>281.30062655265488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0.69960597808931624</v>
      </c>
      <c r="BQ121" s="21">
        <f>EXP(-LN(2)/25)*BQ120+(1-EXP(-LN(2)/25))/(LN(2)/25)*Calculateur!BL121*Calculateur!BN121*VLOOKUP('Données projet'!$B$11,Paramètres!$A$1:$I$89,3,0)*0.475*44/12</f>
        <v>2.111898819510674</v>
      </c>
      <c r="BR121" s="21">
        <f>EXP(-LN(2)/2)*BR120+(1-EXP(-LN(2)/2))/(LN(2)/2)*BL121*BO121*VLOOKUP('Données projet'!$B$11,Paramètres!$A$1:$I$89,3,0)*0.475*44/12</f>
        <v>1.6096430713227346E-12</v>
      </c>
      <c r="BS121" s="22">
        <f t="shared" si="63"/>
        <v>2.8115047976016001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-8.5265128291212022E-14</v>
      </c>
      <c r="BZ121" s="13">
        <f>BY121*VLOOKUP('Données projet'!$B$12,Paramètres!$A$1:$I$89,3,0)*VLOOKUP('Données projet'!$B$12,Paramètres!$A$1:$I$89,5,0)</f>
        <v>-6.2516392063116648E-14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124.15919323713428</v>
      </c>
      <c r="CE121" s="59">
        <f t="shared" si="94"/>
        <v>157.85954678210715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0.43815757904277136</v>
      </c>
      <c r="CM121" s="21">
        <f>EXP(-LN(2)/2)*CM120+(1-EXP(-LN(2)/2))/(LN(2)/2)*CG121*CJ121*VLOOKUP('Données projet'!$B$12,Paramètres!$A$1:$I$89,3,0)*0.475*44/12</f>
        <v>4.1935287225915357E-13</v>
      </c>
      <c r="CN121" s="22">
        <f t="shared" si="66"/>
        <v>0.43815757904319069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2.8</v>
      </c>
      <c r="N122" s="13">
        <f>IF('Données projet'!$A$36&gt;35,N121+M122-V121,IF(A122&lt;'Données projet'!$A$36,$K$205^A122,IF(A122='Données projet'!$A$36,'Données projet'!$B$36,N121+M122-V121)))</f>
        <v>231.20000000000002</v>
      </c>
      <c r="O122" s="13">
        <f>N122*VLOOKUP('Données projet'!$B$9,Paramètres!$A$1:$I$89,3,0)*VLOOKUP('Données projet'!$B$9,Paramètres!$A$1:$I$89,5,0)</f>
        <v>209.18976000000001</v>
      </c>
      <c r="P122" s="13">
        <f t="shared" si="87"/>
        <v>51.758488057028018</v>
      </c>
      <c r="Q122" s="20">
        <f t="shared" si="107"/>
        <v>454.4848653659904</v>
      </c>
      <c r="R122" s="59">
        <f t="shared" si="55"/>
        <v>747.81819869932372</v>
      </c>
      <c r="S122" s="59">
        <f ca="1">AVERAGE(OFFSET($R$3,0,0,'Données projet'!$E$9+1,1))-AVERAGE(OFFSET($H$3,0,0,'Données projet'!$E$9+1,1))</f>
        <v>138.8931001150624</v>
      </c>
      <c r="T122" s="59">
        <f t="shared" si="88"/>
        <v>48.964659354096625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-8.5265128291212022E-14</v>
      </c>
      <c r="AJ122" s="13">
        <f>AI122*VLOOKUP('Données projet'!$B$10,Paramètres!$A$1:$I$89,3,0)*VLOOKUP('Données projet'!$B$10,Paramètres!$A$1:$I$89,5,0)</f>
        <v>-7.4487616075202836E-14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191.94797389630673</v>
      </c>
      <c r="AO122" s="59">
        <f t="shared" si="90"/>
        <v>273.52540822767878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0.44181820423628881</v>
      </c>
      <c r="AV122" s="21">
        <f>EXP(-LN(2)/25)*AV121+(1-EXP(-LN(2)/25))/(LN(2)/25)*Calculateur!AQ122*Calculateur!AS122*VLOOKUP('Données projet'!$B$10,Paramètres!$A$1:$I$89,3,0)*0.475*44/12</f>
        <v>1.1911114065537924</v>
      </c>
      <c r="AW122" s="21">
        <f>EXP(-LN(2)/2)*AW121+(1-EXP(-LN(2)/2))/(LN(2)/2)*AQ122*AT122*VLOOKUP('Données projet'!$B$10,Paramètres!$A$1:$I$89,3,0)*0.475*44/12</f>
        <v>9.3263242517857329E-13</v>
      </c>
      <c r="AX122" s="21">
        <f t="shared" si="60"/>
        <v>1.6329296107910138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-3.4106051316484809E-13</v>
      </c>
      <c r="BE122" s="13">
        <f>BD122*VLOOKUP('Données projet'!$B$11,Paramètres!$A$1:$I$89,3,0)*VLOOKUP('Données projet'!$B$11,Paramètres!$A$1:$I$89,5,0)</f>
        <v>-1.9065282685915009E-13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279.98352834501759</v>
      </c>
      <c r="BJ122" s="59">
        <f t="shared" si="92"/>
        <v>281.30062655265488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0.6858871315764965</v>
      </c>
      <c r="BQ122" s="21">
        <f>EXP(-LN(2)/25)*BQ121+(1-EXP(-LN(2)/25))/(LN(2)/25)*Calculateur!BL122*Calculateur!BN122*VLOOKUP('Données projet'!$B$11,Paramètres!$A$1:$I$89,3,0)*0.475*44/12</f>
        <v>2.0541488352312225</v>
      </c>
      <c r="BR122" s="21">
        <f>EXP(-LN(2)/2)*BR121+(1-EXP(-LN(2)/2))/(LN(2)/2)*BL122*BO122*VLOOKUP('Données projet'!$B$11,Paramètres!$A$1:$I$89,3,0)*0.475*44/12</f>
        <v>1.1381895310222472E-12</v>
      </c>
      <c r="BS122" s="22">
        <f t="shared" si="63"/>
        <v>2.7400359668088572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-8.5265128291212022E-14</v>
      </c>
      <c r="BZ122" s="13">
        <f>BY122*VLOOKUP('Données projet'!$B$12,Paramètres!$A$1:$I$89,3,0)*VLOOKUP('Données projet'!$B$12,Paramètres!$A$1:$I$89,5,0)</f>
        <v>-6.2516392063116648E-14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124.15919323713428</v>
      </c>
      <c r="CE122" s="59">
        <f t="shared" si="94"/>
        <v>157.85954678210715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0.42617613700214113</v>
      </c>
      <c r="CM122" s="21">
        <f>EXP(-LN(2)/2)*CM121+(1-EXP(-LN(2)/2))/(LN(2)/2)*CG122*CJ122*VLOOKUP('Données projet'!$B$12,Paramètres!$A$1:$I$89,3,0)*0.475*44/12</f>
        <v>2.9652725968450351E-13</v>
      </c>
      <c r="CN122" s="22">
        <f t="shared" si="66"/>
        <v>0.42617613700243767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234</v>
      </c>
      <c r="L123" s="12">
        <f>VLOOKUP(A123,'Données projet'!$A$35:$I$55,9,0)</f>
        <v>2.8</v>
      </c>
      <c r="M123" s="12">
        <f t="array" ref="M123">INDEX(L:L,MIN(IF(ISNUMBER(L123:L319),ROW(L123:L319),"")))</f>
        <v>2.8</v>
      </c>
      <c r="N123" s="13">
        <f>IF('Données projet'!$A$36&gt;35,N122+M123-V122,IF(A123&lt;'Données projet'!$A$36,$K$205^A123,IF(A123='Données projet'!$A$36,'Données projet'!$B$36,N122+M123-V122)))</f>
        <v>234.00000000000003</v>
      </c>
      <c r="O123" s="13">
        <f>N123*VLOOKUP('Données projet'!$B$9,Paramètres!$A$1:$I$89,3,0)*VLOOKUP('Données projet'!$B$9,Paramètres!$A$1:$I$89,5,0)</f>
        <v>211.72319999999999</v>
      </c>
      <c r="P123" s="13">
        <f t="shared" si="87"/>
        <v>52.311968964212078</v>
      </c>
      <c r="Q123" s="20">
        <f t="shared" si="107"/>
        <v>459.86125261266926</v>
      </c>
      <c r="R123" s="59">
        <f t="shared" si="55"/>
        <v>753.19458594600258</v>
      </c>
      <c r="S123" s="59">
        <f ca="1">AVERAGE(OFFSET($R$3,0,0,'Données projet'!$E$9+1,1))-AVERAGE(OFFSET($H$3,0,0,'Données projet'!$E$9+1,1))</f>
        <v>138.8931001150624</v>
      </c>
      <c r="T123" s="59">
        <f t="shared" si="88"/>
        <v>48.964659354096625</v>
      </c>
      <c r="U123" s="15">
        <f>IF(ISNA(VLOOKUP(A123,'Données projet'!$A$35:$I$55,3,0)),0,VLOOKUP(A123,'Données projet'!$A$35:$I$55,3,0))</f>
        <v>9</v>
      </c>
      <c r="V123" s="15">
        <f>IF(ISNA(VLOOKUP(A123,'Données projet'!$A$35:$I$55,4,0)),0,VLOOKUP(A123,'Données projet'!$A$35:$I$55,4,0))</f>
        <v>234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-8.5265128291212022E-14</v>
      </c>
      <c r="AJ123" s="13">
        <f>AI123*VLOOKUP('Données projet'!$B$10,Paramètres!$A$1:$I$89,3,0)*VLOOKUP('Données projet'!$B$10,Paramètres!$A$1:$I$89,5,0)</f>
        <v>-7.4487616075202836E-14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191.94797389630673</v>
      </c>
      <c r="AO123" s="59">
        <f t="shared" si="90"/>
        <v>273.52540822767878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0.43315441873371058</v>
      </c>
      <c r="AV123" s="21">
        <f>EXP(-LN(2)/25)*AV122+(1-EXP(-LN(2)/25))/(LN(2)/25)*Calculateur!AQ123*Calculateur!AS123*VLOOKUP('Données projet'!$B$10,Paramètres!$A$1:$I$89,3,0)*0.475*44/12</f>
        <v>1.1585404025037525</v>
      </c>
      <c r="AW123" s="21">
        <f>EXP(-LN(2)/2)*AW122+(1-EXP(-LN(2)/2))/(LN(2)/2)*AQ123*AT123*VLOOKUP('Données projet'!$B$10,Paramètres!$A$1:$I$89,3,0)*0.475*44/12</f>
        <v>6.594707121982246E-13</v>
      </c>
      <c r="AX123" s="21">
        <f t="shared" si="60"/>
        <v>1.5916948212381226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-3.4106051316484809E-13</v>
      </c>
      <c r="BE123" s="13">
        <f>BD123*VLOOKUP('Données projet'!$B$11,Paramètres!$A$1:$I$89,3,0)*VLOOKUP('Données projet'!$B$11,Paramètres!$A$1:$I$89,5,0)</f>
        <v>-1.9065282685915009E-13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279.98352834501759</v>
      </c>
      <c r="BJ123" s="59">
        <f t="shared" si="92"/>
        <v>281.30062655265488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0.67243730327612306</v>
      </c>
      <c r="BQ123" s="21">
        <f>EXP(-LN(2)/25)*BQ122+(1-EXP(-LN(2)/25))/(LN(2)/25)*Calculateur!BL123*Calculateur!BN123*VLOOKUP('Données projet'!$B$11,Paramètres!$A$1:$I$89,3,0)*0.475*44/12</f>
        <v>1.9979780273088323</v>
      </c>
      <c r="BR123" s="21">
        <f>EXP(-LN(2)/2)*BR122+(1-EXP(-LN(2)/2))/(LN(2)/2)*BL123*BO123*VLOOKUP('Données projet'!$B$11,Paramètres!$A$1:$I$89,3,0)*0.475*44/12</f>
        <v>8.0482153566136731E-13</v>
      </c>
      <c r="BS123" s="22">
        <f t="shared" si="63"/>
        <v>2.6704153305857599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-8.5265128291212022E-14</v>
      </c>
      <c r="BZ123" s="13">
        <f>BY123*VLOOKUP('Données projet'!$B$12,Paramètres!$A$1:$I$89,3,0)*VLOOKUP('Données projet'!$B$12,Paramètres!$A$1:$I$89,5,0)</f>
        <v>-6.2516392063116648E-14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124.15919323713428</v>
      </c>
      <c r="CE123" s="59">
        <f t="shared" si="94"/>
        <v>157.85954678210715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0.4145223281241886</v>
      </c>
      <c r="CM123" s="21">
        <f>EXP(-LN(2)/2)*CM122+(1-EXP(-LN(2)/2))/(LN(2)/2)*CG123*CJ123*VLOOKUP('Données projet'!$B$12,Paramètres!$A$1:$I$89,3,0)*0.475*44/12</f>
        <v>2.0967643612957678E-13</v>
      </c>
      <c r="CN123" s="22">
        <f t="shared" si="66"/>
        <v>0.41452232812439826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2.8421709430404007E-14</v>
      </c>
      <c r="O124" s="13">
        <f>N124*VLOOKUP('Données projet'!$B$9,Paramètres!$A$1:$I$89,3,0)*VLOOKUP('Données projet'!$B$9,Paramètres!$A$1:$I$89,5,0)</f>
        <v>2.5715962692629544E-14</v>
      </c>
      <c r="P124" s="13">
        <f t="shared" si="87"/>
        <v>4.5248818890525812E-13</v>
      </c>
      <c r="Q124" s="20">
        <f t="shared" si="107"/>
        <v>8.3287223069965432E-13</v>
      </c>
      <c r="R124" s="59">
        <f t="shared" si="55"/>
        <v>293.33333333333417</v>
      </c>
      <c r="S124" s="59">
        <f ca="1">AVERAGE(OFFSET($R$3,0,0,'Données projet'!$E$9+1,1))-AVERAGE(OFFSET($H$3,0,0,'Données projet'!$E$9+1,1))</f>
        <v>138.8931001150624</v>
      </c>
      <c r="T124" s="59">
        <f t="shared" si="88"/>
        <v>48.964659354096625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-8.5265128291212022E-14</v>
      </c>
      <c r="AJ124" s="13">
        <f>AI124*VLOOKUP('Données projet'!$B$10,Paramètres!$A$1:$I$89,3,0)*VLOOKUP('Données projet'!$B$10,Paramètres!$A$1:$I$89,5,0)</f>
        <v>-7.4487616075202836E-14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191.94797389630673</v>
      </c>
      <c r="AO124" s="59">
        <f t="shared" si="90"/>
        <v>273.52540822767878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0.42466052478045052</v>
      </c>
      <c r="AV124" s="21">
        <f>EXP(-LN(2)/25)*AV123+(1-EXP(-LN(2)/25))/(LN(2)/25)*Calculateur!AQ124*Calculateur!AS124*VLOOKUP('Données projet'!$B$10,Paramètres!$A$1:$I$89,3,0)*0.475*44/12</f>
        <v>1.1268600542722955</v>
      </c>
      <c r="AW124" s="21">
        <f>EXP(-LN(2)/2)*AW123+(1-EXP(-LN(2)/2))/(LN(2)/2)*AQ124*AT124*VLOOKUP('Données projet'!$B$10,Paramètres!$A$1:$I$89,3,0)*0.475*44/12</f>
        <v>4.6631621258928665E-13</v>
      </c>
      <c r="AX124" s="21">
        <f t="shared" si="60"/>
        <v>1.5515205790532123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-3.4106051316484809E-13</v>
      </c>
      <c r="BE124" s="13">
        <f>BD124*VLOOKUP('Données projet'!$B$11,Paramètres!$A$1:$I$89,3,0)*VLOOKUP('Données projet'!$B$11,Paramètres!$A$1:$I$89,5,0)</f>
        <v>-1.9065282685915009E-13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279.98352834501759</v>
      </c>
      <c r="BJ124" s="59">
        <f t="shared" si="92"/>
        <v>281.30062655265488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0.65925121790513475</v>
      </c>
      <c r="BQ124" s="21">
        <f>EXP(-LN(2)/25)*BQ123+(1-EXP(-LN(2)/25))/(LN(2)/25)*Calculateur!BL124*Calculateur!BN124*VLOOKUP('Données projet'!$B$11,Paramètres!$A$1:$I$89,3,0)*0.475*44/12</f>
        <v>1.9433432130829742</v>
      </c>
      <c r="BR124" s="21">
        <f>EXP(-LN(2)/2)*BR123+(1-EXP(-LN(2)/2))/(LN(2)/2)*BL124*BO124*VLOOKUP('Données projet'!$B$11,Paramètres!$A$1:$I$89,3,0)*0.475*44/12</f>
        <v>5.690947655111236E-13</v>
      </c>
      <c r="BS124" s="22">
        <f t="shared" si="63"/>
        <v>2.6025944309886779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-8.5265128291212022E-14</v>
      </c>
      <c r="BZ124" s="13">
        <f>BY124*VLOOKUP('Données projet'!$B$12,Paramètres!$A$1:$I$89,3,0)*VLOOKUP('Données projet'!$B$12,Paramètres!$A$1:$I$89,5,0)</f>
        <v>-6.2516392063116648E-14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124.15919323713428</v>
      </c>
      <c r="CE124" s="59">
        <f t="shared" si="94"/>
        <v>157.85954678210715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0.40318719326285085</v>
      </c>
      <c r="CM124" s="21">
        <f>EXP(-LN(2)/2)*CM123+(1-EXP(-LN(2)/2))/(LN(2)/2)*CG124*CJ124*VLOOKUP('Données projet'!$B$12,Paramètres!$A$1:$I$89,3,0)*0.475*44/12</f>
        <v>1.4826362984225176E-13</v>
      </c>
      <c r="CN124" s="22">
        <f t="shared" si="66"/>
        <v>0.40318719326299912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2.8421709430404007E-14</v>
      </c>
      <c r="O125" s="13">
        <f>N125*VLOOKUP('Données projet'!$B$9,Paramètres!$A$1:$I$89,3,0)*VLOOKUP('Données projet'!$B$9,Paramètres!$A$1:$I$89,5,0)</f>
        <v>2.5715962692629544E-14</v>
      </c>
      <c r="P125" s="13">
        <f t="shared" si="87"/>
        <v>4.5248818890525812E-13</v>
      </c>
      <c r="Q125" s="20">
        <f t="shared" si="107"/>
        <v>8.3287223069965432E-13</v>
      </c>
      <c r="R125" s="59">
        <f t="shared" si="55"/>
        <v>293.33333333333417</v>
      </c>
      <c r="S125" s="59">
        <f ca="1">AVERAGE(OFFSET($R$3,0,0,'Données projet'!$E$9+1,1))-AVERAGE(OFFSET($H$3,0,0,'Données projet'!$E$9+1,1))</f>
        <v>138.8931001150624</v>
      </c>
      <c r="T125" s="59">
        <f t="shared" si="88"/>
        <v>48.964659354096625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-8.5265128291212022E-14</v>
      </c>
      <c r="AJ125" s="13">
        <f>AI125*VLOOKUP('Données projet'!$B$10,Paramètres!$A$1:$I$89,3,0)*VLOOKUP('Données projet'!$B$10,Paramètres!$A$1:$I$89,5,0)</f>
        <v>-7.4487616075202836E-14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191.94797389630673</v>
      </c>
      <c r="AO125" s="59">
        <f t="shared" si="90"/>
        <v>273.52540822767878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0.41633319090685017</v>
      </c>
      <c r="AV125" s="21">
        <f>EXP(-LN(2)/25)*AV124+(1-EXP(-LN(2)/25))/(LN(2)/25)*Calculateur!AQ125*Calculateur!AS125*VLOOKUP('Données projet'!$B$10,Paramètres!$A$1:$I$89,3,0)*0.475*44/12</f>
        <v>1.0960460068292248</v>
      </c>
      <c r="AW125" s="21">
        <f>EXP(-LN(2)/2)*AW124+(1-EXP(-LN(2)/2))/(LN(2)/2)*AQ125*AT125*VLOOKUP('Données projet'!$B$10,Paramètres!$A$1:$I$89,3,0)*0.475*44/12</f>
        <v>3.297353560991123E-13</v>
      </c>
      <c r="AX125" s="21">
        <f t="shared" si="60"/>
        <v>1.5123791977364047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-3.4106051316484809E-13</v>
      </c>
      <c r="BE125" s="13">
        <f>BD125*VLOOKUP('Données projet'!$B$11,Paramètres!$A$1:$I$89,3,0)*VLOOKUP('Données projet'!$B$11,Paramètres!$A$1:$I$89,5,0)</f>
        <v>-1.9065282685915009E-13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279.98352834501759</v>
      </c>
      <c r="BJ125" s="59">
        <f t="shared" si="92"/>
        <v>281.30062655265488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0.64632370362555358</v>
      </c>
      <c r="BQ125" s="21">
        <f>EXP(-LN(2)/25)*BQ124+(1-EXP(-LN(2)/25))/(LN(2)/25)*Calculateur!BL125*Calculateur!BN125*VLOOKUP('Données projet'!$B$11,Paramètres!$A$1:$I$89,3,0)*0.475*44/12</f>
        <v>1.8902023907252423</v>
      </c>
      <c r="BR125" s="21">
        <f>EXP(-LN(2)/2)*BR124+(1-EXP(-LN(2)/2))/(LN(2)/2)*BL125*BO125*VLOOKUP('Données projet'!$B$11,Paramètres!$A$1:$I$89,3,0)*0.475*44/12</f>
        <v>4.0241076783068365E-13</v>
      </c>
      <c r="BS125" s="22">
        <f t="shared" si="63"/>
        <v>2.5365260943511982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-8.5265128291212022E-14</v>
      </c>
      <c r="BZ125" s="13">
        <f>BY125*VLOOKUP('Données projet'!$B$12,Paramètres!$A$1:$I$89,3,0)*VLOOKUP('Données projet'!$B$12,Paramètres!$A$1:$I$89,5,0)</f>
        <v>-6.2516392063116648E-14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124.15919323713428</v>
      </c>
      <c r="CE125" s="59">
        <f t="shared" si="94"/>
        <v>157.85954678210715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0.39216201826038521</v>
      </c>
      <c r="CM125" s="21">
        <f>EXP(-LN(2)/2)*CM124+(1-EXP(-LN(2)/2))/(LN(2)/2)*CG125*CJ125*VLOOKUP('Données projet'!$B$12,Paramètres!$A$1:$I$89,3,0)*0.475*44/12</f>
        <v>1.0483821806478839E-13</v>
      </c>
      <c r="CN125" s="22">
        <f t="shared" si="66"/>
        <v>0.39216201826049008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2.8421709430404007E-14</v>
      </c>
      <c r="O126" s="13">
        <f>N126*VLOOKUP('Données projet'!$B$9,Paramètres!$A$1:$I$89,3,0)*VLOOKUP('Données projet'!$B$9,Paramètres!$A$1:$I$89,5,0)</f>
        <v>2.5715962692629544E-14</v>
      </c>
      <c r="P126" s="13">
        <f t="shared" si="87"/>
        <v>4.5248818890525812E-13</v>
      </c>
      <c r="Q126" s="20">
        <f t="shared" si="107"/>
        <v>8.3287223069965432E-13</v>
      </c>
      <c r="R126" s="59">
        <f t="shared" si="55"/>
        <v>293.33333333333417</v>
      </c>
      <c r="S126" s="59">
        <f ca="1">AVERAGE(OFFSET($R$3,0,0,'Données projet'!$E$9+1,1))-AVERAGE(OFFSET($H$3,0,0,'Données projet'!$E$9+1,1))</f>
        <v>138.8931001150624</v>
      </c>
      <c r="T126" s="59">
        <f t="shared" si="88"/>
        <v>48.964659354096625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-8.5265128291212022E-14</v>
      </c>
      <c r="AJ126" s="13">
        <f>AI126*VLOOKUP('Données projet'!$B$10,Paramètres!$A$1:$I$89,3,0)*VLOOKUP('Données projet'!$B$10,Paramètres!$A$1:$I$89,5,0)</f>
        <v>-7.4487616075202836E-14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191.94797389630673</v>
      </c>
      <c r="AO126" s="59">
        <f t="shared" si="90"/>
        <v>273.52540822767878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0.40816915097133899</v>
      </c>
      <c r="AV126" s="21">
        <f>EXP(-LN(2)/25)*AV125+(1-EXP(-LN(2)/25))/(LN(2)/25)*Calculateur!AQ126*Calculateur!AS126*VLOOKUP('Données projet'!$B$10,Paramètres!$A$1:$I$89,3,0)*0.475*44/12</f>
        <v>1.0660745711339252</v>
      </c>
      <c r="AW126" s="21">
        <f>EXP(-LN(2)/2)*AW125+(1-EXP(-LN(2)/2))/(LN(2)/2)*AQ126*AT126*VLOOKUP('Données projet'!$B$10,Paramètres!$A$1:$I$89,3,0)*0.475*44/12</f>
        <v>2.3315810629464332E-13</v>
      </c>
      <c r="AX126" s="21">
        <f t="shared" si="60"/>
        <v>1.4742437221054974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-3.4106051316484809E-13</v>
      </c>
      <c r="BE126" s="13">
        <f>BD126*VLOOKUP('Données projet'!$B$11,Paramètres!$A$1:$I$89,3,0)*VLOOKUP('Données projet'!$B$11,Paramètres!$A$1:$I$89,5,0)</f>
        <v>-1.9065282685915009E-13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279.98352834501759</v>
      </c>
      <c r="BJ126" s="59">
        <f t="shared" si="92"/>
        <v>281.30062655265488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0.63364969001598981</v>
      </c>
      <c r="BQ126" s="21">
        <f>EXP(-LN(2)/25)*BQ125+(1-EXP(-LN(2)/25))/(LN(2)/25)*Calculateur!BL126*Calculateur!BN126*VLOOKUP('Données projet'!$B$11,Paramètres!$A$1:$I$89,3,0)*0.475*44/12</f>
        <v>1.838514706949437</v>
      </c>
      <c r="BR126" s="21">
        <f>EXP(-LN(2)/2)*BR125+(1-EXP(-LN(2)/2))/(LN(2)/2)*BL126*BO126*VLOOKUP('Données projet'!$B$11,Paramètres!$A$1:$I$89,3,0)*0.475*44/12</f>
        <v>2.845473827555618E-13</v>
      </c>
      <c r="BS126" s="22">
        <f t="shared" si="63"/>
        <v>2.4721643969657117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-8.5265128291212022E-14</v>
      </c>
      <c r="BZ126" s="13">
        <f>BY126*VLOOKUP('Données projet'!$B$12,Paramètres!$A$1:$I$89,3,0)*VLOOKUP('Données projet'!$B$12,Paramètres!$A$1:$I$89,5,0)</f>
        <v>-6.2516392063116648E-14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124.15919323713428</v>
      </c>
      <c r="CE126" s="59">
        <f t="shared" si="94"/>
        <v>157.85954678210715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0.38143832724815074</v>
      </c>
      <c r="CM126" s="21">
        <f>EXP(-LN(2)/2)*CM125+(1-EXP(-LN(2)/2))/(LN(2)/2)*CG126*CJ126*VLOOKUP('Données projet'!$B$12,Paramètres!$A$1:$I$89,3,0)*0.475*44/12</f>
        <v>7.4131814921125878E-14</v>
      </c>
      <c r="CN126" s="22">
        <f t="shared" si="66"/>
        <v>0.38143832724822485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2.8421709430404007E-14</v>
      </c>
      <c r="O127" s="13">
        <f>N127*VLOOKUP('Données projet'!$B$9,Paramètres!$A$1:$I$89,3,0)*VLOOKUP('Données projet'!$B$9,Paramètres!$A$1:$I$89,5,0)</f>
        <v>2.5715962692629544E-14</v>
      </c>
      <c r="P127" s="13">
        <f t="shared" si="87"/>
        <v>4.5248818890525812E-13</v>
      </c>
      <c r="Q127" s="20">
        <f t="shared" si="107"/>
        <v>8.3287223069965432E-13</v>
      </c>
      <c r="R127" s="59">
        <f t="shared" si="55"/>
        <v>293.33333333333417</v>
      </c>
      <c r="S127" s="59">
        <f ca="1">AVERAGE(OFFSET($R$3,0,0,'Données projet'!$E$9+1,1))-AVERAGE(OFFSET($H$3,0,0,'Données projet'!$E$9+1,1))</f>
        <v>138.8931001150624</v>
      </c>
      <c r="T127" s="59">
        <f t="shared" si="88"/>
        <v>48.964659354096625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-8.5265128291212022E-14</v>
      </c>
      <c r="AJ127" s="13">
        <f>AI127*VLOOKUP('Données projet'!$B$10,Paramètres!$A$1:$I$89,3,0)*VLOOKUP('Données projet'!$B$10,Paramètres!$A$1:$I$89,5,0)</f>
        <v>-7.4487616075202836E-14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191.94797389630673</v>
      </c>
      <c r="AO127" s="59">
        <f t="shared" si="90"/>
        <v>273.52540822767878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0.4001652028793905</v>
      </c>
      <c r="AV127" s="21">
        <f>EXP(-LN(2)/25)*AV126+(1-EXP(-LN(2)/25))/(LN(2)/25)*Calculateur!AQ127*Calculateur!AS127*VLOOKUP('Données projet'!$B$10,Paramètres!$A$1:$I$89,3,0)*0.475*44/12</f>
        <v>1.0369227059238428</v>
      </c>
      <c r="AW127" s="21">
        <f>EXP(-LN(2)/2)*AW126+(1-EXP(-LN(2)/2))/(LN(2)/2)*AQ127*AT127*VLOOKUP('Données projet'!$B$10,Paramètres!$A$1:$I$89,3,0)*0.475*44/12</f>
        <v>1.6486767804955615E-13</v>
      </c>
      <c r="AX127" s="21">
        <f t="shared" si="60"/>
        <v>1.4370879088033981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-3.4106051316484809E-13</v>
      </c>
      <c r="BE127" s="13">
        <f>BD127*VLOOKUP('Données projet'!$B$11,Paramètres!$A$1:$I$89,3,0)*VLOOKUP('Données projet'!$B$11,Paramètres!$A$1:$I$89,5,0)</f>
        <v>-1.9065282685915009E-13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279.98352834501759</v>
      </c>
      <c r="BJ127" s="59">
        <f t="shared" si="92"/>
        <v>281.30062655265488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0.62122420608292461</v>
      </c>
      <c r="BQ127" s="21">
        <f>EXP(-LN(2)/25)*BQ126+(1-EXP(-LN(2)/25))/(LN(2)/25)*Calculateur!BL127*Calculateur!BN127*VLOOKUP('Données projet'!$B$11,Paramètres!$A$1:$I$89,3,0)*0.475*44/12</f>
        <v>1.7882404256046183</v>
      </c>
      <c r="BR127" s="21">
        <f>EXP(-LN(2)/2)*BR126+(1-EXP(-LN(2)/2))/(LN(2)/2)*BL127*BO127*VLOOKUP('Données projet'!$B$11,Paramètres!$A$1:$I$89,3,0)*0.475*44/12</f>
        <v>2.0120538391534183E-13</v>
      </c>
      <c r="BS127" s="22">
        <f t="shared" si="63"/>
        <v>2.4094646316877442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-8.5265128291212022E-14</v>
      </c>
      <c r="BZ127" s="13">
        <f>BY127*VLOOKUP('Données projet'!$B$12,Paramètres!$A$1:$I$89,3,0)*VLOOKUP('Données projet'!$B$12,Paramètres!$A$1:$I$89,5,0)</f>
        <v>-6.2516392063116648E-14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124.15919323713428</v>
      </c>
      <c r="CE127" s="59">
        <f t="shared" si="94"/>
        <v>157.85954678210715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0.37100787613058023</v>
      </c>
      <c r="CM127" s="21">
        <f>EXP(-LN(2)/2)*CM126+(1-EXP(-LN(2)/2))/(LN(2)/2)*CG127*CJ127*VLOOKUP('Données projet'!$B$12,Paramètres!$A$1:$I$89,3,0)*0.475*44/12</f>
        <v>5.2419109032394196E-14</v>
      </c>
      <c r="CN127" s="22">
        <f t="shared" si="66"/>
        <v>0.37100787613063263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2.8421709430404007E-14</v>
      </c>
      <c r="O128" s="13">
        <f>N128*VLOOKUP('Données projet'!$B$9,Paramètres!$A$1:$I$89,3,0)*VLOOKUP('Données projet'!$B$9,Paramètres!$A$1:$I$89,5,0)</f>
        <v>2.5715962692629544E-14</v>
      </c>
      <c r="P128" s="13">
        <f t="shared" si="87"/>
        <v>4.5248818890525812E-13</v>
      </c>
      <c r="Q128" s="20">
        <f t="shared" si="107"/>
        <v>8.3287223069965432E-13</v>
      </c>
      <c r="R128" s="59">
        <f t="shared" si="55"/>
        <v>293.33333333333417</v>
      </c>
      <c r="S128" s="59">
        <f ca="1">AVERAGE(OFFSET($R$3,0,0,'Données projet'!$E$9+1,1))-AVERAGE(OFFSET($H$3,0,0,'Données projet'!$E$9+1,1))</f>
        <v>138.8931001150624</v>
      </c>
      <c r="T128" s="59">
        <f t="shared" si="88"/>
        <v>48.964659354096625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-8.5265128291212022E-14</v>
      </c>
      <c r="AJ128" s="13">
        <f>AI128*VLOOKUP('Données projet'!$B$10,Paramètres!$A$1:$I$89,3,0)*VLOOKUP('Données projet'!$B$10,Paramètres!$A$1:$I$89,5,0)</f>
        <v>-7.4487616075202836E-14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191.94797389630673</v>
      </c>
      <c r="AO128" s="59">
        <f t="shared" si="90"/>
        <v>273.52540822767878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0.39231820732759887</v>
      </c>
      <c r="AV128" s="21">
        <f>EXP(-LN(2)/25)*AV127+(1-EXP(-LN(2)/25))/(LN(2)/25)*Calculateur!AQ128*Calculateur!AS128*VLOOKUP('Données projet'!$B$10,Paramètres!$A$1:$I$89,3,0)*0.475*44/12</f>
        <v>1.0085680000009603</v>
      </c>
      <c r="AW128" s="21">
        <f>EXP(-LN(2)/2)*AW127+(1-EXP(-LN(2)/2))/(LN(2)/2)*AQ128*AT128*VLOOKUP('Données projet'!$B$10,Paramètres!$A$1:$I$89,3,0)*0.475*44/12</f>
        <v>1.1657905314732166E-13</v>
      </c>
      <c r="AX128" s="21">
        <f t="shared" si="60"/>
        <v>1.4008862073286756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-3.4106051316484809E-13</v>
      </c>
      <c r="BE128" s="13">
        <f>BD128*VLOOKUP('Données projet'!$B$11,Paramètres!$A$1:$I$89,3,0)*VLOOKUP('Données projet'!$B$11,Paramètres!$A$1:$I$89,5,0)</f>
        <v>-1.9065282685915009E-13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279.98352834501759</v>
      </c>
      <c r="BJ128" s="59">
        <f t="shared" si="92"/>
        <v>281.30062655265488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0.60904237831098995</v>
      </c>
      <c r="BQ128" s="21">
        <f>EXP(-LN(2)/25)*BQ127+(1-EXP(-LN(2)/25))/(LN(2)/25)*Calculateur!BL128*Calculateur!BN128*VLOOKUP('Données projet'!$B$11,Paramètres!$A$1:$I$89,3,0)*0.475*44/12</f>
        <v>1.739340897126983</v>
      </c>
      <c r="BR128" s="21">
        <f>EXP(-LN(2)/2)*BR127+(1-EXP(-LN(2)/2))/(LN(2)/2)*BL128*BO128*VLOOKUP('Données projet'!$B$11,Paramètres!$A$1:$I$89,3,0)*0.475*44/12</f>
        <v>1.422736913777809E-13</v>
      </c>
      <c r="BS128" s="22">
        <f t="shared" si="63"/>
        <v>2.3483832754381151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-8.5265128291212022E-14</v>
      </c>
      <c r="BZ128" s="13">
        <f>BY128*VLOOKUP('Données projet'!$B$12,Paramètres!$A$1:$I$89,3,0)*VLOOKUP('Données projet'!$B$12,Paramètres!$A$1:$I$89,5,0)</f>
        <v>-6.2516392063116648E-14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124.15919323713428</v>
      </c>
      <c r="CE128" s="59">
        <f t="shared" si="94"/>
        <v>157.85954678210715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0.36086264624733327</v>
      </c>
      <c r="CM128" s="21">
        <f>EXP(-LN(2)/2)*CM127+(1-EXP(-LN(2)/2))/(LN(2)/2)*CG128*CJ128*VLOOKUP('Données projet'!$B$12,Paramètres!$A$1:$I$89,3,0)*0.475*44/12</f>
        <v>3.7065907460562939E-14</v>
      </c>
      <c r="CN128" s="22">
        <f t="shared" si="66"/>
        <v>0.36086264624737036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2.8421709430404007E-14</v>
      </c>
      <c r="O129" s="13">
        <f>N129*VLOOKUP('Données projet'!$B$9,Paramètres!$A$1:$I$89,3,0)*VLOOKUP('Données projet'!$B$9,Paramètres!$A$1:$I$89,5,0)</f>
        <v>2.5715962692629544E-14</v>
      </c>
      <c r="P129" s="13">
        <f t="shared" si="87"/>
        <v>4.5248818890525812E-13</v>
      </c>
      <c r="Q129" s="20">
        <f t="shared" si="107"/>
        <v>8.3287223069965432E-13</v>
      </c>
      <c r="R129" s="59">
        <f t="shared" si="55"/>
        <v>293.33333333333417</v>
      </c>
      <c r="S129" s="59">
        <f ca="1">AVERAGE(OFFSET($R$3,0,0,'Données projet'!$E$9+1,1))-AVERAGE(OFFSET($H$3,0,0,'Données projet'!$E$9+1,1))</f>
        <v>138.8931001150624</v>
      </c>
      <c r="T129" s="59">
        <f t="shared" si="88"/>
        <v>48.964659354096625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-8.5265128291212022E-14</v>
      </c>
      <c r="AJ129" s="13">
        <f>AI129*VLOOKUP('Données projet'!$B$10,Paramètres!$A$1:$I$89,3,0)*VLOOKUP('Données projet'!$B$10,Paramètres!$A$1:$I$89,5,0)</f>
        <v>-7.4487616075202836E-14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191.94797389630673</v>
      </c>
      <c r="AO129" s="59">
        <f t="shared" si="90"/>
        <v>273.52540822767878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0.38462508657238315</v>
      </c>
      <c r="AV129" s="21">
        <f>EXP(-LN(2)/25)*AV128+(1-EXP(-LN(2)/25))/(LN(2)/25)*Calculateur!AQ129*Calculateur!AS129*VLOOKUP('Données projet'!$B$10,Paramètres!$A$1:$I$89,3,0)*0.475*44/12</f>
        <v>0.98098865500264798</v>
      </c>
      <c r="AW129" s="21">
        <f>EXP(-LN(2)/2)*AW128+(1-EXP(-LN(2)/2))/(LN(2)/2)*AQ129*AT129*VLOOKUP('Données projet'!$B$10,Paramètres!$A$1:$I$89,3,0)*0.475*44/12</f>
        <v>8.2433839024778075E-14</v>
      </c>
      <c r="AX129" s="21">
        <f t="shared" si="60"/>
        <v>1.3656137415751135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-3.4106051316484809E-13</v>
      </c>
      <c r="BE129" s="13">
        <f>BD129*VLOOKUP('Données projet'!$B$11,Paramètres!$A$1:$I$89,3,0)*VLOOKUP('Données projet'!$B$11,Paramètres!$A$1:$I$89,5,0)</f>
        <v>-1.9065282685915009E-13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279.98352834501759</v>
      </c>
      <c r="BJ129" s="59">
        <f t="shared" si="92"/>
        <v>281.30062655265488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0.5970994287514817</v>
      </c>
      <c r="BQ129" s="21">
        <f>EXP(-LN(2)/25)*BQ128+(1-EXP(-LN(2)/25))/(LN(2)/25)*Calculateur!BL129*Calculateur!BN129*VLOOKUP('Données projet'!$B$11,Paramètres!$A$1:$I$89,3,0)*0.475*44/12</f>
        <v>1.6917785288270832</v>
      </c>
      <c r="BR129" s="21">
        <f>EXP(-LN(2)/2)*BR128+(1-EXP(-LN(2)/2))/(LN(2)/2)*BL129*BO129*VLOOKUP('Données projet'!$B$11,Paramètres!$A$1:$I$89,3,0)*0.475*44/12</f>
        <v>1.0060269195767091E-13</v>
      </c>
      <c r="BS129" s="22">
        <f t="shared" si="63"/>
        <v>2.288877957578666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-8.5265128291212022E-14</v>
      </c>
      <c r="BZ129" s="13">
        <f>BY129*VLOOKUP('Données projet'!$B$12,Paramètres!$A$1:$I$89,3,0)*VLOOKUP('Données projet'!$B$12,Paramètres!$A$1:$I$89,5,0)</f>
        <v>-6.2516392063116648E-14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124.15919323713428</v>
      </c>
      <c r="CE129" s="59">
        <f t="shared" si="94"/>
        <v>157.85954678210715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0.35099483820875815</v>
      </c>
      <c r="CM129" s="21">
        <f>EXP(-LN(2)/2)*CM128+(1-EXP(-LN(2)/2))/(LN(2)/2)*CG129*CJ129*VLOOKUP('Données projet'!$B$12,Paramètres!$A$1:$I$89,3,0)*0.475*44/12</f>
        <v>2.6209554516197098E-14</v>
      </c>
      <c r="CN129" s="22">
        <f t="shared" si="66"/>
        <v>0.35099483820878435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2.8421709430404007E-14</v>
      </c>
      <c r="O130" s="13">
        <f>N130*VLOOKUP('Données projet'!$B$9,Paramètres!$A$1:$I$89,3,0)*VLOOKUP('Données projet'!$B$9,Paramètres!$A$1:$I$89,5,0)</f>
        <v>2.5715962692629544E-14</v>
      </c>
      <c r="P130" s="13">
        <f t="shared" si="87"/>
        <v>4.5248818890525812E-13</v>
      </c>
      <c r="Q130" s="20">
        <f t="shared" si="107"/>
        <v>8.3287223069965432E-13</v>
      </c>
      <c r="R130" s="59">
        <f t="shared" si="55"/>
        <v>293.33333333333417</v>
      </c>
      <c r="S130" s="59">
        <f ca="1">AVERAGE(OFFSET($R$3,0,0,'Données projet'!$E$9+1,1))-AVERAGE(OFFSET($H$3,0,0,'Données projet'!$E$9+1,1))</f>
        <v>138.8931001150624</v>
      </c>
      <c r="T130" s="59">
        <f t="shared" si="88"/>
        <v>48.964659354096625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-8.5265128291212022E-14</v>
      </c>
      <c r="AJ130" s="13">
        <f>AI130*VLOOKUP('Données projet'!$B$10,Paramètres!$A$1:$I$89,3,0)*VLOOKUP('Données projet'!$B$10,Paramètres!$A$1:$I$89,5,0)</f>
        <v>-7.4487616075202836E-14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191.94797389630673</v>
      </c>
      <c r="AO130" s="59">
        <f t="shared" si="90"/>
        <v>273.52540822767878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0.37708282322283687</v>
      </c>
      <c r="AV130" s="21">
        <f>EXP(-LN(2)/25)*AV129+(1-EXP(-LN(2)/25))/(LN(2)/25)*Calculateur!AQ130*Calculateur!AS130*VLOOKUP('Données projet'!$B$10,Paramètres!$A$1:$I$89,3,0)*0.475*44/12</f>
        <v>0.95416346864364932</v>
      </c>
      <c r="AW130" s="21">
        <f>EXP(-LN(2)/2)*AW129+(1-EXP(-LN(2)/2))/(LN(2)/2)*AQ130*AT130*VLOOKUP('Données projet'!$B$10,Paramètres!$A$1:$I$89,3,0)*0.475*44/12</f>
        <v>5.8289526573660831E-14</v>
      </c>
      <c r="AX130" s="21">
        <f t="shared" si="60"/>
        <v>1.3312462918665446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-3.4106051316484809E-13</v>
      </c>
      <c r="BE130" s="13">
        <f>BD130*VLOOKUP('Données projet'!$B$11,Paramètres!$A$1:$I$89,3,0)*VLOOKUP('Données projet'!$B$11,Paramètres!$A$1:$I$89,5,0)</f>
        <v>-1.9065282685915009E-13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279.98352834501759</v>
      </c>
      <c r="BJ130" s="59">
        <f t="shared" si="92"/>
        <v>281.30062655265488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0.58539067314835547</v>
      </c>
      <c r="BQ130" s="21">
        <f>EXP(-LN(2)/25)*BQ129+(1-EXP(-LN(2)/25))/(LN(2)/25)*Calculateur!BL130*Calculateur!BN130*VLOOKUP('Données projet'!$B$11,Paramètres!$A$1:$I$89,3,0)*0.475*44/12</f>
        <v>1.6455167559895405</v>
      </c>
      <c r="BR130" s="21">
        <f>EXP(-LN(2)/2)*BR129+(1-EXP(-LN(2)/2))/(LN(2)/2)*BL130*BO130*VLOOKUP('Données projet'!$B$11,Paramètres!$A$1:$I$89,3,0)*0.475*44/12</f>
        <v>7.113684568889045E-14</v>
      </c>
      <c r="BS130" s="22">
        <f t="shared" si="63"/>
        <v>2.2309074291379671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-8.5265128291212022E-14</v>
      </c>
      <c r="BZ130" s="13">
        <f>BY130*VLOOKUP('Données projet'!$B$12,Paramètres!$A$1:$I$89,3,0)*VLOOKUP('Données projet'!$B$12,Paramètres!$A$1:$I$89,5,0)</f>
        <v>-6.2516392063116648E-14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124.15919323713428</v>
      </c>
      <c r="CE130" s="59">
        <f t="shared" si="94"/>
        <v>157.85954678210715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0.34139686589992335</v>
      </c>
      <c r="CM130" s="21">
        <f>EXP(-LN(2)/2)*CM129+(1-EXP(-LN(2)/2))/(LN(2)/2)*CG130*CJ130*VLOOKUP('Données projet'!$B$12,Paramètres!$A$1:$I$89,3,0)*0.475*44/12</f>
        <v>1.853295373028147E-14</v>
      </c>
      <c r="CN130" s="22">
        <f t="shared" si="66"/>
        <v>0.34139686589994189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2.8421709430404007E-14</v>
      </c>
      <c r="O131" s="13">
        <f>N131*VLOOKUP('Données projet'!$B$9,Paramètres!$A$1:$I$89,3,0)*VLOOKUP('Données projet'!$B$9,Paramètres!$A$1:$I$89,5,0)</f>
        <v>2.5715962692629544E-14</v>
      </c>
      <c r="P131" s="13">
        <f t="shared" si="87"/>
        <v>4.5248818890525812E-13</v>
      </c>
      <c r="Q131" s="20">
        <f t="shared" ref="Q131:Q153" si="108">(O131+P131)*0.475*44/12</f>
        <v>8.3287223069965432E-13</v>
      </c>
      <c r="R131" s="59">
        <f t="shared" ref="R131:R194" si="109">Q131+(I131+J131)*44/12</f>
        <v>293.33333333333417</v>
      </c>
      <c r="S131" s="59">
        <f ca="1">AVERAGE(OFFSET($R$3,0,0,'Données projet'!$E$9+1,1))-AVERAGE(OFFSET($H$3,0,0,'Données projet'!$E$9+1,1))</f>
        <v>138.8931001150624</v>
      </c>
      <c r="T131" s="59">
        <f t="shared" si="88"/>
        <v>48.964659354096625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-8.5265128291212022E-14</v>
      </c>
      <c r="AJ131" s="13">
        <f>AI131*VLOOKUP('Données projet'!$B$10,Paramètres!$A$1:$I$89,3,0)*VLOOKUP('Données projet'!$B$10,Paramètres!$A$1:$I$89,5,0)</f>
        <v>-7.4487616075202836E-14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191.94797389630673</v>
      </c>
      <c r="AO131" s="59">
        <f t="shared" si="90"/>
        <v>273.52540822767878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0.36968845905724879</v>
      </c>
      <c r="AV131" s="21">
        <f>EXP(-LN(2)/25)*AV130+(1-EXP(-LN(2)/25))/(LN(2)/25)*Calculateur!AQ131*Calculateur!AS131*VLOOKUP('Données projet'!$B$10,Paramètres!$A$1:$I$89,3,0)*0.475*44/12</f>
        <v>0.9280718184163127</v>
      </c>
      <c r="AW131" s="21">
        <f>EXP(-LN(2)/2)*AW130+(1-EXP(-LN(2)/2))/(LN(2)/2)*AQ131*AT131*VLOOKUP('Données projet'!$B$10,Paramètres!$A$1:$I$89,3,0)*0.475*44/12</f>
        <v>4.1216919512389038E-14</v>
      </c>
      <c r="AX131" s="21">
        <f t="shared" si="60"/>
        <v>1.2977602774736028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-3.4106051316484809E-13</v>
      </c>
      <c r="BE131" s="13">
        <f>BD131*VLOOKUP('Données projet'!$B$11,Paramètres!$A$1:$I$89,3,0)*VLOOKUP('Données projet'!$B$11,Paramètres!$A$1:$I$89,5,0)</f>
        <v>-1.9065282685915009E-13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279.98352834501759</v>
      </c>
      <c r="BJ131" s="59">
        <f t="shared" si="92"/>
        <v>281.30062655265488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0.57391151910097082</v>
      </c>
      <c r="BQ131" s="21">
        <f>EXP(-LN(2)/25)*BQ130+(1-EXP(-LN(2)/25))/(LN(2)/25)*Calculateur!BL131*Calculateur!BN131*VLOOKUP('Données projet'!$B$11,Paramètres!$A$1:$I$89,3,0)*0.475*44/12</f>
        <v>1.6005200137630411</v>
      </c>
      <c r="BR131" s="21">
        <f>EXP(-LN(2)/2)*BR130+(1-EXP(-LN(2)/2))/(LN(2)/2)*BL131*BO131*VLOOKUP('Données projet'!$B$11,Paramètres!$A$1:$I$89,3,0)*0.475*44/12</f>
        <v>5.0301345978835457E-14</v>
      </c>
      <c r="BS131" s="22">
        <f t="shared" si="63"/>
        <v>2.174431532864062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-8.5265128291212022E-14</v>
      </c>
      <c r="BZ131" s="13">
        <f>BY131*VLOOKUP('Données projet'!$B$12,Paramètres!$A$1:$I$89,3,0)*VLOOKUP('Données projet'!$B$12,Paramètres!$A$1:$I$89,5,0)</f>
        <v>-6.2516392063116648E-14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124.15919323713428</v>
      </c>
      <c r="CE131" s="59">
        <f t="shared" si="94"/>
        <v>157.85954678210715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0.33206135064860903</v>
      </c>
      <c r="CM131" s="21">
        <f>EXP(-LN(2)/2)*CM130+(1-EXP(-LN(2)/2))/(LN(2)/2)*CG131*CJ131*VLOOKUP('Données projet'!$B$12,Paramètres!$A$1:$I$89,3,0)*0.475*44/12</f>
        <v>1.3104777258098549E-14</v>
      </c>
      <c r="CN131" s="22">
        <f t="shared" si="66"/>
        <v>0.33206135064862213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2.8421709430404007E-14</v>
      </c>
      <c r="O132" s="13">
        <f>N132*VLOOKUP('Données projet'!$B$9,Paramètres!$A$1:$I$89,3,0)*VLOOKUP('Données projet'!$B$9,Paramètres!$A$1:$I$89,5,0)</f>
        <v>2.5715962692629544E-14</v>
      </c>
      <c r="P132" s="13">
        <f t="shared" si="87"/>
        <v>4.5248818890525812E-13</v>
      </c>
      <c r="Q132" s="20">
        <f t="shared" si="108"/>
        <v>8.3287223069965432E-13</v>
      </c>
      <c r="R132" s="59">
        <f t="shared" si="109"/>
        <v>293.33333333333417</v>
      </c>
      <c r="S132" s="59">
        <f ca="1">AVERAGE(OFFSET($R$3,0,0,'Données projet'!$E$9+1,1))-AVERAGE(OFFSET($H$3,0,0,'Données projet'!$E$9+1,1))</f>
        <v>138.8931001150624</v>
      </c>
      <c r="T132" s="59">
        <f t="shared" si="88"/>
        <v>48.964659354096625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-8.5265128291212022E-14</v>
      </c>
      <c r="AJ132" s="13">
        <f>AI132*VLOOKUP('Données projet'!$B$10,Paramètres!$A$1:$I$89,3,0)*VLOOKUP('Données projet'!$B$10,Paramètres!$A$1:$I$89,5,0)</f>
        <v>-7.4487616075202836E-14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191.94797389630673</v>
      </c>
      <c r="AO132" s="59">
        <f t="shared" si="90"/>
        <v>273.52540822767878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0.36243909386283107</v>
      </c>
      <c r="AV132" s="21">
        <f>EXP(-LN(2)/25)*AV131+(1-EXP(-LN(2)/25))/(LN(2)/25)*Calculateur!AQ132*Calculateur!AS132*VLOOKUP('Données projet'!$B$10,Paramètres!$A$1:$I$89,3,0)*0.475*44/12</f>
        <v>0.90269364573654287</v>
      </c>
      <c r="AW132" s="21">
        <f>EXP(-LN(2)/2)*AW131+(1-EXP(-LN(2)/2))/(LN(2)/2)*AQ132*AT132*VLOOKUP('Données projet'!$B$10,Paramètres!$A$1:$I$89,3,0)*0.475*44/12</f>
        <v>2.9144763286830415E-14</v>
      </c>
      <c r="AX132" s="21">
        <f t="shared" ref="AX132:AX153" si="114">SUM(AU132:AW132)</f>
        <v>1.265132739599403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-3.4106051316484809E-13</v>
      </c>
      <c r="BE132" s="13">
        <f>BD132*VLOOKUP('Données projet'!$B$11,Paramètres!$A$1:$I$89,3,0)*VLOOKUP('Données projet'!$B$11,Paramètres!$A$1:$I$89,5,0)</f>
        <v>-1.9065282685915009E-13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279.98352834501759</v>
      </c>
      <c r="BJ132" s="59">
        <f t="shared" si="92"/>
        <v>281.30062655265488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0.56265746426286267</v>
      </c>
      <c r="BQ132" s="21">
        <f>EXP(-LN(2)/25)*BQ131+(1-EXP(-LN(2)/25))/(LN(2)/25)*Calculateur!BL132*Calculateur!BN132*VLOOKUP('Données projet'!$B$11,Paramètres!$A$1:$I$89,3,0)*0.475*44/12</f>
        <v>1.5567537098190012</v>
      </c>
      <c r="BR132" s="21">
        <f>EXP(-LN(2)/2)*BR131+(1-EXP(-LN(2)/2))/(LN(2)/2)*BL132*BO132*VLOOKUP('Données projet'!$B$11,Paramètres!$A$1:$I$89,3,0)*0.475*44/12</f>
        <v>3.5568422844445225E-14</v>
      </c>
      <c r="BS132" s="22">
        <f t="shared" ref="BS132:BS153" si="117">SUM(BP132:BR132)</f>
        <v>2.1194111740818995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-8.5265128291212022E-14</v>
      </c>
      <c r="BZ132" s="13">
        <f>BY132*VLOOKUP('Données projet'!$B$12,Paramètres!$A$1:$I$89,3,0)*VLOOKUP('Données projet'!$B$12,Paramètres!$A$1:$I$89,5,0)</f>
        <v>-6.2516392063116648E-14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124.15919323713428</v>
      </c>
      <c r="CE132" s="59">
        <f t="shared" si="94"/>
        <v>157.85954678210715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0.32298111555277531</v>
      </c>
      <c r="CM132" s="21">
        <f>EXP(-LN(2)/2)*CM131+(1-EXP(-LN(2)/2))/(LN(2)/2)*CG132*CJ132*VLOOKUP('Données projet'!$B$12,Paramètres!$A$1:$I$89,3,0)*0.475*44/12</f>
        <v>9.2664768651407348E-15</v>
      </c>
      <c r="CN132" s="22">
        <f t="shared" ref="CN132:CN153" si="120">SUM(CK132:CM132)</f>
        <v>0.32298111555278458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2.8421709430404007E-14</v>
      </c>
      <c r="O133" s="13">
        <f>N133*VLOOKUP('Données projet'!$B$9,Paramètres!$A$1:$I$89,3,0)*VLOOKUP('Données projet'!$B$9,Paramètres!$A$1:$I$89,5,0)</f>
        <v>2.5715962692629544E-14</v>
      </c>
      <c r="P133" s="13">
        <f t="shared" ref="P133:P196" si="141">EXP(-1.0587+0.8836*LN(O133)+0.284)</f>
        <v>4.5248818890525812E-13</v>
      </c>
      <c r="Q133" s="20">
        <f t="shared" si="108"/>
        <v>8.3287223069965432E-13</v>
      </c>
      <c r="R133" s="59">
        <f t="shared" si="109"/>
        <v>293.33333333333417</v>
      </c>
      <c r="S133" s="59">
        <f ca="1">AVERAGE(OFFSET($R$3,0,0,'Données projet'!$E$9+1,1))-AVERAGE(OFFSET($H$3,0,0,'Données projet'!$E$9+1,1))</f>
        <v>138.8931001150624</v>
      </c>
      <c r="T133" s="59">
        <f t="shared" ref="T133:T196" si="142">$T$3</f>
        <v>48.964659354096625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-8.5265128291212022E-14</v>
      </c>
      <c r="AJ133" s="13">
        <f>AI133*VLOOKUP('Données projet'!$B$10,Paramètres!$A$1:$I$89,3,0)*VLOOKUP('Données projet'!$B$10,Paramètres!$A$1:$I$89,5,0)</f>
        <v>-7.4487616075202836E-14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191.94797389630673</v>
      </c>
      <c r="AO133" s="59">
        <f t="shared" ref="AO133:AO196" si="144">$AO$3</f>
        <v>273.52540822767878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0.35533188429819973</v>
      </c>
      <c r="AV133" s="21">
        <f>EXP(-LN(2)/25)*AV132+(1-EXP(-LN(2)/25))/(LN(2)/25)*Calculateur!AQ133*Calculateur!AS133*VLOOKUP('Données projet'!$B$10,Paramètres!$A$1:$I$89,3,0)*0.475*44/12</f>
        <v>0.87800944052328145</v>
      </c>
      <c r="AW133" s="21">
        <f>EXP(-LN(2)/2)*AW132+(1-EXP(-LN(2)/2))/(LN(2)/2)*AQ133*AT133*VLOOKUP('Données projet'!$B$10,Paramètres!$A$1:$I$89,3,0)*0.475*44/12</f>
        <v>2.0608459756194519E-14</v>
      </c>
      <c r="AX133" s="21">
        <f t="shared" si="114"/>
        <v>1.2333413248215017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-3.4106051316484809E-13</v>
      </c>
      <c r="BE133" s="13">
        <f>BD133*VLOOKUP('Données projet'!$B$11,Paramètres!$A$1:$I$89,3,0)*VLOOKUP('Données projet'!$B$11,Paramètres!$A$1:$I$89,5,0)</f>
        <v>-1.9065282685915009E-13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279.98352834501759</v>
      </c>
      <c r="BJ133" s="59">
        <f t="shared" ref="BJ133:BJ196" si="146">$BJ$3</f>
        <v>281.30062655265488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0.55162409457583417</v>
      </c>
      <c r="BQ133" s="21">
        <f>EXP(-LN(2)/25)*BQ132+(1-EXP(-LN(2)/25))/(LN(2)/25)*Calculateur!BL133*Calculateur!BN133*VLOOKUP('Données projet'!$B$11,Paramètres!$A$1:$I$89,3,0)*0.475*44/12</f>
        <v>1.5141841977578809</v>
      </c>
      <c r="BR133" s="21">
        <f>EXP(-LN(2)/2)*BR132+(1-EXP(-LN(2)/2))/(LN(2)/2)*BL133*BO133*VLOOKUP('Données projet'!$B$11,Paramètres!$A$1:$I$89,3,0)*0.475*44/12</f>
        <v>2.5150672989417728E-14</v>
      </c>
      <c r="BS133" s="22">
        <f t="shared" si="117"/>
        <v>2.0658082923337404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-8.5265128291212022E-14</v>
      </c>
      <c r="BZ133" s="13">
        <f>BY133*VLOOKUP('Données projet'!$B$12,Paramètres!$A$1:$I$89,3,0)*VLOOKUP('Données projet'!$B$12,Paramètres!$A$1:$I$89,5,0)</f>
        <v>-6.2516392063116648E-14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124.15919323713428</v>
      </c>
      <c r="CE133" s="59">
        <f t="shared" ref="CE133:CE196" si="148">$CE$3</f>
        <v>157.85954678210715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0.31414917996314601</v>
      </c>
      <c r="CM133" s="21">
        <f>EXP(-LN(2)/2)*CM132+(1-EXP(-LN(2)/2))/(LN(2)/2)*CG133*CJ133*VLOOKUP('Données projet'!$B$12,Paramètres!$A$1:$I$89,3,0)*0.475*44/12</f>
        <v>6.5523886290492745E-15</v>
      </c>
      <c r="CN133" s="22">
        <f t="shared" si="120"/>
        <v>0.31414917996315256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2.8421709430404007E-14</v>
      </c>
      <c r="O134" s="13">
        <f>N134*VLOOKUP('Données projet'!$B$9,Paramètres!$A$1:$I$89,3,0)*VLOOKUP('Données projet'!$B$9,Paramètres!$A$1:$I$89,5,0)</f>
        <v>2.5715962692629544E-14</v>
      </c>
      <c r="P134" s="13">
        <f t="shared" si="141"/>
        <v>4.5248818890525812E-13</v>
      </c>
      <c r="Q134" s="20">
        <f t="shared" si="108"/>
        <v>8.3287223069965432E-13</v>
      </c>
      <c r="R134" s="59">
        <f t="shared" si="109"/>
        <v>293.33333333333417</v>
      </c>
      <c r="S134" s="59">
        <f ca="1">AVERAGE(OFFSET($R$3,0,0,'Données projet'!$E$9+1,1))-AVERAGE(OFFSET($H$3,0,0,'Données projet'!$E$9+1,1))</f>
        <v>138.8931001150624</v>
      </c>
      <c r="T134" s="59">
        <f t="shared" si="142"/>
        <v>48.964659354096625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-8.5265128291212022E-14</v>
      </c>
      <c r="AJ134" s="13">
        <f>AI134*VLOOKUP('Données projet'!$B$10,Paramètres!$A$1:$I$89,3,0)*VLOOKUP('Données projet'!$B$10,Paramètres!$A$1:$I$89,5,0)</f>
        <v>-7.4487616075202836E-14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191.94797389630673</v>
      </c>
      <c r="AO134" s="59">
        <f t="shared" si="144"/>
        <v>273.52540822767878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0.34836404277816102</v>
      </c>
      <c r="AV134" s="21">
        <f>EXP(-LN(2)/25)*AV133+(1-EXP(-LN(2)/25))/(LN(2)/25)*Calculateur!AQ134*Calculateur!AS134*VLOOKUP('Données projet'!$B$10,Paramètres!$A$1:$I$89,3,0)*0.475*44/12</f>
        <v>0.85400022619966254</v>
      </c>
      <c r="AW134" s="21">
        <f>EXP(-LN(2)/2)*AW133+(1-EXP(-LN(2)/2))/(LN(2)/2)*AQ134*AT134*VLOOKUP('Données projet'!$B$10,Paramètres!$A$1:$I$89,3,0)*0.475*44/12</f>
        <v>1.4572381643415208E-14</v>
      </c>
      <c r="AX134" s="21">
        <f t="shared" si="114"/>
        <v>1.2023642689778382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-3.4106051316484809E-13</v>
      </c>
      <c r="BE134" s="13">
        <f>BD134*VLOOKUP('Données projet'!$B$11,Paramètres!$A$1:$I$89,3,0)*VLOOKUP('Données projet'!$B$11,Paramètres!$A$1:$I$89,5,0)</f>
        <v>-1.9065282685915009E-13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279.98352834501759</v>
      </c>
      <c r="BJ134" s="59">
        <f t="shared" si="146"/>
        <v>281.30062655265488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0.54080708253867738</v>
      </c>
      <c r="BQ134" s="21">
        <f>EXP(-LN(2)/25)*BQ133+(1-EXP(-LN(2)/25))/(LN(2)/25)*Calculateur!BL134*Calculateur!BN134*VLOOKUP('Données projet'!$B$11,Paramètres!$A$1:$I$89,3,0)*0.475*44/12</f>
        <v>1.4727787512427055</v>
      </c>
      <c r="BR134" s="21">
        <f>EXP(-LN(2)/2)*BR133+(1-EXP(-LN(2)/2))/(LN(2)/2)*BL134*BO134*VLOOKUP('Données projet'!$B$11,Paramètres!$A$1:$I$89,3,0)*0.475*44/12</f>
        <v>1.7784211422222613E-14</v>
      </c>
      <c r="BS134" s="22">
        <f t="shared" si="117"/>
        <v>2.0135858337814008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-8.5265128291212022E-14</v>
      </c>
      <c r="BZ134" s="13">
        <f>BY134*VLOOKUP('Données projet'!$B$12,Paramètres!$A$1:$I$89,3,0)*VLOOKUP('Données projet'!$B$12,Paramètres!$A$1:$I$89,5,0)</f>
        <v>-6.2516392063116648E-14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124.15919323713428</v>
      </c>
      <c r="CE134" s="59">
        <f t="shared" si="148"/>
        <v>157.85954678210715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0.30555875411666639</v>
      </c>
      <c r="CM134" s="21">
        <f>EXP(-LN(2)/2)*CM133+(1-EXP(-LN(2)/2))/(LN(2)/2)*CG134*CJ134*VLOOKUP('Données projet'!$B$12,Paramètres!$A$1:$I$89,3,0)*0.475*44/12</f>
        <v>4.6332384325703674E-15</v>
      </c>
      <c r="CN134" s="22">
        <f t="shared" si="120"/>
        <v>0.30555875411667099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2.8421709430404007E-14</v>
      </c>
      <c r="O135" s="13">
        <f>N135*VLOOKUP('Données projet'!$B$9,Paramètres!$A$1:$I$89,3,0)*VLOOKUP('Données projet'!$B$9,Paramètres!$A$1:$I$89,5,0)</f>
        <v>2.5715962692629544E-14</v>
      </c>
      <c r="P135" s="13">
        <f t="shared" si="141"/>
        <v>4.5248818890525812E-13</v>
      </c>
      <c r="Q135" s="20">
        <f t="shared" si="108"/>
        <v>8.3287223069965432E-13</v>
      </c>
      <c r="R135" s="59">
        <f t="shared" si="109"/>
        <v>293.33333333333417</v>
      </c>
      <c r="S135" s="59">
        <f ca="1">AVERAGE(OFFSET($R$3,0,0,'Données projet'!$E$9+1,1))-AVERAGE(OFFSET($H$3,0,0,'Données projet'!$E$9+1,1))</f>
        <v>138.8931001150624</v>
      </c>
      <c r="T135" s="59">
        <f t="shared" si="142"/>
        <v>48.964659354096625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-8.5265128291212022E-14</v>
      </c>
      <c r="AJ135" s="13">
        <f>AI135*VLOOKUP('Données projet'!$B$10,Paramètres!$A$1:$I$89,3,0)*VLOOKUP('Données projet'!$B$10,Paramètres!$A$1:$I$89,5,0)</f>
        <v>-7.4487616075202836E-14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191.94797389630673</v>
      </c>
      <c r="AO135" s="59">
        <f t="shared" si="144"/>
        <v>273.52540822767878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0.34153283638036663</v>
      </c>
      <c r="AV135" s="21">
        <f>EXP(-LN(2)/25)*AV134+(1-EXP(-LN(2)/25))/(LN(2)/25)*Calculateur!AQ135*Calculateur!AS135*VLOOKUP('Données projet'!$B$10,Paramètres!$A$1:$I$89,3,0)*0.475*44/12</f>
        <v>0.83064754510431271</v>
      </c>
      <c r="AW135" s="21">
        <f>EXP(-LN(2)/2)*AW134+(1-EXP(-LN(2)/2))/(LN(2)/2)*AQ135*AT135*VLOOKUP('Données projet'!$B$10,Paramètres!$A$1:$I$89,3,0)*0.475*44/12</f>
        <v>1.0304229878097259E-14</v>
      </c>
      <c r="AX135" s="21">
        <f t="shared" si="114"/>
        <v>1.1721803814846896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-3.4106051316484809E-13</v>
      </c>
      <c r="BE135" s="13">
        <f>BD135*VLOOKUP('Données projet'!$B$11,Paramètres!$A$1:$I$89,3,0)*VLOOKUP('Données projet'!$B$11,Paramètres!$A$1:$I$89,5,0)</f>
        <v>-1.9065282685915009E-13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279.98352834501759</v>
      </c>
      <c r="BJ135" s="59">
        <f t="shared" si="146"/>
        <v>281.30062655265488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0.53020218550984333</v>
      </c>
      <c r="BQ135" s="21">
        <f>EXP(-LN(2)/25)*BQ134+(1-EXP(-LN(2)/25))/(LN(2)/25)*Calculateur!BL135*Calculateur!BN135*VLOOKUP('Données projet'!$B$11,Paramètres!$A$1:$I$89,3,0)*0.475*44/12</f>
        <v>1.4325055388399053</v>
      </c>
      <c r="BR135" s="21">
        <f>EXP(-LN(2)/2)*BR134+(1-EXP(-LN(2)/2))/(LN(2)/2)*BL135*BO135*VLOOKUP('Données projet'!$B$11,Paramètres!$A$1:$I$89,3,0)*0.475*44/12</f>
        <v>1.2575336494708864E-14</v>
      </c>
      <c r="BS135" s="22">
        <f t="shared" si="117"/>
        <v>1.9627077243497613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-8.5265128291212022E-14</v>
      </c>
      <c r="BZ135" s="13">
        <f>BY135*VLOOKUP('Données projet'!$B$12,Paramètres!$A$1:$I$89,3,0)*VLOOKUP('Données projet'!$B$12,Paramètres!$A$1:$I$89,5,0)</f>
        <v>-6.2516392063116648E-14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124.15919323713428</v>
      </c>
      <c r="CE135" s="59">
        <f t="shared" si="148"/>
        <v>157.85954678210715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0.29720323391670961</v>
      </c>
      <c r="CM135" s="21">
        <f>EXP(-LN(2)/2)*CM134+(1-EXP(-LN(2)/2))/(LN(2)/2)*CG135*CJ135*VLOOKUP('Données projet'!$B$12,Paramètres!$A$1:$I$89,3,0)*0.475*44/12</f>
        <v>3.2761943145246373E-15</v>
      </c>
      <c r="CN135" s="22">
        <f t="shared" si="120"/>
        <v>0.29720323391671288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2.8421709430404007E-14</v>
      </c>
      <c r="O136" s="13">
        <f>N136*VLOOKUP('Données projet'!$B$9,Paramètres!$A$1:$I$89,3,0)*VLOOKUP('Données projet'!$B$9,Paramètres!$A$1:$I$89,5,0)</f>
        <v>2.5715962692629544E-14</v>
      </c>
      <c r="P136" s="13">
        <f t="shared" si="141"/>
        <v>4.5248818890525812E-13</v>
      </c>
      <c r="Q136" s="20">
        <f t="shared" si="108"/>
        <v>8.3287223069965432E-13</v>
      </c>
      <c r="R136" s="59">
        <f t="shared" si="109"/>
        <v>293.33333333333417</v>
      </c>
      <c r="S136" s="59">
        <f ca="1">AVERAGE(OFFSET($R$3,0,0,'Données projet'!$E$9+1,1))-AVERAGE(OFFSET($H$3,0,0,'Données projet'!$E$9+1,1))</f>
        <v>138.8931001150624</v>
      </c>
      <c r="T136" s="59">
        <f t="shared" si="142"/>
        <v>48.964659354096625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-8.5265128291212022E-14</v>
      </c>
      <c r="AJ136" s="13">
        <f>AI136*VLOOKUP('Données projet'!$B$10,Paramètres!$A$1:$I$89,3,0)*VLOOKUP('Données projet'!$B$10,Paramètres!$A$1:$I$89,5,0)</f>
        <v>-7.4487616075202836E-14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191.94797389630673</v>
      </c>
      <c r="AO136" s="59">
        <f t="shared" si="144"/>
        <v>273.52540822767878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0.3348355857734085</v>
      </c>
      <c r="AV136" s="21">
        <f>EXP(-LN(2)/25)*AV135+(1-EXP(-LN(2)/25))/(LN(2)/25)*Calculateur!AQ136*Calculateur!AS136*VLOOKUP('Données projet'!$B$10,Paramètres!$A$1:$I$89,3,0)*0.475*44/12</f>
        <v>0.80793344430157932</v>
      </c>
      <c r="AW136" s="21">
        <f>EXP(-LN(2)/2)*AW135+(1-EXP(-LN(2)/2))/(LN(2)/2)*AQ136*AT136*VLOOKUP('Données projet'!$B$10,Paramètres!$A$1:$I$89,3,0)*0.475*44/12</f>
        <v>7.2861908217076038E-15</v>
      </c>
      <c r="AX136" s="21">
        <f t="shared" si="114"/>
        <v>1.1427690300749951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-3.4106051316484809E-13</v>
      </c>
      <c r="BE136" s="13">
        <f>BD136*VLOOKUP('Données projet'!$B$11,Paramètres!$A$1:$I$89,3,0)*VLOOKUP('Données projet'!$B$11,Paramètres!$A$1:$I$89,5,0)</f>
        <v>-1.9065282685915009E-13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279.98352834501759</v>
      </c>
      <c r="BJ136" s="59">
        <f t="shared" si="146"/>
        <v>281.30062655265488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0.51980524404339623</v>
      </c>
      <c r="BQ136" s="21">
        <f>EXP(-LN(2)/25)*BQ135+(1-EXP(-LN(2)/25))/(LN(2)/25)*Calculateur!BL136*Calculateur!BN136*VLOOKUP('Données projet'!$B$11,Paramètres!$A$1:$I$89,3,0)*0.475*44/12</f>
        <v>1.3933335995481357</v>
      </c>
      <c r="BR136" s="21">
        <f>EXP(-LN(2)/2)*BR135+(1-EXP(-LN(2)/2))/(LN(2)/2)*BL136*BO136*VLOOKUP('Données projet'!$B$11,Paramètres!$A$1:$I$89,3,0)*0.475*44/12</f>
        <v>8.8921057111113063E-15</v>
      </c>
      <c r="BS136" s="22">
        <f t="shared" si="117"/>
        <v>1.9131388435915408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-8.5265128291212022E-14</v>
      </c>
      <c r="BZ136" s="13">
        <f>BY136*VLOOKUP('Données projet'!$B$12,Paramètres!$A$1:$I$89,3,0)*VLOOKUP('Données projet'!$B$12,Paramètres!$A$1:$I$89,5,0)</f>
        <v>-6.2516392063116648E-14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124.15919323713428</v>
      </c>
      <c r="CE136" s="59">
        <f t="shared" si="148"/>
        <v>157.85954678210715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0.2890761958560184</v>
      </c>
      <c r="CM136" s="21">
        <f>EXP(-LN(2)/2)*CM135+(1-EXP(-LN(2)/2))/(LN(2)/2)*CG136*CJ136*VLOOKUP('Données projet'!$B$12,Paramètres!$A$1:$I$89,3,0)*0.475*44/12</f>
        <v>2.3166192162851837E-15</v>
      </c>
      <c r="CN136" s="22">
        <f t="shared" si="120"/>
        <v>0.28907619585602073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2.8421709430404007E-14</v>
      </c>
      <c r="O137" s="13">
        <f>N137*VLOOKUP('Données projet'!$B$9,Paramètres!$A$1:$I$89,3,0)*VLOOKUP('Données projet'!$B$9,Paramètres!$A$1:$I$89,5,0)</f>
        <v>2.5715962692629544E-14</v>
      </c>
      <c r="P137" s="13">
        <f t="shared" si="141"/>
        <v>4.5248818890525812E-13</v>
      </c>
      <c r="Q137" s="20">
        <f t="shared" si="108"/>
        <v>8.3287223069965432E-13</v>
      </c>
      <c r="R137" s="59">
        <f t="shared" si="109"/>
        <v>293.33333333333417</v>
      </c>
      <c r="S137" s="59">
        <f ca="1">AVERAGE(OFFSET($R$3,0,0,'Données projet'!$E$9+1,1))-AVERAGE(OFFSET($H$3,0,0,'Données projet'!$E$9+1,1))</f>
        <v>138.8931001150624</v>
      </c>
      <c r="T137" s="59">
        <f t="shared" si="142"/>
        <v>48.964659354096625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-8.5265128291212022E-14</v>
      </c>
      <c r="AJ137" s="13">
        <f>AI137*VLOOKUP('Données projet'!$B$10,Paramètres!$A$1:$I$89,3,0)*VLOOKUP('Données projet'!$B$10,Paramètres!$A$1:$I$89,5,0)</f>
        <v>-7.4487616075202836E-14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191.94797389630673</v>
      </c>
      <c r="AO137" s="59">
        <f t="shared" si="144"/>
        <v>273.52540822767878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0.32826966416593328</v>
      </c>
      <c r="AV137" s="21">
        <f>EXP(-LN(2)/25)*AV136+(1-EXP(-LN(2)/25))/(LN(2)/25)*Calculateur!AQ137*Calculateur!AS137*VLOOKUP('Données projet'!$B$10,Paramètres!$A$1:$I$89,3,0)*0.475*44/12</f>
        <v>0.7858404617797794</v>
      </c>
      <c r="AW137" s="21">
        <f>EXP(-LN(2)/2)*AW136+(1-EXP(-LN(2)/2))/(LN(2)/2)*AQ137*AT137*VLOOKUP('Données projet'!$B$10,Paramètres!$A$1:$I$89,3,0)*0.475*44/12</f>
        <v>5.1521149390486297E-15</v>
      </c>
      <c r="AX137" s="21">
        <f t="shared" si="114"/>
        <v>1.1141101259457178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-3.4106051316484809E-13</v>
      </c>
      <c r="BE137" s="13">
        <f>BD137*VLOOKUP('Données projet'!$B$11,Paramètres!$A$1:$I$89,3,0)*VLOOKUP('Données projet'!$B$11,Paramètres!$A$1:$I$89,5,0)</f>
        <v>-1.9065282685915009E-13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279.98352834501759</v>
      </c>
      <c r="BJ137" s="59">
        <f t="shared" si="146"/>
        <v>281.30062655265488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0.50961218025759802</v>
      </c>
      <c r="BQ137" s="21">
        <f>EXP(-LN(2)/25)*BQ136+(1-EXP(-LN(2)/25))/(LN(2)/25)*Calculateur!BL137*Calculateur!BN137*VLOOKUP('Données projet'!$B$11,Paramètres!$A$1:$I$89,3,0)*0.475*44/12</f>
        <v>1.3552328189962626</v>
      </c>
      <c r="BR137" s="21">
        <f>EXP(-LN(2)/2)*BR136+(1-EXP(-LN(2)/2))/(LN(2)/2)*BL137*BO137*VLOOKUP('Données projet'!$B$11,Paramètres!$A$1:$I$89,3,0)*0.475*44/12</f>
        <v>6.2876682473544321E-15</v>
      </c>
      <c r="BS137" s="22">
        <f t="shared" si="117"/>
        <v>1.8648449992538669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-8.5265128291212022E-14</v>
      </c>
      <c r="BZ137" s="13">
        <f>BY137*VLOOKUP('Données projet'!$B$12,Paramètres!$A$1:$I$89,3,0)*VLOOKUP('Données projet'!$B$12,Paramètres!$A$1:$I$89,5,0)</f>
        <v>-6.2516392063116648E-14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124.15919323713428</v>
      </c>
      <c r="CE137" s="59">
        <f t="shared" si="148"/>
        <v>157.85954678210715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0.28117139207847913</v>
      </c>
      <c r="CM137" s="21">
        <f>EXP(-LN(2)/2)*CM136+(1-EXP(-LN(2)/2))/(LN(2)/2)*CG137*CJ137*VLOOKUP('Données projet'!$B$12,Paramètres!$A$1:$I$89,3,0)*0.475*44/12</f>
        <v>1.6380971572623186E-15</v>
      </c>
      <c r="CN137" s="22">
        <f t="shared" si="120"/>
        <v>0.2811713920784808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2.8421709430404007E-14</v>
      </c>
      <c r="O138" s="13">
        <f>N138*VLOOKUP('Données projet'!$B$9,Paramètres!$A$1:$I$89,3,0)*VLOOKUP('Données projet'!$B$9,Paramètres!$A$1:$I$89,5,0)</f>
        <v>2.5715962692629544E-14</v>
      </c>
      <c r="P138" s="13">
        <f t="shared" si="141"/>
        <v>4.5248818890525812E-13</v>
      </c>
      <c r="Q138" s="20">
        <f t="shared" si="108"/>
        <v>8.3287223069965432E-13</v>
      </c>
      <c r="R138" s="59">
        <f t="shared" si="109"/>
        <v>293.33333333333417</v>
      </c>
      <c r="S138" s="59">
        <f ca="1">AVERAGE(OFFSET($R$3,0,0,'Données projet'!$E$9+1,1))-AVERAGE(OFFSET($H$3,0,0,'Données projet'!$E$9+1,1))</f>
        <v>138.8931001150624</v>
      </c>
      <c r="T138" s="59">
        <f t="shared" si="142"/>
        <v>48.964659354096625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-8.5265128291212022E-14</v>
      </c>
      <c r="AJ138" s="13">
        <f>AI138*VLOOKUP('Données projet'!$B$10,Paramètres!$A$1:$I$89,3,0)*VLOOKUP('Données projet'!$B$10,Paramètres!$A$1:$I$89,5,0)</f>
        <v>-7.4487616075202836E-14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191.94797389630673</v>
      </c>
      <c r="AO138" s="59">
        <f t="shared" si="144"/>
        <v>273.52540822767878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0.3218324962763639</v>
      </c>
      <c r="AV138" s="21">
        <f>EXP(-LN(2)/25)*AV137+(1-EXP(-LN(2)/25))/(LN(2)/25)*Calculateur!AQ138*Calculateur!AS138*VLOOKUP('Données projet'!$B$10,Paramètres!$A$1:$I$89,3,0)*0.475*44/12</f>
        <v>0.7643516130268575</v>
      </c>
      <c r="AW138" s="21">
        <f>EXP(-LN(2)/2)*AW137+(1-EXP(-LN(2)/2))/(LN(2)/2)*AQ138*AT138*VLOOKUP('Données projet'!$B$10,Paramètres!$A$1:$I$89,3,0)*0.475*44/12</f>
        <v>3.6430954108538019E-15</v>
      </c>
      <c r="AX138" s="21">
        <f t="shared" si="114"/>
        <v>1.086184109303225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-3.4106051316484809E-13</v>
      </c>
      <c r="BE138" s="13">
        <f>BD138*VLOOKUP('Données projet'!$B$11,Paramètres!$A$1:$I$89,3,0)*VLOOKUP('Données projet'!$B$11,Paramètres!$A$1:$I$89,5,0)</f>
        <v>-1.9065282685915009E-13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279.98352834501759</v>
      </c>
      <c r="BJ138" s="59">
        <f t="shared" si="146"/>
        <v>281.30062655265488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0.49961899623548428</v>
      </c>
      <c r="BQ138" s="21">
        <f>EXP(-LN(2)/25)*BQ137+(1-EXP(-LN(2)/25))/(LN(2)/25)*Calculateur!BL138*Calculateur!BN138*VLOOKUP('Données projet'!$B$11,Paramètres!$A$1:$I$89,3,0)*0.475*44/12</f>
        <v>1.3181739062922133</v>
      </c>
      <c r="BR138" s="21">
        <f>EXP(-LN(2)/2)*BR137+(1-EXP(-LN(2)/2))/(LN(2)/2)*BL138*BO138*VLOOKUP('Données projet'!$B$11,Paramètres!$A$1:$I$89,3,0)*0.475*44/12</f>
        <v>4.4460528555556531E-15</v>
      </c>
      <c r="BS138" s="22">
        <f t="shared" si="117"/>
        <v>1.817792902527702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-8.5265128291212022E-14</v>
      </c>
      <c r="BZ138" s="13">
        <f>BY138*VLOOKUP('Données projet'!$B$12,Paramètres!$A$1:$I$89,3,0)*VLOOKUP('Données projet'!$B$12,Paramètres!$A$1:$I$89,5,0)</f>
        <v>-6.2516392063116648E-14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124.15919323713428</v>
      </c>
      <c r="CE138" s="59">
        <f t="shared" si="148"/>
        <v>157.85954678210715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0.27348274557593222</v>
      </c>
      <c r="CM138" s="21">
        <f>EXP(-LN(2)/2)*CM137+(1-EXP(-LN(2)/2))/(LN(2)/2)*CG138*CJ138*VLOOKUP('Données projet'!$B$12,Paramètres!$A$1:$I$89,3,0)*0.475*44/12</f>
        <v>1.1583096081425918E-15</v>
      </c>
      <c r="CN138" s="22">
        <f t="shared" si="120"/>
        <v>0.27348274557593338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2.8421709430404007E-14</v>
      </c>
      <c r="O139" s="13">
        <f>N139*VLOOKUP('Données projet'!$B$9,Paramètres!$A$1:$I$89,3,0)*VLOOKUP('Données projet'!$B$9,Paramètres!$A$1:$I$89,5,0)</f>
        <v>2.5715962692629544E-14</v>
      </c>
      <c r="P139" s="13">
        <f t="shared" si="141"/>
        <v>4.5248818890525812E-13</v>
      </c>
      <c r="Q139" s="20">
        <f t="shared" si="108"/>
        <v>8.3287223069965432E-13</v>
      </c>
      <c r="R139" s="59">
        <f t="shared" si="109"/>
        <v>293.33333333333417</v>
      </c>
      <c r="S139" s="59">
        <f ca="1">AVERAGE(OFFSET($R$3,0,0,'Données projet'!$E$9+1,1))-AVERAGE(OFFSET($H$3,0,0,'Données projet'!$E$9+1,1))</f>
        <v>138.8931001150624</v>
      </c>
      <c r="T139" s="59">
        <f t="shared" si="142"/>
        <v>48.964659354096625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-8.5265128291212022E-14</v>
      </c>
      <c r="AJ139" s="13">
        <f>AI139*VLOOKUP('Données projet'!$B$10,Paramètres!$A$1:$I$89,3,0)*VLOOKUP('Données projet'!$B$10,Paramètres!$A$1:$I$89,5,0)</f>
        <v>-7.4487616075202836E-14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191.94797389630673</v>
      </c>
      <c r="AO139" s="59">
        <f t="shared" si="144"/>
        <v>273.52540822767878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0.31552155732282428</v>
      </c>
      <c r="AV139" s="21">
        <f>EXP(-LN(2)/25)*AV138+(1-EXP(-LN(2)/25))/(LN(2)/25)*Calculateur!AQ139*Calculateur!AS139*VLOOKUP('Données projet'!$B$10,Paramètres!$A$1:$I$89,3,0)*0.475*44/12</f>
        <v>0.74345037797313374</v>
      </c>
      <c r="AW139" s="21">
        <f>EXP(-LN(2)/2)*AW138+(1-EXP(-LN(2)/2))/(LN(2)/2)*AQ139*AT139*VLOOKUP('Données projet'!$B$10,Paramètres!$A$1:$I$89,3,0)*0.475*44/12</f>
        <v>2.5760574695243149E-15</v>
      </c>
      <c r="AX139" s="21">
        <f t="shared" si="114"/>
        <v>1.0589719352959608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-3.4106051316484809E-13</v>
      </c>
      <c r="BE139" s="13">
        <f>BD139*VLOOKUP('Données projet'!$B$11,Paramètres!$A$1:$I$89,3,0)*VLOOKUP('Données projet'!$B$11,Paramètres!$A$1:$I$89,5,0)</f>
        <v>-1.9065282685915009E-13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279.98352834501759</v>
      </c>
      <c r="BJ139" s="59">
        <f t="shared" si="146"/>
        <v>281.30062655265488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0.48982177245680381</v>
      </c>
      <c r="BQ139" s="21">
        <f>EXP(-LN(2)/25)*BQ138+(1-EXP(-LN(2)/25))/(LN(2)/25)*Calculateur!BL139*Calculateur!BN139*VLOOKUP('Données projet'!$B$11,Paramètres!$A$1:$I$89,3,0)*0.475*44/12</f>
        <v>1.2821283715048997</v>
      </c>
      <c r="BR139" s="21">
        <f>EXP(-LN(2)/2)*BR138+(1-EXP(-LN(2)/2))/(LN(2)/2)*BL139*BO139*VLOOKUP('Données projet'!$B$11,Paramètres!$A$1:$I$89,3,0)*0.475*44/12</f>
        <v>3.143834123677216E-15</v>
      </c>
      <c r="BS139" s="22">
        <f t="shared" si="117"/>
        <v>1.7719501439617065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-8.5265128291212022E-14</v>
      </c>
      <c r="BZ139" s="13">
        <f>BY139*VLOOKUP('Données projet'!$B$12,Paramètres!$A$1:$I$89,3,0)*VLOOKUP('Données projet'!$B$12,Paramètres!$A$1:$I$89,5,0)</f>
        <v>-6.2516392063116648E-14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124.15919323713428</v>
      </c>
      <c r="CE139" s="59">
        <f t="shared" si="148"/>
        <v>157.85954678210715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0.26600434551632579</v>
      </c>
      <c r="CM139" s="21">
        <f>EXP(-LN(2)/2)*CM138+(1-EXP(-LN(2)/2))/(LN(2)/2)*CG139*CJ139*VLOOKUP('Données projet'!$B$12,Paramètres!$A$1:$I$89,3,0)*0.475*44/12</f>
        <v>8.1904857863115931E-16</v>
      </c>
      <c r="CN139" s="22">
        <f t="shared" si="120"/>
        <v>0.26600434551632662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2.8421709430404007E-14</v>
      </c>
      <c r="O140" s="13">
        <f>N140*VLOOKUP('Données projet'!$B$9,Paramètres!$A$1:$I$89,3,0)*VLOOKUP('Données projet'!$B$9,Paramètres!$A$1:$I$89,5,0)</f>
        <v>2.5715962692629544E-14</v>
      </c>
      <c r="P140" s="13">
        <f t="shared" si="141"/>
        <v>4.5248818890525812E-13</v>
      </c>
      <c r="Q140" s="20">
        <f t="shared" si="108"/>
        <v>8.3287223069965432E-13</v>
      </c>
      <c r="R140" s="59">
        <f t="shared" si="109"/>
        <v>293.33333333333417</v>
      </c>
      <c r="S140" s="59">
        <f ca="1">AVERAGE(OFFSET($R$3,0,0,'Données projet'!$E$9+1,1))-AVERAGE(OFFSET($H$3,0,0,'Données projet'!$E$9+1,1))</f>
        <v>138.8931001150624</v>
      </c>
      <c r="T140" s="59">
        <f t="shared" si="142"/>
        <v>48.964659354096625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-8.5265128291212022E-14</v>
      </c>
      <c r="AJ140" s="13">
        <f>AI140*VLOOKUP('Données projet'!$B$10,Paramètres!$A$1:$I$89,3,0)*VLOOKUP('Données projet'!$B$10,Paramètres!$A$1:$I$89,5,0)</f>
        <v>-7.4487616075202836E-14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191.94797389630673</v>
      </c>
      <c r="AO140" s="59">
        <f t="shared" si="144"/>
        <v>273.52540822767878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0.3093343720328709</v>
      </c>
      <c r="AV140" s="21">
        <f>EXP(-LN(2)/25)*AV139+(1-EXP(-LN(2)/25))/(LN(2)/25)*Calculateur!AQ140*Calculateur!AS140*VLOOKUP('Données projet'!$B$10,Paramètres!$A$1:$I$89,3,0)*0.475*44/12</f>
        <v>0.72312068829110221</v>
      </c>
      <c r="AW140" s="21">
        <f>EXP(-LN(2)/2)*AW139+(1-EXP(-LN(2)/2))/(LN(2)/2)*AQ140*AT140*VLOOKUP('Données projet'!$B$10,Paramètres!$A$1:$I$89,3,0)*0.475*44/12</f>
        <v>1.821547705426901E-15</v>
      </c>
      <c r="AX140" s="21">
        <f t="shared" si="114"/>
        <v>1.0324550603239748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-3.4106051316484809E-13</v>
      </c>
      <c r="BE140" s="13">
        <f>BD140*VLOOKUP('Données projet'!$B$11,Paramètres!$A$1:$I$89,3,0)*VLOOKUP('Données projet'!$B$11,Paramètres!$A$1:$I$89,5,0)</f>
        <v>-1.9065282685915009E-13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279.98352834501759</v>
      </c>
      <c r="BJ140" s="59">
        <f t="shared" si="146"/>
        <v>281.30062655265488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0.4802166662607068</v>
      </c>
      <c r="BQ140" s="21">
        <f>EXP(-LN(2)/25)*BQ139+(1-EXP(-LN(2)/25))/(LN(2)/25)*Calculateur!BL140*Calculateur!BN140*VLOOKUP('Données projet'!$B$11,Paramètres!$A$1:$I$89,3,0)*0.475*44/12</f>
        <v>1.2470685037618974</v>
      </c>
      <c r="BR140" s="21">
        <f>EXP(-LN(2)/2)*BR139+(1-EXP(-LN(2)/2))/(LN(2)/2)*BL140*BO140*VLOOKUP('Données projet'!$B$11,Paramètres!$A$1:$I$89,3,0)*0.475*44/12</f>
        <v>2.2230264277778266E-15</v>
      </c>
      <c r="BS140" s="22">
        <f t="shared" si="117"/>
        <v>1.7272851700226064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-8.5265128291212022E-14</v>
      </c>
      <c r="BZ140" s="13">
        <f>BY140*VLOOKUP('Données projet'!$B$12,Paramètres!$A$1:$I$89,3,0)*VLOOKUP('Données projet'!$B$12,Paramètres!$A$1:$I$89,5,0)</f>
        <v>-6.2516392063116648E-14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124.15919323713428</v>
      </c>
      <c r="CE140" s="59">
        <f t="shared" si="148"/>
        <v>157.85954678210715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0.25873044269962131</v>
      </c>
      <c r="CM140" s="21">
        <f>EXP(-LN(2)/2)*CM139+(1-EXP(-LN(2)/2))/(LN(2)/2)*CG140*CJ140*VLOOKUP('Données projet'!$B$12,Paramètres!$A$1:$I$89,3,0)*0.475*44/12</f>
        <v>5.7915480407129592E-16</v>
      </c>
      <c r="CN140" s="22">
        <f t="shared" si="120"/>
        <v>0.25873044269962187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2.8421709430404007E-14</v>
      </c>
      <c r="O141" s="13">
        <f>N141*VLOOKUP('Données projet'!$B$9,Paramètres!$A$1:$I$89,3,0)*VLOOKUP('Données projet'!$B$9,Paramètres!$A$1:$I$89,5,0)</f>
        <v>2.5715962692629544E-14</v>
      </c>
      <c r="P141" s="13">
        <f t="shared" si="141"/>
        <v>4.5248818890525812E-13</v>
      </c>
      <c r="Q141" s="20">
        <f t="shared" si="108"/>
        <v>8.3287223069965432E-13</v>
      </c>
      <c r="R141" s="59">
        <f t="shared" si="109"/>
        <v>293.33333333333417</v>
      </c>
      <c r="S141" s="59">
        <f ca="1">AVERAGE(OFFSET($R$3,0,0,'Données projet'!$E$9+1,1))-AVERAGE(OFFSET($H$3,0,0,'Données projet'!$E$9+1,1))</f>
        <v>138.8931001150624</v>
      </c>
      <c r="T141" s="59">
        <f t="shared" si="142"/>
        <v>48.964659354096625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-8.5265128291212022E-14</v>
      </c>
      <c r="AJ141" s="13">
        <f>AI141*VLOOKUP('Données projet'!$B$10,Paramètres!$A$1:$I$89,3,0)*VLOOKUP('Données projet'!$B$10,Paramètres!$A$1:$I$89,5,0)</f>
        <v>-7.4487616075202836E-14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191.94797389630673</v>
      </c>
      <c r="AO141" s="59">
        <f t="shared" si="144"/>
        <v>273.52540822767878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0.30326851367264307</v>
      </c>
      <c r="AV141" s="21">
        <f>EXP(-LN(2)/25)*AV140+(1-EXP(-LN(2)/25))/(LN(2)/25)*Calculateur!AQ141*Calculateur!AS141*VLOOKUP('Données projet'!$B$10,Paramètres!$A$1:$I$89,3,0)*0.475*44/12</f>
        <v>0.70334691504251778</v>
      </c>
      <c r="AW141" s="21">
        <f>EXP(-LN(2)/2)*AW140+(1-EXP(-LN(2)/2))/(LN(2)/2)*AQ141*AT141*VLOOKUP('Données projet'!$B$10,Paramètres!$A$1:$I$89,3,0)*0.475*44/12</f>
        <v>1.2880287347621574E-15</v>
      </c>
      <c r="AX141" s="21">
        <f t="shared" si="114"/>
        <v>1.0066154287151621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-3.4106051316484809E-13</v>
      </c>
      <c r="BE141" s="13">
        <f>BD141*VLOOKUP('Données projet'!$B$11,Paramètres!$A$1:$I$89,3,0)*VLOOKUP('Données projet'!$B$11,Paramètres!$A$1:$I$89,5,0)</f>
        <v>-1.9065282685915009E-13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279.98352834501759</v>
      </c>
      <c r="BJ141" s="59">
        <f t="shared" si="146"/>
        <v>281.30062655265488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0.47079991033857899</v>
      </c>
      <c r="BQ141" s="21">
        <f>EXP(-LN(2)/25)*BQ140+(1-EXP(-LN(2)/25))/(LN(2)/25)*Calculateur!BL141*Calculateur!BN141*VLOOKUP('Données projet'!$B$11,Paramètres!$A$1:$I$89,3,0)*0.475*44/12</f>
        <v>1.2129673499460458</v>
      </c>
      <c r="BR141" s="21">
        <f>EXP(-LN(2)/2)*BR140+(1-EXP(-LN(2)/2))/(LN(2)/2)*BL141*BO141*VLOOKUP('Données projet'!$B$11,Paramètres!$A$1:$I$89,3,0)*0.475*44/12</f>
        <v>1.571917061838608E-15</v>
      </c>
      <c r="BS141" s="22">
        <f t="shared" si="117"/>
        <v>1.6837672602846263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-8.5265128291212022E-14</v>
      </c>
      <c r="BZ141" s="13">
        <f>BY141*VLOOKUP('Données projet'!$B$12,Paramètres!$A$1:$I$89,3,0)*VLOOKUP('Données projet'!$B$12,Paramètres!$A$1:$I$89,5,0)</f>
        <v>-6.2516392063116648E-14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124.15919323713428</v>
      </c>
      <c r="CE141" s="59">
        <f t="shared" si="148"/>
        <v>157.85954678210715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0.25165544513795751</v>
      </c>
      <c r="CM141" s="21">
        <f>EXP(-LN(2)/2)*CM140+(1-EXP(-LN(2)/2))/(LN(2)/2)*CG141*CJ141*VLOOKUP('Données projet'!$B$12,Paramètres!$A$1:$I$89,3,0)*0.475*44/12</f>
        <v>4.0952428931557966E-16</v>
      </c>
      <c r="CN141" s="22">
        <f t="shared" si="120"/>
        <v>0.2516554451379579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2.8421709430404007E-14</v>
      </c>
      <c r="O142" s="13">
        <f>N142*VLOOKUP('Données projet'!$B$9,Paramètres!$A$1:$I$89,3,0)*VLOOKUP('Données projet'!$B$9,Paramètres!$A$1:$I$89,5,0)</f>
        <v>2.5715962692629544E-14</v>
      </c>
      <c r="P142" s="13">
        <f t="shared" si="141"/>
        <v>4.5248818890525812E-13</v>
      </c>
      <c r="Q142" s="20">
        <f t="shared" si="108"/>
        <v>8.3287223069965432E-13</v>
      </c>
      <c r="R142" s="59">
        <f t="shared" si="109"/>
        <v>293.33333333333417</v>
      </c>
      <c r="S142" s="59">
        <f ca="1">AVERAGE(OFFSET($R$3,0,0,'Données projet'!$E$9+1,1))-AVERAGE(OFFSET($H$3,0,0,'Données projet'!$E$9+1,1))</f>
        <v>138.8931001150624</v>
      </c>
      <c r="T142" s="59">
        <f t="shared" si="142"/>
        <v>48.964659354096625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-8.5265128291212022E-14</v>
      </c>
      <c r="AJ142" s="13">
        <f>AI142*VLOOKUP('Données projet'!$B$10,Paramètres!$A$1:$I$89,3,0)*VLOOKUP('Données projet'!$B$10,Paramètres!$A$1:$I$89,5,0)</f>
        <v>-7.4487616075202836E-14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191.94797389630673</v>
      </c>
      <c r="AO142" s="59">
        <f t="shared" si="144"/>
        <v>273.52540822767878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0.29732160309505107</v>
      </c>
      <c r="AV142" s="21">
        <f>EXP(-LN(2)/25)*AV141+(1-EXP(-LN(2)/25))/(LN(2)/25)*Calculateur!AQ142*Calculateur!AS142*VLOOKUP('Données projet'!$B$10,Paramètres!$A$1:$I$89,3,0)*0.475*44/12</f>
        <v>0.6841138566632734</v>
      </c>
      <c r="AW142" s="21">
        <f>EXP(-LN(2)/2)*AW141+(1-EXP(-LN(2)/2))/(LN(2)/2)*AQ142*AT142*VLOOKUP('Données projet'!$B$10,Paramètres!$A$1:$I$89,3,0)*0.475*44/12</f>
        <v>9.1077385271345048E-16</v>
      </c>
      <c r="AX142" s="21">
        <f t="shared" si="114"/>
        <v>0.98143545975832536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-3.4106051316484809E-13</v>
      </c>
      <c r="BE142" s="13">
        <f>BD142*VLOOKUP('Données projet'!$B$11,Paramètres!$A$1:$I$89,3,0)*VLOOKUP('Données projet'!$B$11,Paramètres!$A$1:$I$89,5,0)</f>
        <v>-1.9065282685915009E-13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279.98352834501759</v>
      </c>
      <c r="BJ142" s="59">
        <f t="shared" si="146"/>
        <v>281.30062655265488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0.46156781125643009</v>
      </c>
      <c r="BQ142" s="21">
        <f>EXP(-LN(2)/25)*BQ141+(1-EXP(-LN(2)/25))/(LN(2)/25)*Calculateur!BL142*Calculateur!BN142*VLOOKUP('Données projet'!$B$11,Paramètres!$A$1:$I$89,3,0)*0.475*44/12</f>
        <v>1.1797986939745906</v>
      </c>
      <c r="BR142" s="21">
        <f>EXP(-LN(2)/2)*BR141+(1-EXP(-LN(2)/2))/(LN(2)/2)*BL142*BO142*VLOOKUP('Données projet'!$B$11,Paramètres!$A$1:$I$89,3,0)*0.475*44/12</f>
        <v>1.1115132138889133E-15</v>
      </c>
      <c r="BS142" s="22">
        <f t="shared" si="117"/>
        <v>1.6413665052310218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-8.5265128291212022E-14</v>
      </c>
      <c r="BZ142" s="13">
        <f>BY142*VLOOKUP('Données projet'!$B$12,Paramètres!$A$1:$I$89,3,0)*VLOOKUP('Données projet'!$B$12,Paramètres!$A$1:$I$89,5,0)</f>
        <v>-6.2516392063116648E-14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124.15919323713428</v>
      </c>
      <c r="CE142" s="59">
        <f t="shared" si="148"/>
        <v>157.85954678210715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0.24477391375667537</v>
      </c>
      <c r="CM142" s="21">
        <f>EXP(-LN(2)/2)*CM141+(1-EXP(-LN(2)/2))/(LN(2)/2)*CG142*CJ142*VLOOKUP('Données projet'!$B$12,Paramètres!$A$1:$I$89,3,0)*0.475*44/12</f>
        <v>2.8957740203564796E-16</v>
      </c>
      <c r="CN142" s="22">
        <f t="shared" si="120"/>
        <v>0.24477391375667565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2.8421709430404007E-14</v>
      </c>
      <c r="O143" s="13">
        <f>N143*VLOOKUP('Données projet'!$B$9,Paramètres!$A$1:$I$89,3,0)*VLOOKUP('Données projet'!$B$9,Paramètres!$A$1:$I$89,5,0)</f>
        <v>2.5715962692629544E-14</v>
      </c>
      <c r="P143" s="13">
        <f t="shared" si="141"/>
        <v>4.5248818890525812E-13</v>
      </c>
      <c r="Q143" s="20">
        <f t="shared" si="108"/>
        <v>8.3287223069965432E-13</v>
      </c>
      <c r="R143" s="59">
        <f t="shared" si="109"/>
        <v>293.33333333333417</v>
      </c>
      <c r="S143" s="59">
        <f ca="1">AVERAGE(OFFSET($R$3,0,0,'Données projet'!$E$9+1,1))-AVERAGE(OFFSET($H$3,0,0,'Données projet'!$E$9+1,1))</f>
        <v>138.8931001150624</v>
      </c>
      <c r="T143" s="59">
        <f t="shared" si="142"/>
        <v>48.964659354096625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-8.5265128291212022E-14</v>
      </c>
      <c r="AJ143" s="13">
        <f>AI143*VLOOKUP('Données projet'!$B$10,Paramètres!$A$1:$I$89,3,0)*VLOOKUP('Données projet'!$B$10,Paramètres!$A$1:$I$89,5,0)</f>
        <v>-7.4487616075202836E-14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191.94797389630673</v>
      </c>
      <c r="AO143" s="59">
        <f t="shared" si="144"/>
        <v>273.52540822767878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0.29149130780662835</v>
      </c>
      <c r="AV143" s="21">
        <f>EXP(-LN(2)/25)*AV142+(1-EXP(-LN(2)/25))/(LN(2)/25)*Calculateur!AQ143*Calculateur!AS143*VLOOKUP('Données projet'!$B$10,Paramètres!$A$1:$I$89,3,0)*0.475*44/12</f>
        <v>0.66540672727683203</v>
      </c>
      <c r="AW143" s="21">
        <f>EXP(-LN(2)/2)*AW142+(1-EXP(-LN(2)/2))/(LN(2)/2)*AQ143*AT143*VLOOKUP('Données projet'!$B$10,Paramètres!$A$1:$I$89,3,0)*0.475*44/12</f>
        <v>6.4401436738107871E-16</v>
      </c>
      <c r="AX143" s="21">
        <f t="shared" si="114"/>
        <v>0.95689803508346105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-3.4106051316484809E-13</v>
      </c>
      <c r="BE143" s="13">
        <f>BD143*VLOOKUP('Données projet'!$B$11,Paramètres!$A$1:$I$89,3,0)*VLOOKUP('Données projet'!$B$11,Paramètres!$A$1:$I$89,5,0)</f>
        <v>-1.9065282685915009E-13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279.98352834501759</v>
      </c>
      <c r="BJ143" s="59">
        <f t="shared" si="146"/>
        <v>281.30062655265488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0.45251674800625774</v>
      </c>
      <c r="BQ143" s="21">
        <f>EXP(-LN(2)/25)*BQ142+(1-EXP(-LN(2)/25))/(LN(2)/25)*Calculateur!BL143*Calculateur!BN143*VLOOKUP('Données projet'!$B$11,Paramètres!$A$1:$I$89,3,0)*0.475*44/12</f>
        <v>1.1475370366449384</v>
      </c>
      <c r="BR143" s="21">
        <f>EXP(-LN(2)/2)*BR142+(1-EXP(-LN(2)/2))/(LN(2)/2)*BL143*BO143*VLOOKUP('Données projet'!$B$11,Paramètres!$A$1:$I$89,3,0)*0.475*44/12</f>
        <v>7.8595853091930401E-16</v>
      </c>
      <c r="BS143" s="22">
        <f t="shared" si="117"/>
        <v>1.6000537846511971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-8.5265128291212022E-14</v>
      </c>
      <c r="BZ143" s="13">
        <f>BY143*VLOOKUP('Données projet'!$B$12,Paramètres!$A$1:$I$89,3,0)*VLOOKUP('Données projet'!$B$12,Paramètres!$A$1:$I$89,5,0)</f>
        <v>-6.2516392063116648E-14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124.15919323713428</v>
      </c>
      <c r="CE143" s="59">
        <f t="shared" si="148"/>
        <v>157.85954678210715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0.23808055821289839</v>
      </c>
      <c r="CM143" s="21">
        <f>EXP(-LN(2)/2)*CM142+(1-EXP(-LN(2)/2))/(LN(2)/2)*CG143*CJ143*VLOOKUP('Données projet'!$B$12,Paramètres!$A$1:$I$89,3,0)*0.475*44/12</f>
        <v>2.0476214465778983E-16</v>
      </c>
      <c r="CN143" s="22">
        <f t="shared" si="120"/>
        <v>0.23808055821289859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2.8421709430404007E-14</v>
      </c>
      <c r="O144" s="13">
        <f>N144*VLOOKUP('Données projet'!$B$9,Paramètres!$A$1:$I$89,3,0)*VLOOKUP('Données projet'!$B$9,Paramètres!$A$1:$I$89,5,0)</f>
        <v>2.5715962692629544E-14</v>
      </c>
      <c r="P144" s="13">
        <f t="shared" si="141"/>
        <v>4.5248818890525812E-13</v>
      </c>
      <c r="Q144" s="20">
        <f t="shared" si="108"/>
        <v>8.3287223069965432E-13</v>
      </c>
      <c r="R144" s="59">
        <f t="shared" si="109"/>
        <v>293.33333333333417</v>
      </c>
      <c r="S144" s="59">
        <f ca="1">AVERAGE(OFFSET($R$3,0,0,'Données projet'!$E$9+1,1))-AVERAGE(OFFSET($H$3,0,0,'Données projet'!$E$9+1,1))</f>
        <v>138.8931001150624</v>
      </c>
      <c r="T144" s="59">
        <f t="shared" si="142"/>
        <v>48.964659354096625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-8.5265128291212022E-14</v>
      </c>
      <c r="AJ144" s="13">
        <f>AI144*VLOOKUP('Données projet'!$B$10,Paramètres!$A$1:$I$89,3,0)*VLOOKUP('Données projet'!$B$10,Paramètres!$A$1:$I$89,5,0)</f>
        <v>-7.4487616075202836E-14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191.94797389630673</v>
      </c>
      <c r="AO144" s="59">
        <f t="shared" si="144"/>
        <v>273.52540822767878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0.2857753410526826</v>
      </c>
      <c r="AV144" s="21">
        <f>EXP(-LN(2)/25)*AV143+(1-EXP(-LN(2)/25))/(LN(2)/25)*Calculateur!AQ144*Calculateur!AS144*VLOOKUP('Données projet'!$B$10,Paramètres!$A$1:$I$89,3,0)*0.475*44/12</f>
        <v>0.64721114532722812</v>
      </c>
      <c r="AW144" s="21">
        <f>EXP(-LN(2)/2)*AW143+(1-EXP(-LN(2)/2))/(LN(2)/2)*AQ144*AT144*VLOOKUP('Données projet'!$B$10,Paramètres!$A$1:$I$89,3,0)*0.475*44/12</f>
        <v>4.5538692635672524E-16</v>
      </c>
      <c r="AX144" s="21">
        <f t="shared" si="114"/>
        <v>0.93298648637991111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-3.4106051316484809E-13</v>
      </c>
      <c r="BE144" s="13">
        <f>BD144*VLOOKUP('Données projet'!$B$11,Paramètres!$A$1:$I$89,3,0)*VLOOKUP('Données projet'!$B$11,Paramètres!$A$1:$I$89,5,0)</f>
        <v>-1.9065282685915009E-13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279.98352834501759</v>
      </c>
      <c r="BJ144" s="59">
        <f t="shared" si="146"/>
        <v>281.30062655265488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0.44364317058581781</v>
      </c>
      <c r="BQ144" s="21">
        <f>EXP(-LN(2)/25)*BQ143+(1-EXP(-LN(2)/25))/(LN(2)/25)*Calculateur!BL144*Calculateur!BN144*VLOOKUP('Données projet'!$B$11,Paramètres!$A$1:$I$89,3,0)*0.475*44/12</f>
        <v>1.1161575760315325</v>
      </c>
      <c r="BR144" s="21">
        <f>EXP(-LN(2)/2)*BR143+(1-EXP(-LN(2)/2))/(LN(2)/2)*BL144*BO144*VLOOKUP('Données projet'!$B$11,Paramètres!$A$1:$I$89,3,0)*0.475*44/12</f>
        <v>5.5575660694445664E-16</v>
      </c>
      <c r="BS144" s="22">
        <f t="shared" si="117"/>
        <v>1.5598007466173509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-8.5265128291212022E-14</v>
      </c>
      <c r="BZ144" s="13">
        <f>BY144*VLOOKUP('Données projet'!$B$12,Paramètres!$A$1:$I$89,3,0)*VLOOKUP('Données projet'!$B$12,Paramètres!$A$1:$I$89,5,0)</f>
        <v>-6.2516392063116648E-14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124.15919323713428</v>
      </c>
      <c r="CE144" s="59">
        <f t="shared" si="148"/>
        <v>157.85954678210715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0.23157023282845426</v>
      </c>
      <c r="CM144" s="21">
        <f>EXP(-LN(2)/2)*CM143+(1-EXP(-LN(2)/2))/(LN(2)/2)*CG144*CJ144*VLOOKUP('Données projet'!$B$12,Paramètres!$A$1:$I$89,3,0)*0.475*44/12</f>
        <v>1.4478870101782398E-16</v>
      </c>
      <c r="CN144" s="22">
        <f t="shared" si="120"/>
        <v>0.2315702328284544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2.8421709430404007E-14</v>
      </c>
      <c r="O145" s="13">
        <f>N145*VLOOKUP('Données projet'!$B$9,Paramètres!$A$1:$I$89,3,0)*VLOOKUP('Données projet'!$B$9,Paramètres!$A$1:$I$89,5,0)</f>
        <v>2.5715962692629544E-14</v>
      </c>
      <c r="P145" s="13">
        <f t="shared" si="141"/>
        <v>4.5248818890525812E-13</v>
      </c>
      <c r="Q145" s="20">
        <f t="shared" si="108"/>
        <v>8.3287223069965432E-13</v>
      </c>
      <c r="R145" s="59">
        <f t="shared" si="109"/>
        <v>293.33333333333417</v>
      </c>
      <c r="S145" s="59">
        <f ca="1">AVERAGE(OFFSET($R$3,0,0,'Données projet'!$E$9+1,1))-AVERAGE(OFFSET($H$3,0,0,'Données projet'!$E$9+1,1))</f>
        <v>138.8931001150624</v>
      </c>
      <c r="T145" s="59">
        <f t="shared" si="142"/>
        <v>48.964659354096625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-8.5265128291212022E-14</v>
      </c>
      <c r="AJ145" s="13">
        <f>AI145*VLOOKUP('Données projet'!$B$10,Paramètres!$A$1:$I$89,3,0)*VLOOKUP('Données projet'!$B$10,Paramètres!$A$1:$I$89,5,0)</f>
        <v>-7.4487616075202836E-14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191.94797389630673</v>
      </c>
      <c r="AO145" s="59">
        <f t="shared" si="144"/>
        <v>273.52540822767878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0.28017146092038625</v>
      </c>
      <c r="AV145" s="21">
        <f>EXP(-LN(2)/25)*AV144+(1-EXP(-LN(2)/25))/(LN(2)/25)*Calculateur!AQ145*Calculateur!AS145*VLOOKUP('Données projet'!$B$10,Paramètres!$A$1:$I$89,3,0)*0.475*44/12</f>
        <v>0.62951312252290015</v>
      </c>
      <c r="AW145" s="21">
        <f>EXP(-LN(2)/2)*AW144+(1-EXP(-LN(2)/2))/(LN(2)/2)*AQ145*AT145*VLOOKUP('Données projet'!$B$10,Paramètres!$A$1:$I$89,3,0)*0.475*44/12</f>
        <v>3.2200718369053936E-16</v>
      </c>
      <c r="AX145" s="21">
        <f t="shared" si="114"/>
        <v>0.90968458344328673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-3.4106051316484809E-13</v>
      </c>
      <c r="BE145" s="13">
        <f>BD145*VLOOKUP('Données projet'!$B$11,Paramètres!$A$1:$I$89,3,0)*VLOOKUP('Données projet'!$B$11,Paramètres!$A$1:$I$89,5,0)</f>
        <v>-1.9065282685915009E-13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279.98352834501759</v>
      </c>
      <c r="BJ145" s="59">
        <f t="shared" si="146"/>
        <v>281.30062655265488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0.43494359860624487</v>
      </c>
      <c r="BQ145" s="21">
        <f>EXP(-LN(2)/25)*BQ144+(1-EXP(-LN(2)/25))/(LN(2)/25)*Calculateur!BL145*Calculateur!BN145*VLOOKUP('Données projet'!$B$11,Paramètres!$A$1:$I$89,3,0)*0.475*44/12</f>
        <v>1.0856361884187744</v>
      </c>
      <c r="BR145" s="21">
        <f>EXP(-LN(2)/2)*BR144+(1-EXP(-LN(2)/2))/(LN(2)/2)*BL145*BO145*VLOOKUP('Données projet'!$B$11,Paramètres!$A$1:$I$89,3,0)*0.475*44/12</f>
        <v>3.9297926545965201E-16</v>
      </c>
      <c r="BS145" s="22">
        <f t="shared" si="117"/>
        <v>1.5205797870250197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-8.5265128291212022E-14</v>
      </c>
      <c r="BZ145" s="13">
        <f>BY145*VLOOKUP('Données projet'!$B$12,Paramètres!$A$1:$I$89,3,0)*VLOOKUP('Données projet'!$B$12,Paramètres!$A$1:$I$89,5,0)</f>
        <v>-6.2516392063116648E-14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124.15919323713428</v>
      </c>
      <c r="CE145" s="59">
        <f t="shared" si="148"/>
        <v>157.85954678210715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0.2252379326340109</v>
      </c>
      <c r="CM145" s="21">
        <f>EXP(-LN(2)/2)*CM144+(1-EXP(-LN(2)/2))/(LN(2)/2)*CG145*CJ145*VLOOKUP('Données projet'!$B$12,Paramètres!$A$1:$I$89,3,0)*0.475*44/12</f>
        <v>1.0238107232889491E-16</v>
      </c>
      <c r="CN145" s="22">
        <f t="shared" si="120"/>
        <v>0.22523793263401101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2.8421709430404007E-14</v>
      </c>
      <c r="O146" s="13">
        <f>N146*VLOOKUP('Données projet'!$B$9,Paramètres!$A$1:$I$89,3,0)*VLOOKUP('Données projet'!$B$9,Paramètres!$A$1:$I$89,5,0)</f>
        <v>2.5715962692629544E-14</v>
      </c>
      <c r="P146" s="13">
        <f t="shared" si="141"/>
        <v>4.5248818890525812E-13</v>
      </c>
      <c r="Q146" s="20">
        <f t="shared" si="108"/>
        <v>8.3287223069965432E-13</v>
      </c>
      <c r="R146" s="59">
        <f t="shared" si="109"/>
        <v>293.33333333333417</v>
      </c>
      <c r="S146" s="59">
        <f ca="1">AVERAGE(OFFSET($R$3,0,0,'Données projet'!$E$9+1,1))-AVERAGE(OFFSET($H$3,0,0,'Données projet'!$E$9+1,1))</f>
        <v>138.8931001150624</v>
      </c>
      <c r="T146" s="59">
        <f t="shared" si="142"/>
        <v>48.964659354096625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-8.5265128291212022E-14</v>
      </c>
      <c r="AJ146" s="13">
        <f>AI146*VLOOKUP('Données projet'!$B$10,Paramètres!$A$1:$I$89,3,0)*VLOOKUP('Données projet'!$B$10,Paramètres!$A$1:$I$89,5,0)</f>
        <v>-7.4487616075202836E-14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191.94797389630673</v>
      </c>
      <c r="AO146" s="59">
        <f t="shared" si="144"/>
        <v>273.52540822767878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0.27467746945945487</v>
      </c>
      <c r="AV146" s="21">
        <f>EXP(-LN(2)/25)*AV145+(1-EXP(-LN(2)/25))/(LN(2)/25)*Calculateur!AQ146*Calculateur!AS146*VLOOKUP('Données projet'!$B$10,Paramètres!$A$1:$I$89,3,0)*0.475*44/12</f>
        <v>0.61229905308285515</v>
      </c>
      <c r="AW146" s="21">
        <f>EXP(-LN(2)/2)*AW145+(1-EXP(-LN(2)/2))/(LN(2)/2)*AQ146*AT146*VLOOKUP('Données projet'!$B$10,Paramètres!$A$1:$I$89,3,0)*0.475*44/12</f>
        <v>2.2769346317836262E-16</v>
      </c>
      <c r="AX146" s="21">
        <f t="shared" si="114"/>
        <v>0.8869765225423103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-3.4106051316484809E-13</v>
      </c>
      <c r="BE146" s="13">
        <f>BD146*VLOOKUP('Données projet'!$B$11,Paramètres!$A$1:$I$89,3,0)*VLOOKUP('Données projet'!$B$11,Paramètres!$A$1:$I$89,5,0)</f>
        <v>-1.9065282685915009E-13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279.98352834501759</v>
      </c>
      <c r="BJ146" s="59">
        <f t="shared" si="146"/>
        <v>281.30062655265488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0.42641461992697643</v>
      </c>
      <c r="BQ146" s="21">
        <f>EXP(-LN(2)/25)*BQ145+(1-EXP(-LN(2)/25))/(LN(2)/25)*Calculateur!BL146*Calculateur!BN146*VLOOKUP('Données projet'!$B$11,Paramètres!$A$1:$I$89,3,0)*0.475*44/12</f>
        <v>1.055949409755337</v>
      </c>
      <c r="BR146" s="21">
        <f>EXP(-LN(2)/2)*BR145+(1-EXP(-LN(2)/2))/(LN(2)/2)*BL146*BO146*VLOOKUP('Données projet'!$B$11,Paramètres!$A$1:$I$89,3,0)*0.475*44/12</f>
        <v>2.7787830347222832E-16</v>
      </c>
      <c r="BS146" s="22">
        <f t="shared" si="117"/>
        <v>1.4823640296823137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-8.5265128291212022E-14</v>
      </c>
      <c r="BZ146" s="13">
        <f>BY146*VLOOKUP('Données projet'!$B$12,Paramètres!$A$1:$I$89,3,0)*VLOOKUP('Données projet'!$B$12,Paramètres!$A$1:$I$89,5,0)</f>
        <v>-6.2516392063116648E-14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124.15919323713428</v>
      </c>
      <c r="CE146" s="59">
        <f t="shared" si="148"/>
        <v>157.85954678210715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0.21907878952138579</v>
      </c>
      <c r="CM146" s="21">
        <f>EXP(-LN(2)/2)*CM145+(1-EXP(-LN(2)/2))/(LN(2)/2)*CG146*CJ146*VLOOKUP('Données projet'!$B$12,Paramètres!$A$1:$I$89,3,0)*0.475*44/12</f>
        <v>7.239435050891199E-17</v>
      </c>
      <c r="CN146" s="22">
        <f t="shared" si="120"/>
        <v>0.21907878952138587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2.8421709430404007E-14</v>
      </c>
      <c r="O147" s="13">
        <f>N147*VLOOKUP('Données projet'!$B$9,Paramètres!$A$1:$I$89,3,0)*VLOOKUP('Données projet'!$B$9,Paramètres!$A$1:$I$89,5,0)</f>
        <v>2.5715962692629544E-14</v>
      </c>
      <c r="P147" s="13">
        <f t="shared" si="141"/>
        <v>4.5248818890525812E-13</v>
      </c>
      <c r="Q147" s="20">
        <f t="shared" si="108"/>
        <v>8.3287223069965432E-13</v>
      </c>
      <c r="R147" s="59">
        <f t="shared" si="109"/>
        <v>293.33333333333417</v>
      </c>
      <c r="S147" s="59">
        <f ca="1">AVERAGE(OFFSET($R$3,0,0,'Données projet'!$E$9+1,1))-AVERAGE(OFFSET($H$3,0,0,'Données projet'!$E$9+1,1))</f>
        <v>138.8931001150624</v>
      </c>
      <c r="T147" s="59">
        <f t="shared" si="142"/>
        <v>48.964659354096625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-8.5265128291212022E-14</v>
      </c>
      <c r="AJ147" s="13">
        <f>AI147*VLOOKUP('Données projet'!$B$10,Paramètres!$A$1:$I$89,3,0)*VLOOKUP('Données projet'!$B$10,Paramètres!$A$1:$I$89,5,0)</f>
        <v>-7.4487616075202836E-14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191.94797389630673</v>
      </c>
      <c r="AO147" s="59">
        <f t="shared" si="144"/>
        <v>273.52540822767878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0.26929121182006843</v>
      </c>
      <c r="AV147" s="21">
        <f>EXP(-LN(2)/25)*AV146+(1-EXP(-LN(2)/25))/(LN(2)/25)*Calculateur!AQ147*Calculateur!AS147*VLOOKUP('Données projet'!$B$10,Paramètres!$A$1:$I$89,3,0)*0.475*44/12</f>
        <v>0.59555570327689666</v>
      </c>
      <c r="AW147" s="21">
        <f>EXP(-LN(2)/2)*AW146+(1-EXP(-LN(2)/2))/(LN(2)/2)*AQ147*AT147*VLOOKUP('Données projet'!$B$10,Paramètres!$A$1:$I$89,3,0)*0.475*44/12</f>
        <v>1.6100359184526968E-16</v>
      </c>
      <c r="AX147" s="21">
        <f t="shared" si="114"/>
        <v>0.86484691509696521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-3.4106051316484809E-13</v>
      </c>
      <c r="BE147" s="13">
        <f>BD147*VLOOKUP('Données projet'!$B$11,Paramètres!$A$1:$I$89,3,0)*VLOOKUP('Données projet'!$B$11,Paramètres!$A$1:$I$89,5,0)</f>
        <v>-1.9065282685915009E-13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279.98352834501759</v>
      </c>
      <c r="BJ147" s="59">
        <f t="shared" si="146"/>
        <v>281.30062655265488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0.41805288931744511</v>
      </c>
      <c r="BQ147" s="21">
        <f>EXP(-LN(2)/25)*BQ146+(1-EXP(-LN(2)/25))/(LN(2)/25)*Calculateur!BL147*Calculateur!BN147*VLOOKUP('Données projet'!$B$11,Paramètres!$A$1:$I$89,3,0)*0.475*44/12</f>
        <v>1.0270744176156112</v>
      </c>
      <c r="BR147" s="21">
        <f>EXP(-LN(2)/2)*BR146+(1-EXP(-LN(2)/2))/(LN(2)/2)*BL147*BO147*VLOOKUP('Données projet'!$B$11,Paramètres!$A$1:$I$89,3,0)*0.475*44/12</f>
        <v>1.96489632729826E-16</v>
      </c>
      <c r="BS147" s="22">
        <f t="shared" si="117"/>
        <v>1.4451273069330566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-8.5265128291212022E-14</v>
      </c>
      <c r="BZ147" s="13">
        <f>BY147*VLOOKUP('Données projet'!$B$12,Paramètres!$A$1:$I$89,3,0)*VLOOKUP('Données projet'!$B$12,Paramètres!$A$1:$I$89,5,0)</f>
        <v>-6.2516392063116648E-14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124.15919323713428</v>
      </c>
      <c r="CE147" s="59">
        <f t="shared" si="148"/>
        <v>157.85954678210715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0.21308806850107068</v>
      </c>
      <c r="CM147" s="21">
        <f>EXP(-LN(2)/2)*CM146+(1-EXP(-LN(2)/2))/(LN(2)/2)*CG147*CJ147*VLOOKUP('Données projet'!$B$12,Paramètres!$A$1:$I$89,3,0)*0.475*44/12</f>
        <v>5.1190536164447457E-17</v>
      </c>
      <c r="CN147" s="22">
        <f t="shared" si="120"/>
        <v>0.21308806850107073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2.8421709430404007E-14</v>
      </c>
      <c r="O148" s="13">
        <f>N148*VLOOKUP('Données projet'!$B$9,Paramètres!$A$1:$I$89,3,0)*VLOOKUP('Données projet'!$B$9,Paramètres!$A$1:$I$89,5,0)</f>
        <v>2.5715962692629544E-14</v>
      </c>
      <c r="P148" s="13">
        <f t="shared" si="141"/>
        <v>4.5248818890525812E-13</v>
      </c>
      <c r="Q148" s="20">
        <f t="shared" si="108"/>
        <v>8.3287223069965432E-13</v>
      </c>
      <c r="R148" s="59">
        <f t="shared" si="109"/>
        <v>293.33333333333417</v>
      </c>
      <c r="S148" s="59">
        <f ca="1">AVERAGE(OFFSET($R$3,0,0,'Données projet'!$E$9+1,1))-AVERAGE(OFFSET($H$3,0,0,'Données projet'!$E$9+1,1))</f>
        <v>138.8931001150624</v>
      </c>
      <c r="T148" s="59">
        <f t="shared" si="142"/>
        <v>48.964659354096625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-8.5265128291212022E-14</v>
      </c>
      <c r="AJ148" s="13">
        <f>AI148*VLOOKUP('Données projet'!$B$10,Paramètres!$A$1:$I$89,3,0)*VLOOKUP('Données projet'!$B$10,Paramètres!$A$1:$I$89,5,0)</f>
        <v>-7.4487616075202836E-14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191.94797389630673</v>
      </c>
      <c r="AO148" s="59">
        <f t="shared" si="144"/>
        <v>273.52540822767878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0.26401057540769762</v>
      </c>
      <c r="AV148" s="21">
        <f>EXP(-LN(2)/25)*AV147+(1-EXP(-LN(2)/25))/(LN(2)/25)*Calculateur!AQ148*Calculateur!AS148*VLOOKUP('Données projet'!$B$10,Paramètres!$A$1:$I$89,3,0)*0.475*44/12</f>
        <v>0.57927020125187667</v>
      </c>
      <c r="AW148" s="21">
        <f>EXP(-LN(2)/2)*AW147+(1-EXP(-LN(2)/2))/(LN(2)/2)*AQ148*AT148*VLOOKUP('Données projet'!$B$10,Paramètres!$A$1:$I$89,3,0)*0.475*44/12</f>
        <v>1.1384673158918131E-16</v>
      </c>
      <c r="AX148" s="21">
        <f t="shared" si="114"/>
        <v>0.84328077665957435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-3.4106051316484809E-13</v>
      </c>
      <c r="BE148" s="13">
        <f>BD148*VLOOKUP('Données projet'!$B$11,Paramètres!$A$1:$I$89,3,0)*VLOOKUP('Données projet'!$B$11,Paramètres!$A$1:$I$89,5,0)</f>
        <v>-1.9065282685915009E-13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279.98352834501759</v>
      </c>
      <c r="BJ148" s="59">
        <f t="shared" si="146"/>
        <v>281.30062655265488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0.4098551271450146</v>
      </c>
      <c r="BQ148" s="21">
        <f>EXP(-LN(2)/25)*BQ147+(1-EXP(-LN(2)/25))/(LN(2)/25)*Calculateur!BL148*Calculateur!BN148*VLOOKUP('Données projet'!$B$11,Paramètres!$A$1:$I$89,3,0)*0.475*44/12</f>
        <v>0.99898901365441617</v>
      </c>
      <c r="BR148" s="21">
        <f>EXP(-LN(2)/2)*BR147+(1-EXP(-LN(2)/2))/(LN(2)/2)*BL148*BO148*VLOOKUP('Données projet'!$B$11,Paramètres!$A$1:$I$89,3,0)*0.475*44/12</f>
        <v>1.3893915173611416E-16</v>
      </c>
      <c r="BS148" s="22">
        <f t="shared" si="117"/>
        <v>1.408844140799431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-8.5265128291212022E-14</v>
      </c>
      <c r="BZ148" s="13">
        <f>BY148*VLOOKUP('Données projet'!$B$12,Paramètres!$A$1:$I$89,3,0)*VLOOKUP('Données projet'!$B$12,Paramètres!$A$1:$I$89,5,0)</f>
        <v>-6.2516392063116648E-14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124.15919323713428</v>
      </c>
      <c r="CE148" s="59">
        <f t="shared" si="148"/>
        <v>157.85954678210715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0.20726116406209438</v>
      </c>
      <c r="CM148" s="21">
        <f>EXP(-LN(2)/2)*CM147+(1-EXP(-LN(2)/2))/(LN(2)/2)*CG148*CJ148*VLOOKUP('Données projet'!$B$12,Paramètres!$A$1:$I$89,3,0)*0.475*44/12</f>
        <v>3.6197175254455995E-17</v>
      </c>
      <c r="CN148" s="22">
        <f t="shared" si="120"/>
        <v>0.20726116406209441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2.8421709430404007E-14</v>
      </c>
      <c r="O149" s="13">
        <f>N149*VLOOKUP('Données projet'!$B$9,Paramètres!$A$1:$I$89,3,0)*VLOOKUP('Données projet'!$B$9,Paramètres!$A$1:$I$89,5,0)</f>
        <v>2.5715962692629544E-14</v>
      </c>
      <c r="P149" s="13">
        <f t="shared" si="141"/>
        <v>4.5248818890525812E-13</v>
      </c>
      <c r="Q149" s="20">
        <f t="shared" si="108"/>
        <v>8.3287223069965432E-13</v>
      </c>
      <c r="R149" s="59">
        <f t="shared" si="109"/>
        <v>293.33333333333417</v>
      </c>
      <c r="S149" s="59">
        <f ca="1">AVERAGE(OFFSET($R$3,0,0,'Données projet'!$E$9+1,1))-AVERAGE(OFFSET($H$3,0,0,'Données projet'!$E$9+1,1))</f>
        <v>138.8931001150624</v>
      </c>
      <c r="T149" s="59">
        <f t="shared" si="142"/>
        <v>48.964659354096625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-8.5265128291212022E-14</v>
      </c>
      <c r="AJ149" s="13">
        <f>AI149*VLOOKUP('Données projet'!$B$10,Paramètres!$A$1:$I$89,3,0)*VLOOKUP('Données projet'!$B$10,Paramètres!$A$1:$I$89,5,0)</f>
        <v>-7.4487616075202836E-14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191.94797389630673</v>
      </c>
      <c r="AO149" s="59">
        <f t="shared" si="144"/>
        <v>273.52540822767878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0.25883348905450321</v>
      </c>
      <c r="AV149" s="21">
        <f>EXP(-LN(2)/25)*AV148+(1-EXP(-LN(2)/25))/(LN(2)/25)*Calculateur!AQ149*Calculateur!AS149*VLOOKUP('Données projet'!$B$10,Paramètres!$A$1:$I$89,3,0)*0.475*44/12</f>
        <v>0.5634300271361482</v>
      </c>
      <c r="AW149" s="21">
        <f>EXP(-LN(2)/2)*AW148+(1-EXP(-LN(2)/2))/(LN(2)/2)*AQ149*AT149*VLOOKUP('Données projet'!$B$10,Paramètres!$A$1:$I$89,3,0)*0.475*44/12</f>
        <v>8.0501795922634839E-17</v>
      </c>
      <c r="AX149" s="21">
        <f t="shared" si="114"/>
        <v>0.82226351619065152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-3.4106051316484809E-13</v>
      </c>
      <c r="BE149" s="13">
        <f>BD149*VLOOKUP('Données projet'!$B$11,Paramètres!$A$1:$I$89,3,0)*VLOOKUP('Données projet'!$B$11,Paramètres!$A$1:$I$89,5,0)</f>
        <v>-1.9065282685915009E-13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279.98352834501759</v>
      </c>
      <c r="BJ149" s="59">
        <f t="shared" si="146"/>
        <v>281.30062655265488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0.40181811808864426</v>
      </c>
      <c r="BQ149" s="21">
        <f>EXP(-LN(2)/25)*BQ148+(1-EXP(-LN(2)/25))/(LN(2)/25)*Calculateur!BL149*Calculateur!BN149*VLOOKUP('Données projet'!$B$11,Paramètres!$A$1:$I$89,3,0)*0.475*44/12</f>
        <v>0.9716716065414871</v>
      </c>
      <c r="BR149" s="21">
        <f>EXP(-LN(2)/2)*BR148+(1-EXP(-LN(2)/2))/(LN(2)/2)*BL149*BO149*VLOOKUP('Données projet'!$B$11,Paramètres!$A$1:$I$89,3,0)*0.475*44/12</f>
        <v>9.8244816364913001E-17</v>
      </c>
      <c r="BS149" s="22">
        <f t="shared" si="117"/>
        <v>1.3734897246301314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-8.5265128291212022E-14</v>
      </c>
      <c r="BZ149" s="13">
        <f>BY149*VLOOKUP('Données projet'!$B$12,Paramètres!$A$1:$I$89,3,0)*VLOOKUP('Données projet'!$B$12,Paramètres!$A$1:$I$89,5,0)</f>
        <v>-6.2516392063116648E-14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124.15919323713428</v>
      </c>
      <c r="CE149" s="59">
        <f t="shared" si="148"/>
        <v>157.85954678210715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0.20159359663142551</v>
      </c>
      <c r="CM149" s="21">
        <f>EXP(-LN(2)/2)*CM148+(1-EXP(-LN(2)/2))/(LN(2)/2)*CG149*CJ149*VLOOKUP('Données projet'!$B$12,Paramètres!$A$1:$I$89,3,0)*0.475*44/12</f>
        <v>2.5595268082223729E-17</v>
      </c>
      <c r="CN149" s="22">
        <f t="shared" si="120"/>
        <v>0.20159359663142554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2.8421709430404007E-14</v>
      </c>
      <c r="O150" s="13">
        <f>N150*VLOOKUP('Données projet'!$B$9,Paramètres!$A$1:$I$89,3,0)*VLOOKUP('Données projet'!$B$9,Paramètres!$A$1:$I$89,5,0)</f>
        <v>2.5715962692629544E-14</v>
      </c>
      <c r="P150" s="13">
        <f t="shared" si="141"/>
        <v>4.5248818890525812E-13</v>
      </c>
      <c r="Q150" s="20">
        <f t="shared" si="108"/>
        <v>8.3287223069965432E-13</v>
      </c>
      <c r="R150" s="59">
        <f t="shared" si="109"/>
        <v>293.33333333333417</v>
      </c>
      <c r="S150" s="59">
        <f ca="1">AVERAGE(OFFSET($R$3,0,0,'Données projet'!$E$9+1,1))-AVERAGE(OFFSET($H$3,0,0,'Données projet'!$E$9+1,1))</f>
        <v>138.8931001150624</v>
      </c>
      <c r="T150" s="59">
        <f t="shared" si="142"/>
        <v>48.964659354096625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-8.5265128291212022E-14</v>
      </c>
      <c r="AJ150" s="13">
        <f>AI150*VLOOKUP('Données projet'!$B$10,Paramètres!$A$1:$I$89,3,0)*VLOOKUP('Données projet'!$B$10,Paramètres!$A$1:$I$89,5,0)</f>
        <v>-7.4487616075202836E-14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191.94797389630673</v>
      </c>
      <c r="AO150" s="59">
        <f t="shared" si="144"/>
        <v>273.52540822767878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0.25375792220698407</v>
      </c>
      <c r="AV150" s="21">
        <f>EXP(-LN(2)/25)*AV149+(1-EXP(-LN(2)/25))/(LN(2)/25)*Calculateur!AQ150*Calculateur!AS150*VLOOKUP('Données projet'!$B$10,Paramètres!$A$1:$I$89,3,0)*0.475*44/12</f>
        <v>0.54802300341461285</v>
      </c>
      <c r="AW150" s="21">
        <f>EXP(-LN(2)/2)*AW149+(1-EXP(-LN(2)/2))/(LN(2)/2)*AQ150*AT150*VLOOKUP('Données projet'!$B$10,Paramètres!$A$1:$I$89,3,0)*0.475*44/12</f>
        <v>5.6923365794590655E-17</v>
      </c>
      <c r="AX150" s="21">
        <f t="shared" si="114"/>
        <v>0.80178092562159697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-3.4106051316484809E-13</v>
      </c>
      <c r="BE150" s="13">
        <f>BD150*VLOOKUP('Données projet'!$B$11,Paramètres!$A$1:$I$89,3,0)*VLOOKUP('Données projet'!$B$11,Paramètres!$A$1:$I$89,5,0)</f>
        <v>-1.9065282685915009E-13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279.98352834501759</v>
      </c>
      <c r="BJ150" s="59">
        <f t="shared" si="146"/>
        <v>281.30062655265488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0.39393870987777785</v>
      </c>
      <c r="BQ150" s="21">
        <f>EXP(-LN(2)/25)*BQ149+(1-EXP(-LN(2)/25))/(LN(2)/25)*Calculateur!BL150*Calculateur!BN150*VLOOKUP('Données projet'!$B$11,Paramètres!$A$1:$I$89,3,0)*0.475*44/12</f>
        <v>0.94510119536262116</v>
      </c>
      <c r="BR150" s="21">
        <f>EXP(-LN(2)/2)*BR149+(1-EXP(-LN(2)/2))/(LN(2)/2)*BL150*BO150*VLOOKUP('Données projet'!$B$11,Paramètres!$A$1:$I$89,3,0)*0.475*44/12</f>
        <v>6.946957586805708E-17</v>
      </c>
      <c r="BS150" s="22">
        <f t="shared" si="117"/>
        <v>1.339039905240399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-8.5265128291212022E-14</v>
      </c>
      <c r="BZ150" s="13">
        <f>BY150*VLOOKUP('Données projet'!$B$12,Paramètres!$A$1:$I$89,3,0)*VLOOKUP('Données projet'!$B$12,Paramètres!$A$1:$I$89,5,0)</f>
        <v>-6.2516392063116648E-14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124.15919323713428</v>
      </c>
      <c r="CE150" s="59">
        <f t="shared" si="148"/>
        <v>157.85954678210715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0.19608100913019269</v>
      </c>
      <c r="CM150" s="21">
        <f>EXP(-LN(2)/2)*CM149+(1-EXP(-LN(2)/2))/(LN(2)/2)*CG150*CJ150*VLOOKUP('Données projet'!$B$12,Paramètres!$A$1:$I$89,3,0)*0.475*44/12</f>
        <v>1.8098587627227998E-17</v>
      </c>
      <c r="CN150" s="22">
        <f t="shared" si="120"/>
        <v>0.19608100913019272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2.8421709430404007E-14</v>
      </c>
      <c r="O151" s="13">
        <f>N151*VLOOKUP('Données projet'!$B$9,Paramètres!$A$1:$I$89,3,0)*VLOOKUP('Données projet'!$B$9,Paramètres!$A$1:$I$89,5,0)</f>
        <v>2.5715962692629544E-14</v>
      </c>
      <c r="P151" s="13">
        <f t="shared" si="141"/>
        <v>4.5248818890525812E-13</v>
      </c>
      <c r="Q151" s="20">
        <f t="shared" si="108"/>
        <v>8.3287223069965432E-13</v>
      </c>
      <c r="R151" s="59">
        <f t="shared" si="109"/>
        <v>293.33333333333417</v>
      </c>
      <c r="S151" s="59">
        <f ca="1">AVERAGE(OFFSET($R$3,0,0,'Données projet'!$E$9+1,1))-AVERAGE(OFFSET($H$3,0,0,'Données projet'!$E$9+1,1))</f>
        <v>138.8931001150624</v>
      </c>
      <c r="T151" s="59">
        <f t="shared" si="142"/>
        <v>48.964659354096625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-8.5265128291212022E-14</v>
      </c>
      <c r="AJ151" s="13">
        <f>AI151*VLOOKUP('Données projet'!$B$10,Paramètres!$A$1:$I$89,3,0)*VLOOKUP('Données projet'!$B$10,Paramètres!$A$1:$I$89,5,0)</f>
        <v>-7.4487616075202836E-14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191.94797389630673</v>
      </c>
      <c r="AO151" s="59">
        <f t="shared" si="144"/>
        <v>273.52540822767878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0.24878188412955468</v>
      </c>
      <c r="AV151" s="21">
        <f>EXP(-LN(2)/25)*AV150+(1-EXP(-LN(2)/25))/(LN(2)/25)*Calculateur!AQ151*Calculateur!AS151*VLOOKUP('Données projet'!$B$10,Paramètres!$A$1:$I$89,3,0)*0.475*44/12</f>
        <v>0.53303728556696306</v>
      </c>
      <c r="AW151" s="21">
        <f>EXP(-LN(2)/2)*AW150+(1-EXP(-LN(2)/2))/(LN(2)/2)*AQ151*AT151*VLOOKUP('Données projet'!$B$10,Paramètres!$A$1:$I$89,3,0)*0.475*44/12</f>
        <v>4.025089796131742E-17</v>
      </c>
      <c r="AX151" s="21">
        <f t="shared" si="114"/>
        <v>0.78181916969651777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-3.4106051316484809E-13</v>
      </c>
      <c r="BE151" s="13">
        <f>BD151*VLOOKUP('Données projet'!$B$11,Paramètres!$A$1:$I$89,3,0)*VLOOKUP('Données projet'!$B$11,Paramètres!$A$1:$I$89,5,0)</f>
        <v>-1.9065282685915009E-13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279.98352834501759</v>
      </c>
      <c r="BJ151" s="59">
        <f t="shared" si="146"/>
        <v>281.30062655265488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0.38621381205596206</v>
      </c>
      <c r="BQ151" s="21">
        <f>EXP(-LN(2)/25)*BQ150+(1-EXP(-LN(2)/25))/(LN(2)/25)*Calculateur!BL151*Calculateur!BN151*VLOOKUP('Données projet'!$B$11,Paramètres!$A$1:$I$89,3,0)*0.475*44/12</f>
        <v>0.91925735347471849</v>
      </c>
      <c r="BR151" s="21">
        <f>EXP(-LN(2)/2)*BR150+(1-EXP(-LN(2)/2))/(LN(2)/2)*BL151*BO151*VLOOKUP('Données projet'!$B$11,Paramètres!$A$1:$I$89,3,0)*0.475*44/12</f>
        <v>4.9122408182456501E-17</v>
      </c>
      <c r="BS151" s="22">
        <f t="shared" si="117"/>
        <v>1.3054711655306805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-8.5265128291212022E-14</v>
      </c>
      <c r="BZ151" s="13">
        <f>BY151*VLOOKUP('Données projet'!$B$12,Paramètres!$A$1:$I$89,3,0)*VLOOKUP('Données projet'!$B$12,Paramètres!$A$1:$I$89,5,0)</f>
        <v>-6.2516392063116648E-14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124.15919323713428</v>
      </c>
      <c r="CE151" s="59">
        <f t="shared" si="148"/>
        <v>157.85954678210715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0.19071916362407546</v>
      </c>
      <c r="CM151" s="21">
        <f>EXP(-LN(2)/2)*CM150+(1-EXP(-LN(2)/2))/(LN(2)/2)*CG151*CJ151*VLOOKUP('Données projet'!$B$12,Paramètres!$A$1:$I$89,3,0)*0.475*44/12</f>
        <v>1.2797634041111864E-17</v>
      </c>
      <c r="CN151" s="22">
        <f t="shared" si="120"/>
        <v>0.19071916362407546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2.8421709430404007E-14</v>
      </c>
      <c r="O152" s="13">
        <f>N152*VLOOKUP('Données projet'!$B$9,Paramètres!$A$1:$I$89,3,0)*VLOOKUP('Données projet'!$B$9,Paramètres!$A$1:$I$89,5,0)</f>
        <v>2.5715962692629544E-14</v>
      </c>
      <c r="P152" s="13">
        <f t="shared" si="141"/>
        <v>4.5248818890525812E-13</v>
      </c>
      <c r="Q152" s="20">
        <f t="shared" si="108"/>
        <v>8.3287223069965432E-13</v>
      </c>
      <c r="R152" s="59">
        <f t="shared" si="109"/>
        <v>293.33333333333417</v>
      </c>
      <c r="S152" s="59">
        <f ca="1">AVERAGE(OFFSET($R$3,0,0,'Données projet'!$E$9+1,1))-AVERAGE(OFFSET($H$3,0,0,'Données projet'!$E$9+1,1))</f>
        <v>138.8931001150624</v>
      </c>
      <c r="T152" s="59">
        <f t="shared" si="142"/>
        <v>48.964659354096625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-8.5265128291212022E-14</v>
      </c>
      <c r="AJ152" s="13">
        <f>AI152*VLOOKUP('Données projet'!$B$10,Paramètres!$A$1:$I$89,3,0)*VLOOKUP('Données projet'!$B$10,Paramètres!$A$1:$I$89,5,0)</f>
        <v>-7.4487616075202836E-14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191.94797389630673</v>
      </c>
      <c r="AO152" s="59">
        <f t="shared" si="144"/>
        <v>273.52540822767878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0.24390342312374017</v>
      </c>
      <c r="AV152" s="21">
        <f>EXP(-LN(2)/25)*AV151+(1-EXP(-LN(2)/25))/(LN(2)/25)*Calculateur!AQ152*Calculateur!AS152*VLOOKUP('Données projet'!$B$10,Paramètres!$A$1:$I$89,3,0)*0.475*44/12</f>
        <v>0.51846135296192186</v>
      </c>
      <c r="AW152" s="21">
        <f>EXP(-LN(2)/2)*AW151+(1-EXP(-LN(2)/2))/(LN(2)/2)*AQ152*AT152*VLOOKUP('Données projet'!$B$10,Paramètres!$A$1:$I$89,3,0)*0.475*44/12</f>
        <v>2.8461682897295327E-17</v>
      </c>
      <c r="AX152" s="21">
        <f t="shared" si="114"/>
        <v>0.762364776085662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-3.4106051316484809E-13</v>
      </c>
      <c r="BE152" s="13">
        <f>BD152*VLOOKUP('Données projet'!$B$11,Paramètres!$A$1:$I$89,3,0)*VLOOKUP('Données projet'!$B$11,Paramètres!$A$1:$I$89,5,0)</f>
        <v>-1.9065282685915009E-13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279.98352834501759</v>
      </c>
      <c r="BJ152" s="59">
        <f t="shared" si="146"/>
        <v>281.30062655265488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0.3786403947687097</v>
      </c>
      <c r="BQ152" s="21">
        <f>EXP(-LN(2)/25)*BQ151+(1-EXP(-LN(2)/25))/(LN(2)/25)*Calculateur!BL152*Calculateur!BN152*VLOOKUP('Données projet'!$B$11,Paramètres!$A$1:$I$89,3,0)*0.475*44/12</f>
        <v>0.89412021280230913</v>
      </c>
      <c r="BR152" s="21">
        <f>EXP(-LN(2)/2)*BR151+(1-EXP(-LN(2)/2))/(LN(2)/2)*BL152*BO152*VLOOKUP('Données projet'!$B$11,Paramètres!$A$1:$I$89,3,0)*0.475*44/12</f>
        <v>3.473478793402854E-17</v>
      </c>
      <c r="BS152" s="22">
        <f t="shared" si="117"/>
        <v>1.2727606075710187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-8.5265128291212022E-14</v>
      </c>
      <c r="BZ152" s="13">
        <f>BY152*VLOOKUP('Données projet'!$B$12,Paramètres!$A$1:$I$89,3,0)*VLOOKUP('Données projet'!$B$12,Paramètres!$A$1:$I$89,5,0)</f>
        <v>-6.2516392063116648E-14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124.15919323713428</v>
      </c>
      <c r="CE152" s="59">
        <f t="shared" si="148"/>
        <v>157.85954678210715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0.1855039380652902</v>
      </c>
      <c r="CM152" s="21">
        <f>EXP(-LN(2)/2)*CM151+(1-EXP(-LN(2)/2))/(LN(2)/2)*CG152*CJ152*VLOOKUP('Données projet'!$B$12,Paramètres!$A$1:$I$89,3,0)*0.475*44/12</f>
        <v>9.0492938136139988E-18</v>
      </c>
      <c r="CN152" s="22">
        <f t="shared" si="120"/>
        <v>0.1855039380652902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2.8421709430404007E-14</v>
      </c>
      <c r="O153" s="13">
        <f>N153*VLOOKUP('Données projet'!$B$9,Paramètres!$A$1:$I$89,3,0)*VLOOKUP('Données projet'!$B$9,Paramètres!$A$1:$I$89,5,0)</f>
        <v>2.5715962692629544E-14</v>
      </c>
      <c r="P153" s="13">
        <f t="shared" si="141"/>
        <v>4.5248818890525812E-13</v>
      </c>
      <c r="Q153" s="20">
        <f t="shared" si="108"/>
        <v>8.3287223069965432E-13</v>
      </c>
      <c r="R153" s="59">
        <f t="shared" si="109"/>
        <v>293.33333333333417</v>
      </c>
      <c r="S153" s="59">
        <f ca="1">AVERAGE(OFFSET($R$3,0,0,'Données projet'!$E$9+1,1))-AVERAGE(OFFSET($H$3,0,0,'Données projet'!$E$9+1,1))</f>
        <v>138.8931001150624</v>
      </c>
      <c r="T153" s="59">
        <f t="shared" si="142"/>
        <v>48.964659354096625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-8.5265128291212022E-14</v>
      </c>
      <c r="AJ153" s="13">
        <f>AI153*VLOOKUP('Données projet'!$B$10,Paramètres!$A$1:$I$89,3,0)*VLOOKUP('Données projet'!$B$10,Paramètres!$A$1:$I$89,5,0)</f>
        <v>-7.4487616075202836E-14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191.94797389630673</v>
      </c>
      <c r="AO153" s="59">
        <f t="shared" si="144"/>
        <v>273.52540822767878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0.23912062576268225</v>
      </c>
      <c r="AV153" s="21">
        <f>EXP(-LN(2)/25)*AV152+(1-EXP(-LN(2)/25))/(LN(2)/25)*Calculateur!AQ153*Calculateur!AS153*VLOOKUP('Données projet'!$B$10,Paramètres!$A$1:$I$89,3,0)*0.475*44/12</f>
        <v>0.50428400000048057</v>
      </c>
      <c r="AW153" s="21">
        <f>EXP(-LN(2)/2)*AW152+(1-EXP(-LN(2)/2))/(LN(2)/2)*AQ153*AT153*VLOOKUP('Données projet'!$B$10,Paramètres!$A$1:$I$89,3,0)*0.475*44/12</f>
        <v>2.012544898065871E-17</v>
      </c>
      <c r="AX153" s="21">
        <f t="shared" si="114"/>
        <v>0.7434046257631628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-3.4106051316484809E-13</v>
      </c>
      <c r="BE153" s="13">
        <f>BD153*VLOOKUP('Données projet'!$B$11,Paramètres!$A$1:$I$89,3,0)*VLOOKUP('Données projet'!$B$11,Paramètres!$A$1:$I$89,5,0)</f>
        <v>-1.9065282685915009E-13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279.98352834501759</v>
      </c>
      <c r="BJ153" s="59">
        <f t="shared" si="146"/>
        <v>281.30062655265488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0.3712154875751319</v>
      </c>
      <c r="BQ153" s="21">
        <f>EXP(-LN(2)/25)*BQ152+(1-EXP(-LN(2)/25))/(LN(2)/25)*Calculateur!BL153*Calculateur!BN153*VLOOKUP('Données projet'!$B$11,Paramètres!$A$1:$I$89,3,0)*0.475*44/12</f>
        <v>0.86967044856349152</v>
      </c>
      <c r="BR153" s="21">
        <f>EXP(-LN(2)/2)*BR152+(1-EXP(-LN(2)/2))/(LN(2)/2)*BL153*BO153*VLOOKUP('Données projet'!$B$11,Paramètres!$A$1:$I$89,3,0)*0.475*44/12</f>
        <v>2.456120409122825E-17</v>
      </c>
      <c r="BS153" s="22">
        <f t="shared" si="117"/>
        <v>1.2408859361386235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-8.5265128291212022E-14</v>
      </c>
      <c r="BZ153" s="13">
        <f>BY153*VLOOKUP('Données projet'!$B$12,Paramètres!$A$1:$I$89,3,0)*VLOOKUP('Données projet'!$B$12,Paramètres!$A$1:$I$89,5,0)</f>
        <v>-6.2516392063116648E-14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124.15919323713428</v>
      </c>
      <c r="CE153" s="59">
        <f t="shared" si="148"/>
        <v>157.85954678210715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0.18043132312366672</v>
      </c>
      <c r="CM153" s="21">
        <f>EXP(-LN(2)/2)*CM152+(1-EXP(-LN(2)/2))/(LN(2)/2)*CG153*CJ153*VLOOKUP('Données projet'!$B$12,Paramètres!$A$1:$I$89,3,0)*0.475*44/12</f>
        <v>6.3988170205559321E-18</v>
      </c>
      <c r="CN153" s="22">
        <f t="shared" si="120"/>
        <v>0.18043132312366672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2.8421709430404007E-14</v>
      </c>
      <c r="O154" s="13">
        <f>N154*VLOOKUP('Données projet'!$B$9,Paramètres!$A$1:$I$89,3,0)*VLOOKUP('Données projet'!$B$9,Paramètres!$A$1:$I$89,5,0)</f>
        <v>2.5715962692629544E-14</v>
      </c>
      <c r="P154" s="13">
        <f t="shared" si="141"/>
        <v>4.5248818890525812E-13</v>
      </c>
      <c r="Q154" s="20">
        <f t="shared" ref="Q154:Q203" si="162">(O154+P154)*0.475*44/12</f>
        <v>8.3287223069965432E-13</v>
      </c>
      <c r="R154" s="59">
        <f t="shared" si="109"/>
        <v>293.33333333333417</v>
      </c>
      <c r="S154" s="59">
        <f ca="1">AVERAGE(OFFSET($R$3,0,0,'Données projet'!$E$9+1,1))-AVERAGE(OFFSET($H$3,0,0,'Données projet'!$E$9+1,1))</f>
        <v>138.8931001150624</v>
      </c>
      <c r="T154" s="59">
        <f t="shared" si="142"/>
        <v>48.964659354096625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-8.5265128291212022E-14</v>
      </c>
      <c r="AJ154" s="13">
        <f>AI154*VLOOKUP('Données projet'!$B$10,Paramètres!$A$1:$I$89,3,0)*VLOOKUP('Données projet'!$B$10,Paramètres!$A$1:$I$89,5,0)</f>
        <v>-7.4487616075202836E-14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191.94797389630673</v>
      </c>
      <c r="AO154" s="59">
        <f t="shared" si="144"/>
        <v>273.52540822767878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0.23443161614065636</v>
      </c>
      <c r="AV154" s="21">
        <f>EXP(-LN(2)/25)*AV153+(1-EXP(-LN(2)/25))/(LN(2)/25)*Calculateur!AQ154*Calculateur!AS154*VLOOKUP('Données projet'!$B$10,Paramètres!$A$1:$I$89,3,0)*0.475*44/12</f>
        <v>0.49049432750132443</v>
      </c>
      <c r="AW154" s="21">
        <f>EXP(-LN(2)/2)*AW153+(1-EXP(-LN(2)/2))/(LN(2)/2)*AQ154*AT154*VLOOKUP('Données projet'!$B$10,Paramètres!$A$1:$I$89,3,0)*0.475*44/12</f>
        <v>1.4230841448647664E-17</v>
      </c>
      <c r="AX154" s="21">
        <f t="shared" ref="AX154:AX203" si="166">SUM(AU154:AW154)</f>
        <v>0.72492594364198082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-3.4106051316484809E-13</v>
      </c>
      <c r="BE154" s="13">
        <f>BD154*VLOOKUP('Données projet'!$B$11,Paramètres!$A$1:$I$89,3,0)*VLOOKUP('Données projet'!$B$11,Paramètres!$A$1:$I$89,5,0)</f>
        <v>-1.9065282685915009E-13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279.98352834501759</v>
      </c>
      <c r="BJ154" s="59">
        <f t="shared" si="146"/>
        <v>281.30062655265488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0.36393617828287395</v>
      </c>
      <c r="BQ154" s="21">
        <f>EXP(-LN(2)/25)*BQ153+(1-EXP(-LN(2)/25))/(LN(2)/25)*Calculateur!BL154*Calculateur!BN154*VLOOKUP('Données projet'!$B$11,Paramètres!$A$1:$I$89,3,0)*0.475*44/12</f>
        <v>0.84588926441354162</v>
      </c>
      <c r="BR154" s="21">
        <f>EXP(-LN(2)/2)*BR153+(1-EXP(-LN(2)/2))/(LN(2)/2)*BL154*BO154*VLOOKUP('Données projet'!$B$11,Paramètres!$A$1:$I$89,3,0)*0.475*44/12</f>
        <v>1.736739396701427E-17</v>
      </c>
      <c r="BS154" s="22">
        <f t="shared" ref="BS154:BS203" si="169">SUM(BP154:BR154)</f>
        <v>1.2098254426964155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-8.5265128291212022E-14</v>
      </c>
      <c r="BZ154" s="13">
        <f>BY154*VLOOKUP('Données projet'!$B$12,Paramètres!$A$1:$I$89,3,0)*VLOOKUP('Données projet'!$B$12,Paramètres!$A$1:$I$89,5,0)</f>
        <v>-6.2516392063116648E-14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124.15919323713428</v>
      </c>
      <c r="CE154" s="59">
        <f t="shared" si="148"/>
        <v>157.85954678210715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0.17549741910437916</v>
      </c>
      <c r="CM154" s="21">
        <f>EXP(-LN(2)/2)*CM153+(1-EXP(-LN(2)/2))/(LN(2)/2)*CG154*CJ154*VLOOKUP('Données projet'!$B$12,Paramètres!$A$1:$I$89,3,0)*0.475*44/12</f>
        <v>4.5246469068069994E-18</v>
      </c>
      <c r="CN154" s="22">
        <f t="shared" ref="CN154:CN203" si="172">SUM(CK154:CM154)</f>
        <v>0.17549741910437916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2.8421709430404007E-14</v>
      </c>
      <c r="O155" s="13">
        <f>N155*VLOOKUP('Données projet'!$B$9,Paramètres!$A$1:$I$89,3,0)*VLOOKUP('Données projet'!$B$9,Paramètres!$A$1:$I$89,5,0)</f>
        <v>2.5715962692629544E-14</v>
      </c>
      <c r="P155" s="13">
        <f t="shared" si="141"/>
        <v>4.5248818890525812E-13</v>
      </c>
      <c r="Q155" s="20">
        <f t="shared" si="162"/>
        <v>8.3287223069965432E-13</v>
      </c>
      <c r="R155" s="59">
        <f t="shared" si="109"/>
        <v>293.33333333333417</v>
      </c>
      <c r="S155" s="59">
        <f ca="1">AVERAGE(OFFSET($R$3,0,0,'Données projet'!$E$9+1,1))-AVERAGE(OFFSET($H$3,0,0,'Données projet'!$E$9+1,1))</f>
        <v>138.8931001150624</v>
      </c>
      <c r="T155" s="59">
        <f t="shared" si="142"/>
        <v>48.964659354096625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-8.5265128291212022E-14</v>
      </c>
      <c r="AJ155" s="13">
        <f>AI155*VLOOKUP('Données projet'!$B$10,Paramètres!$A$1:$I$89,3,0)*VLOOKUP('Données projet'!$B$10,Paramètres!$A$1:$I$89,5,0)</f>
        <v>-7.4487616075202836E-14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191.94797389630673</v>
      </c>
      <c r="AO155" s="59">
        <f t="shared" si="144"/>
        <v>273.52540822767878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0.22983455513730491</v>
      </c>
      <c r="AV155" s="21">
        <f>EXP(-LN(2)/25)*AV154+(1-EXP(-LN(2)/25))/(LN(2)/25)*Calculateur!AQ155*Calculateur!AS155*VLOOKUP('Données projet'!$B$10,Paramètres!$A$1:$I$89,3,0)*0.475*44/12</f>
        <v>0.4770817343218251</v>
      </c>
      <c r="AW155" s="21">
        <f>EXP(-LN(2)/2)*AW154+(1-EXP(-LN(2)/2))/(LN(2)/2)*AQ155*AT155*VLOOKUP('Données projet'!$B$10,Paramètres!$A$1:$I$89,3,0)*0.475*44/12</f>
        <v>1.0062724490329355E-17</v>
      </c>
      <c r="AX155" s="21">
        <f t="shared" si="166"/>
        <v>0.70691628945912999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-3.4106051316484809E-13</v>
      </c>
      <c r="BE155" s="13">
        <f>BD155*VLOOKUP('Données projet'!$B$11,Paramètres!$A$1:$I$89,3,0)*VLOOKUP('Données projet'!$B$11,Paramètres!$A$1:$I$89,5,0)</f>
        <v>-1.9065282685915009E-13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279.98352834501759</v>
      </c>
      <c r="BJ155" s="59">
        <f t="shared" si="146"/>
        <v>281.30062655265488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0.35679961180589692</v>
      </c>
      <c r="BQ155" s="21">
        <f>EXP(-LN(2)/25)*BQ154+(1-EXP(-LN(2)/25))/(LN(2)/25)*Calculateur!BL155*Calculateur!BN155*VLOOKUP('Données projet'!$B$11,Paramètres!$A$1:$I$89,3,0)*0.475*44/12</f>
        <v>0.82275837799477025</v>
      </c>
      <c r="BR155" s="21">
        <f>EXP(-LN(2)/2)*BR154+(1-EXP(-LN(2)/2))/(LN(2)/2)*BL155*BO155*VLOOKUP('Données projet'!$B$11,Paramètres!$A$1:$I$89,3,0)*0.475*44/12</f>
        <v>1.2280602045614125E-17</v>
      </c>
      <c r="BS155" s="22">
        <f t="shared" si="169"/>
        <v>1.1795579898006672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-8.5265128291212022E-14</v>
      </c>
      <c r="BZ155" s="13">
        <f>BY155*VLOOKUP('Données projet'!$B$12,Paramètres!$A$1:$I$89,3,0)*VLOOKUP('Données projet'!$B$12,Paramètres!$A$1:$I$89,5,0)</f>
        <v>-6.2516392063116648E-14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124.15919323713428</v>
      </c>
      <c r="CE155" s="59">
        <f t="shared" si="148"/>
        <v>157.85954678210715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0.17069843294996176</v>
      </c>
      <c r="CM155" s="21">
        <f>EXP(-LN(2)/2)*CM154+(1-EXP(-LN(2)/2))/(LN(2)/2)*CG155*CJ155*VLOOKUP('Données projet'!$B$12,Paramètres!$A$1:$I$89,3,0)*0.475*44/12</f>
        <v>3.1994085102779661E-18</v>
      </c>
      <c r="CN155" s="22">
        <f t="shared" si="172"/>
        <v>0.17069843294996176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2.8421709430404007E-14</v>
      </c>
      <c r="O156" s="13">
        <f>N156*VLOOKUP('Données projet'!$B$9,Paramètres!$A$1:$I$89,3,0)*VLOOKUP('Données projet'!$B$9,Paramètres!$A$1:$I$89,5,0)</f>
        <v>2.5715962692629544E-14</v>
      </c>
      <c r="P156" s="13">
        <f t="shared" si="141"/>
        <v>4.5248818890525812E-13</v>
      </c>
      <c r="Q156" s="20">
        <f t="shared" si="162"/>
        <v>8.3287223069965432E-13</v>
      </c>
      <c r="R156" s="59">
        <f t="shared" si="109"/>
        <v>293.33333333333417</v>
      </c>
      <c r="S156" s="59">
        <f ca="1">AVERAGE(OFFSET($R$3,0,0,'Données projet'!$E$9+1,1))-AVERAGE(OFFSET($H$3,0,0,'Données projet'!$E$9+1,1))</f>
        <v>138.8931001150624</v>
      </c>
      <c r="T156" s="59">
        <f t="shared" si="142"/>
        <v>48.964659354096625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-8.5265128291212022E-14</v>
      </c>
      <c r="AJ156" s="13">
        <f>AI156*VLOOKUP('Données projet'!$B$10,Paramètres!$A$1:$I$89,3,0)*VLOOKUP('Données projet'!$B$10,Paramètres!$A$1:$I$89,5,0)</f>
        <v>-7.4487616075202836E-14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191.94797389630673</v>
      </c>
      <c r="AO156" s="59">
        <f t="shared" si="144"/>
        <v>273.52540822767878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0.22532763969629885</v>
      </c>
      <c r="AV156" s="21">
        <f>EXP(-LN(2)/25)*AV155+(1-EXP(-LN(2)/25))/(LN(2)/25)*Calculateur!AQ156*Calculateur!AS156*VLOOKUP('Données projet'!$B$10,Paramètres!$A$1:$I$89,3,0)*0.475*44/12</f>
        <v>0.46403590920815679</v>
      </c>
      <c r="AW156" s="21">
        <f>EXP(-LN(2)/2)*AW155+(1-EXP(-LN(2)/2))/(LN(2)/2)*AQ156*AT156*VLOOKUP('Données projet'!$B$10,Paramètres!$A$1:$I$89,3,0)*0.475*44/12</f>
        <v>7.1154207243238319E-18</v>
      </c>
      <c r="AX156" s="21">
        <f t="shared" si="166"/>
        <v>0.68936354890445561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-3.4106051316484809E-13</v>
      </c>
      <c r="BE156" s="13">
        <f>BD156*VLOOKUP('Données projet'!$B$11,Paramètres!$A$1:$I$89,3,0)*VLOOKUP('Données projet'!$B$11,Paramètres!$A$1:$I$89,5,0)</f>
        <v>-1.9065282685915009E-13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279.98352834501759</v>
      </c>
      <c r="BJ156" s="59">
        <f t="shared" si="146"/>
        <v>281.30062655265488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0.34980298904465768</v>
      </c>
      <c r="BQ156" s="21">
        <f>EXP(-LN(2)/25)*BQ155+(1-EXP(-LN(2)/25))/(LN(2)/25)*Calculateur!BL156*Calculateur!BN156*VLOOKUP('Données projet'!$B$11,Paramètres!$A$1:$I$89,3,0)*0.475*44/12</f>
        <v>0.80026000688152055</v>
      </c>
      <c r="BR156" s="21">
        <f>EXP(-LN(2)/2)*BR155+(1-EXP(-LN(2)/2))/(LN(2)/2)*BL156*BO156*VLOOKUP('Données projet'!$B$11,Paramètres!$A$1:$I$89,3,0)*0.475*44/12</f>
        <v>8.683696983507135E-18</v>
      </c>
      <c r="BS156" s="22">
        <f t="shared" si="169"/>
        <v>1.1500629959261781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-8.5265128291212022E-14</v>
      </c>
      <c r="BZ156" s="13">
        <f>BY156*VLOOKUP('Données projet'!$B$12,Paramètres!$A$1:$I$89,3,0)*VLOOKUP('Données projet'!$B$12,Paramètres!$A$1:$I$89,5,0)</f>
        <v>-6.2516392063116648E-14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124.15919323713428</v>
      </c>
      <c r="CE156" s="59">
        <f t="shared" si="148"/>
        <v>157.85954678210715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0.1660306753243046</v>
      </c>
      <c r="CM156" s="21">
        <f>EXP(-LN(2)/2)*CM155+(1-EXP(-LN(2)/2))/(LN(2)/2)*CG156*CJ156*VLOOKUP('Données projet'!$B$12,Paramètres!$A$1:$I$89,3,0)*0.475*44/12</f>
        <v>2.2623234534034997E-18</v>
      </c>
      <c r="CN156" s="22">
        <f t="shared" si="172"/>
        <v>0.1660306753243046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2.8421709430404007E-14</v>
      </c>
      <c r="O157" s="13">
        <f>N157*VLOOKUP('Données projet'!$B$9,Paramètres!$A$1:$I$89,3,0)*VLOOKUP('Données projet'!$B$9,Paramètres!$A$1:$I$89,5,0)</f>
        <v>2.5715962692629544E-14</v>
      </c>
      <c r="P157" s="13">
        <f t="shared" si="141"/>
        <v>4.5248818890525812E-13</v>
      </c>
      <c r="Q157" s="20">
        <f t="shared" si="162"/>
        <v>8.3287223069965432E-13</v>
      </c>
      <c r="R157" s="59">
        <f t="shared" si="109"/>
        <v>293.33333333333417</v>
      </c>
      <c r="S157" s="59">
        <f ca="1">AVERAGE(OFFSET($R$3,0,0,'Données projet'!$E$9+1,1))-AVERAGE(OFFSET($H$3,0,0,'Données projet'!$E$9+1,1))</f>
        <v>138.8931001150624</v>
      </c>
      <c r="T157" s="59">
        <f t="shared" si="142"/>
        <v>48.964659354096625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-8.5265128291212022E-14</v>
      </c>
      <c r="AJ157" s="13">
        <f>AI157*VLOOKUP('Données projet'!$B$10,Paramètres!$A$1:$I$89,3,0)*VLOOKUP('Données projet'!$B$10,Paramètres!$A$1:$I$89,5,0)</f>
        <v>-7.4487616075202836E-14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191.94797389630673</v>
      </c>
      <c r="AO157" s="59">
        <f t="shared" si="144"/>
        <v>273.52540822767878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0.22090910211814394</v>
      </c>
      <c r="AV157" s="21">
        <f>EXP(-LN(2)/25)*AV156+(1-EXP(-LN(2)/25))/(LN(2)/25)*Calculateur!AQ157*Calculateur!AS157*VLOOKUP('Données projet'!$B$10,Paramètres!$A$1:$I$89,3,0)*0.475*44/12</f>
        <v>0.45134682286827182</v>
      </c>
      <c r="AW157" s="21">
        <f>EXP(-LN(2)/2)*AW156+(1-EXP(-LN(2)/2))/(LN(2)/2)*AQ157*AT157*VLOOKUP('Données projet'!$B$10,Paramètres!$A$1:$I$89,3,0)*0.475*44/12</f>
        <v>5.0313622451646775E-18</v>
      </c>
      <c r="AX157" s="21">
        <f t="shared" si="166"/>
        <v>0.67225592498641573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-3.4106051316484809E-13</v>
      </c>
      <c r="BE157" s="13">
        <f>BD157*VLOOKUP('Données projet'!$B$11,Paramètres!$A$1:$I$89,3,0)*VLOOKUP('Données projet'!$B$11,Paramètres!$A$1:$I$89,5,0)</f>
        <v>-1.9065282685915009E-13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279.98352834501759</v>
      </c>
      <c r="BJ157" s="59">
        <f t="shared" si="146"/>
        <v>281.30062655265488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0.34294356578824781</v>
      </c>
      <c r="BQ157" s="21">
        <f>EXP(-LN(2)/25)*BQ156+(1-EXP(-LN(2)/25))/(LN(2)/25)*Calculateur!BL157*Calculateur!BN157*VLOOKUP('Données projet'!$B$11,Paramètres!$A$1:$I$89,3,0)*0.475*44/12</f>
        <v>0.77837685490950059</v>
      </c>
      <c r="BR157" s="21">
        <f>EXP(-LN(2)/2)*BR156+(1-EXP(-LN(2)/2))/(LN(2)/2)*BL157*BO157*VLOOKUP('Données projet'!$B$11,Paramètres!$A$1:$I$89,3,0)*0.475*44/12</f>
        <v>6.1403010228070626E-18</v>
      </c>
      <c r="BS157" s="22">
        <f t="shared" si="169"/>
        <v>1.1213204206977485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-8.5265128291212022E-14</v>
      </c>
      <c r="BZ157" s="13">
        <f>BY157*VLOOKUP('Données projet'!$B$12,Paramètres!$A$1:$I$89,3,0)*VLOOKUP('Données projet'!$B$12,Paramètres!$A$1:$I$89,5,0)</f>
        <v>-6.2516392063116648E-14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124.15919323713428</v>
      </c>
      <c r="CE157" s="59">
        <f t="shared" si="148"/>
        <v>157.85954678210715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0.16149055777638774</v>
      </c>
      <c r="CM157" s="21">
        <f>EXP(-LN(2)/2)*CM156+(1-EXP(-LN(2)/2))/(LN(2)/2)*CG157*CJ157*VLOOKUP('Données projet'!$B$12,Paramètres!$A$1:$I$89,3,0)*0.475*44/12</f>
        <v>1.599704255138983E-18</v>
      </c>
      <c r="CN157" s="22">
        <f t="shared" si="172"/>
        <v>0.16149055777638774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2.8421709430404007E-14</v>
      </c>
      <c r="O158" s="13">
        <f>N158*VLOOKUP('Données projet'!$B$9,Paramètres!$A$1:$I$89,3,0)*VLOOKUP('Données projet'!$B$9,Paramètres!$A$1:$I$89,5,0)</f>
        <v>2.5715962692629544E-14</v>
      </c>
      <c r="P158" s="13">
        <f t="shared" si="141"/>
        <v>4.5248818890525812E-13</v>
      </c>
      <c r="Q158" s="20">
        <f t="shared" si="162"/>
        <v>8.3287223069965432E-13</v>
      </c>
      <c r="R158" s="59">
        <f t="shared" si="109"/>
        <v>293.33333333333417</v>
      </c>
      <c r="S158" s="59">
        <f ca="1">AVERAGE(OFFSET($R$3,0,0,'Données projet'!$E$9+1,1))-AVERAGE(OFFSET($H$3,0,0,'Données projet'!$E$9+1,1))</f>
        <v>138.8931001150624</v>
      </c>
      <c r="T158" s="59">
        <f t="shared" si="142"/>
        <v>48.964659354096625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-8.5265128291212022E-14</v>
      </c>
      <c r="AJ158" s="13">
        <f>AI158*VLOOKUP('Données projet'!$B$10,Paramètres!$A$1:$I$89,3,0)*VLOOKUP('Données projet'!$B$10,Paramètres!$A$1:$I$89,5,0)</f>
        <v>-7.4487616075202836E-14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191.94797389630673</v>
      </c>
      <c r="AO158" s="59">
        <f t="shared" si="144"/>
        <v>273.52540822767878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0.21657720936685484</v>
      </c>
      <c r="AV158" s="21">
        <f>EXP(-LN(2)/25)*AV157+(1-EXP(-LN(2)/25))/(LN(2)/25)*Calculateur!AQ158*Calculateur!AS158*VLOOKUP('Données projet'!$B$10,Paramètres!$A$1:$I$89,3,0)*0.475*44/12</f>
        <v>0.43900472026164106</v>
      </c>
      <c r="AW158" s="21">
        <f>EXP(-LN(2)/2)*AW157+(1-EXP(-LN(2)/2))/(LN(2)/2)*AQ158*AT158*VLOOKUP('Données projet'!$B$10,Paramètres!$A$1:$I$89,3,0)*0.475*44/12</f>
        <v>3.5577103621619159E-18</v>
      </c>
      <c r="AX158" s="21">
        <f t="shared" si="166"/>
        <v>0.65558192962849593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-3.4106051316484809E-13</v>
      </c>
      <c r="BE158" s="13">
        <f>BD158*VLOOKUP('Données projet'!$B$11,Paramètres!$A$1:$I$89,3,0)*VLOOKUP('Données projet'!$B$11,Paramètres!$A$1:$I$89,5,0)</f>
        <v>-1.9065282685915009E-13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279.98352834501759</v>
      </c>
      <c r="BJ158" s="59">
        <f t="shared" si="146"/>
        <v>281.30062655265488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0.33621865163806108</v>
      </c>
      <c r="BQ158" s="21">
        <f>EXP(-LN(2)/25)*BQ157+(1-EXP(-LN(2)/25))/(LN(2)/25)*Calculateur!BL158*Calculateur!BN158*VLOOKUP('Données projet'!$B$11,Paramètres!$A$1:$I$89,3,0)*0.475*44/12</f>
        <v>0.75709209887894047</v>
      </c>
      <c r="BR158" s="21">
        <f>EXP(-LN(2)/2)*BR157+(1-EXP(-LN(2)/2))/(LN(2)/2)*BL158*BO158*VLOOKUP('Données projet'!$B$11,Paramètres!$A$1:$I$89,3,0)*0.475*44/12</f>
        <v>4.3418484917535675E-18</v>
      </c>
      <c r="BS158" s="22">
        <f t="shared" si="169"/>
        <v>1.0933107505170017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-8.5265128291212022E-14</v>
      </c>
      <c r="BZ158" s="13">
        <f>BY158*VLOOKUP('Données projet'!$B$12,Paramètres!$A$1:$I$89,3,0)*VLOOKUP('Données projet'!$B$12,Paramètres!$A$1:$I$89,5,0)</f>
        <v>-6.2516392063116648E-14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124.15919323713428</v>
      </c>
      <c r="CE158" s="59">
        <f t="shared" si="148"/>
        <v>157.85954678210715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0.15707458998157309</v>
      </c>
      <c r="CM158" s="21">
        <f>EXP(-LN(2)/2)*CM157+(1-EXP(-LN(2)/2))/(LN(2)/2)*CG158*CJ158*VLOOKUP('Données projet'!$B$12,Paramètres!$A$1:$I$89,3,0)*0.475*44/12</f>
        <v>1.1311617267017499E-18</v>
      </c>
      <c r="CN158" s="22">
        <f t="shared" si="172"/>
        <v>0.15707458998157309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2.8421709430404007E-14</v>
      </c>
      <c r="O159" s="13">
        <f>N159*VLOOKUP('Données projet'!$B$9,Paramètres!$A$1:$I$89,3,0)*VLOOKUP('Données projet'!$B$9,Paramètres!$A$1:$I$89,5,0)</f>
        <v>2.5715962692629544E-14</v>
      </c>
      <c r="P159" s="13">
        <f t="shared" si="141"/>
        <v>4.5248818890525812E-13</v>
      </c>
      <c r="Q159" s="20">
        <f t="shared" si="162"/>
        <v>8.3287223069965432E-13</v>
      </c>
      <c r="R159" s="59">
        <f t="shared" si="109"/>
        <v>293.33333333333417</v>
      </c>
      <c r="S159" s="59">
        <f ca="1">AVERAGE(OFFSET($R$3,0,0,'Données projet'!$E$9+1,1))-AVERAGE(OFFSET($H$3,0,0,'Données projet'!$E$9+1,1))</f>
        <v>138.8931001150624</v>
      </c>
      <c r="T159" s="59">
        <f t="shared" si="142"/>
        <v>48.964659354096625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-8.5265128291212022E-14</v>
      </c>
      <c r="AJ159" s="13">
        <f>AI159*VLOOKUP('Données projet'!$B$10,Paramètres!$A$1:$I$89,3,0)*VLOOKUP('Données projet'!$B$10,Paramètres!$A$1:$I$89,5,0)</f>
        <v>-7.4487616075202836E-14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191.94797389630673</v>
      </c>
      <c r="AO159" s="59">
        <f t="shared" si="144"/>
        <v>273.52540822767878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0.21233026239022484</v>
      </c>
      <c r="AV159" s="21">
        <f>EXP(-LN(2)/25)*AV158+(1-EXP(-LN(2)/25))/(LN(2)/25)*Calculateur!AQ159*Calculateur!AS159*VLOOKUP('Données projet'!$B$10,Paramètres!$A$1:$I$89,3,0)*0.475*44/12</f>
        <v>0.4270001130998316</v>
      </c>
      <c r="AW159" s="21">
        <f>EXP(-LN(2)/2)*AW158+(1-EXP(-LN(2)/2))/(LN(2)/2)*AQ159*AT159*VLOOKUP('Données projet'!$B$10,Paramètres!$A$1:$I$89,3,0)*0.475*44/12</f>
        <v>2.5156811225823387E-18</v>
      </c>
      <c r="AX159" s="21">
        <f t="shared" si="166"/>
        <v>0.63933037549005645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-3.4106051316484809E-13</v>
      </c>
      <c r="BE159" s="13">
        <f>BD159*VLOOKUP('Données projet'!$B$11,Paramètres!$A$1:$I$89,3,0)*VLOOKUP('Données projet'!$B$11,Paramètres!$A$1:$I$89,5,0)</f>
        <v>-1.9065282685915009E-13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279.98352834501759</v>
      </c>
      <c r="BJ159" s="59">
        <f t="shared" si="146"/>
        <v>281.30062655265488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0.32962560895256693</v>
      </c>
      <c r="BQ159" s="21">
        <f>EXP(-LN(2)/25)*BQ158+(1-EXP(-LN(2)/25))/(LN(2)/25)*Calculateur!BL159*Calculateur!BN159*VLOOKUP('Données projet'!$B$11,Paramètres!$A$1:$I$89,3,0)*0.475*44/12</f>
        <v>0.73638937562135276</v>
      </c>
      <c r="BR159" s="21">
        <f>EXP(-LN(2)/2)*BR158+(1-EXP(-LN(2)/2))/(LN(2)/2)*BL159*BO159*VLOOKUP('Données projet'!$B$11,Paramètres!$A$1:$I$89,3,0)*0.475*44/12</f>
        <v>3.0701505114035313E-18</v>
      </c>
      <c r="BS159" s="22">
        <f t="shared" si="169"/>
        <v>1.0660149845739197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-8.5265128291212022E-14</v>
      </c>
      <c r="BZ159" s="13">
        <f>BY159*VLOOKUP('Données projet'!$B$12,Paramètres!$A$1:$I$89,3,0)*VLOOKUP('Données projet'!$B$12,Paramètres!$A$1:$I$89,5,0)</f>
        <v>-6.2516392063116648E-14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124.15919323713428</v>
      </c>
      <c r="CE159" s="59">
        <f t="shared" si="148"/>
        <v>157.85954678210715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0.15277937705833328</v>
      </c>
      <c r="CM159" s="21">
        <f>EXP(-LN(2)/2)*CM158+(1-EXP(-LN(2)/2))/(LN(2)/2)*CG159*CJ159*VLOOKUP('Données projet'!$B$12,Paramètres!$A$1:$I$89,3,0)*0.475*44/12</f>
        <v>7.9985212756949152E-19</v>
      </c>
      <c r="CN159" s="22">
        <f t="shared" si="172"/>
        <v>0.15277937705833328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2.8421709430404007E-14</v>
      </c>
      <c r="O160" s="13">
        <f>N160*VLOOKUP('Données projet'!$B$9,Paramètres!$A$1:$I$89,3,0)*VLOOKUP('Données projet'!$B$9,Paramètres!$A$1:$I$89,5,0)</f>
        <v>2.5715962692629544E-14</v>
      </c>
      <c r="P160" s="13">
        <f t="shared" si="141"/>
        <v>4.5248818890525812E-13</v>
      </c>
      <c r="Q160" s="20">
        <f t="shared" si="162"/>
        <v>8.3287223069965432E-13</v>
      </c>
      <c r="R160" s="59">
        <f t="shared" si="109"/>
        <v>293.33333333333417</v>
      </c>
      <c r="S160" s="59">
        <f ca="1">AVERAGE(OFFSET($R$3,0,0,'Données projet'!$E$9+1,1))-AVERAGE(OFFSET($H$3,0,0,'Données projet'!$E$9+1,1))</f>
        <v>138.8931001150624</v>
      </c>
      <c r="T160" s="59">
        <f t="shared" si="142"/>
        <v>48.964659354096625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-8.5265128291212022E-14</v>
      </c>
      <c r="AJ160" s="13">
        <f>AI160*VLOOKUP('Données projet'!$B$10,Paramètres!$A$1:$I$89,3,0)*VLOOKUP('Données projet'!$B$10,Paramètres!$A$1:$I$89,5,0)</f>
        <v>-7.4487616075202836E-14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191.94797389630673</v>
      </c>
      <c r="AO160" s="59">
        <f t="shared" si="144"/>
        <v>273.52540822767878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0.20816659545342467</v>
      </c>
      <c r="AV160" s="21">
        <f>EXP(-LN(2)/25)*AV159+(1-EXP(-LN(2)/25))/(LN(2)/25)*Calculateur!AQ160*Calculateur!AS160*VLOOKUP('Données projet'!$B$10,Paramètres!$A$1:$I$89,3,0)*0.475*44/12</f>
        <v>0.41532377255215669</v>
      </c>
      <c r="AW160" s="21">
        <f>EXP(-LN(2)/2)*AW159+(1-EXP(-LN(2)/2))/(LN(2)/2)*AQ160*AT160*VLOOKUP('Données projet'!$B$10,Paramètres!$A$1:$I$89,3,0)*0.475*44/12</f>
        <v>1.778855181080958E-18</v>
      </c>
      <c r="AX160" s="21">
        <f t="shared" si="166"/>
        <v>0.62349036800558133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-3.4106051316484809E-13</v>
      </c>
      <c r="BE160" s="13">
        <f>BD160*VLOOKUP('Données projet'!$B$11,Paramètres!$A$1:$I$89,3,0)*VLOOKUP('Données projet'!$B$11,Paramètres!$A$1:$I$89,5,0)</f>
        <v>-1.9065282685915009E-13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279.98352834501759</v>
      </c>
      <c r="BJ160" s="59">
        <f t="shared" si="146"/>
        <v>281.30062655265488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0.32316185181277635</v>
      </c>
      <c r="BQ160" s="21">
        <f>EXP(-LN(2)/25)*BQ159+(1-EXP(-LN(2)/25))/(LN(2)/25)*Calculateur!BL160*Calculateur!BN160*VLOOKUP('Données projet'!$B$11,Paramètres!$A$1:$I$89,3,0)*0.475*44/12</f>
        <v>0.71625276941995264</v>
      </c>
      <c r="BR160" s="21">
        <f>EXP(-LN(2)/2)*BR159+(1-EXP(-LN(2)/2))/(LN(2)/2)*BL160*BO160*VLOOKUP('Données projet'!$B$11,Paramètres!$A$1:$I$89,3,0)*0.475*44/12</f>
        <v>2.1709242458767838E-18</v>
      </c>
      <c r="BS160" s="22">
        <f t="shared" si="169"/>
        <v>1.0394146212327291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-8.5265128291212022E-14</v>
      </c>
      <c r="BZ160" s="13">
        <f>BY160*VLOOKUP('Données projet'!$B$12,Paramètres!$A$1:$I$89,3,0)*VLOOKUP('Données projet'!$B$12,Paramètres!$A$1:$I$89,5,0)</f>
        <v>-6.2516392063116648E-14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124.15919323713428</v>
      </c>
      <c r="CE160" s="59">
        <f t="shared" si="148"/>
        <v>157.85954678210715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0.14860161695835489</v>
      </c>
      <c r="CM160" s="21">
        <f>EXP(-LN(2)/2)*CM159+(1-EXP(-LN(2)/2))/(LN(2)/2)*CG160*CJ160*VLOOKUP('Données projet'!$B$12,Paramètres!$A$1:$I$89,3,0)*0.475*44/12</f>
        <v>5.6558086335087493E-19</v>
      </c>
      <c r="CN160" s="22">
        <f t="shared" si="172"/>
        <v>0.14860161695835489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2.8421709430404007E-14</v>
      </c>
      <c r="O161" s="13">
        <f>N161*VLOOKUP('Données projet'!$B$9,Paramètres!$A$1:$I$89,3,0)*VLOOKUP('Données projet'!$B$9,Paramètres!$A$1:$I$89,5,0)</f>
        <v>2.5715962692629544E-14</v>
      </c>
      <c r="P161" s="13">
        <f t="shared" si="141"/>
        <v>4.5248818890525812E-13</v>
      </c>
      <c r="Q161" s="20">
        <f t="shared" si="162"/>
        <v>8.3287223069965432E-13</v>
      </c>
      <c r="R161" s="59">
        <f t="shared" si="109"/>
        <v>293.33333333333417</v>
      </c>
      <c r="S161" s="59">
        <f ca="1">AVERAGE(OFFSET($R$3,0,0,'Données projet'!$E$9+1,1))-AVERAGE(OFFSET($H$3,0,0,'Données projet'!$E$9+1,1))</f>
        <v>138.8931001150624</v>
      </c>
      <c r="T161" s="59">
        <f t="shared" si="142"/>
        <v>48.964659354096625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-8.5265128291212022E-14</v>
      </c>
      <c r="AJ161" s="13">
        <f>AI161*VLOOKUP('Données projet'!$B$10,Paramètres!$A$1:$I$89,3,0)*VLOOKUP('Données projet'!$B$10,Paramètres!$A$1:$I$89,5,0)</f>
        <v>-7.4487616075202836E-14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191.94797389630673</v>
      </c>
      <c r="AO161" s="59">
        <f t="shared" si="144"/>
        <v>273.52540822767878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0.20408457548566908</v>
      </c>
      <c r="AV161" s="21">
        <f>EXP(-LN(2)/25)*AV160+(1-EXP(-LN(2)/25))/(LN(2)/25)*Calculateur!AQ161*Calculateur!AS161*VLOOKUP('Données projet'!$B$10,Paramètres!$A$1:$I$89,3,0)*0.475*44/12</f>
        <v>0.40396672215078999</v>
      </c>
      <c r="AW161" s="21">
        <f>EXP(-LN(2)/2)*AW160+(1-EXP(-LN(2)/2))/(LN(2)/2)*AQ161*AT161*VLOOKUP('Données projet'!$B$10,Paramètres!$A$1:$I$89,3,0)*0.475*44/12</f>
        <v>1.2578405612911694E-18</v>
      </c>
      <c r="AX161" s="21">
        <f t="shared" si="166"/>
        <v>0.60805129763645904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-3.4106051316484809E-13</v>
      </c>
      <c r="BE161" s="13">
        <f>BD161*VLOOKUP('Données projet'!$B$11,Paramètres!$A$1:$I$89,3,0)*VLOOKUP('Données projet'!$B$11,Paramètres!$A$1:$I$89,5,0)</f>
        <v>-1.9065282685915009E-13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279.98352834501759</v>
      </c>
      <c r="BJ161" s="59">
        <f t="shared" si="146"/>
        <v>281.30062655265488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0.31682484500799446</v>
      </c>
      <c r="BQ161" s="21">
        <f>EXP(-LN(2)/25)*BQ160+(1-EXP(-LN(2)/25))/(LN(2)/25)*Calculateur!BL161*Calculateur!BN161*VLOOKUP('Données projet'!$B$11,Paramètres!$A$1:$I$89,3,0)*0.475*44/12</f>
        <v>0.69666679977406787</v>
      </c>
      <c r="BR161" s="21">
        <f>EXP(-LN(2)/2)*BR160+(1-EXP(-LN(2)/2))/(LN(2)/2)*BL161*BO161*VLOOKUP('Données projet'!$B$11,Paramètres!$A$1:$I$89,3,0)*0.475*44/12</f>
        <v>1.5350752557017656E-18</v>
      </c>
      <c r="BS161" s="22">
        <f t="shared" si="169"/>
        <v>1.0134916447820623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-8.5265128291212022E-14</v>
      </c>
      <c r="BZ161" s="13">
        <f>BY161*VLOOKUP('Données projet'!$B$12,Paramètres!$A$1:$I$89,3,0)*VLOOKUP('Données projet'!$B$12,Paramètres!$A$1:$I$89,5,0)</f>
        <v>-6.2516392063116648E-14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124.15919323713428</v>
      </c>
      <c r="CE161" s="59">
        <f t="shared" si="148"/>
        <v>157.85954678210715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0.14453809792800926</v>
      </c>
      <c r="CM161" s="21">
        <f>EXP(-LN(2)/2)*CM160+(1-EXP(-LN(2)/2))/(LN(2)/2)*CG161*CJ161*VLOOKUP('Données projet'!$B$12,Paramètres!$A$1:$I$89,3,0)*0.475*44/12</f>
        <v>3.9992606378474576E-19</v>
      </c>
      <c r="CN161" s="22">
        <f t="shared" si="172"/>
        <v>0.14453809792800926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2.8421709430404007E-14</v>
      </c>
      <c r="O162" s="13">
        <f>N162*VLOOKUP('Données projet'!$B$9,Paramètres!$A$1:$I$89,3,0)*VLOOKUP('Données projet'!$B$9,Paramètres!$A$1:$I$89,5,0)</f>
        <v>2.5715962692629544E-14</v>
      </c>
      <c r="P162" s="13">
        <f t="shared" si="141"/>
        <v>4.5248818890525812E-13</v>
      </c>
      <c r="Q162" s="20">
        <f t="shared" si="162"/>
        <v>8.3287223069965432E-13</v>
      </c>
      <c r="R162" s="59">
        <f t="shared" si="109"/>
        <v>293.33333333333417</v>
      </c>
      <c r="S162" s="59">
        <f ca="1">AVERAGE(OFFSET($R$3,0,0,'Données projet'!$E$9+1,1))-AVERAGE(OFFSET($H$3,0,0,'Données projet'!$E$9+1,1))</f>
        <v>138.8931001150624</v>
      </c>
      <c r="T162" s="59">
        <f t="shared" si="142"/>
        <v>48.964659354096625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-8.5265128291212022E-14</v>
      </c>
      <c r="AJ162" s="13">
        <f>AI162*VLOOKUP('Données projet'!$B$10,Paramètres!$A$1:$I$89,3,0)*VLOOKUP('Données projet'!$B$10,Paramètres!$A$1:$I$89,5,0)</f>
        <v>-7.4487616075202836E-14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191.94797389630673</v>
      </c>
      <c r="AO162" s="59">
        <f t="shared" si="144"/>
        <v>273.52540822767878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0.20008260143969483</v>
      </c>
      <c r="AV162" s="21">
        <f>EXP(-LN(2)/25)*AV161+(1-EXP(-LN(2)/25))/(LN(2)/25)*Calculateur!AQ162*Calculateur!AS162*VLOOKUP('Données projet'!$B$10,Paramètres!$A$1:$I$89,3,0)*0.475*44/12</f>
        <v>0.39292023088988998</v>
      </c>
      <c r="AW162" s="21">
        <f>EXP(-LN(2)/2)*AW161+(1-EXP(-LN(2)/2))/(LN(2)/2)*AQ162*AT162*VLOOKUP('Données projet'!$B$10,Paramètres!$A$1:$I$89,3,0)*0.475*44/12</f>
        <v>8.8942759054047898E-19</v>
      </c>
      <c r="AX162" s="21">
        <f t="shared" si="166"/>
        <v>0.59300283232958484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-3.4106051316484809E-13</v>
      </c>
      <c r="BE162" s="13">
        <f>BD162*VLOOKUP('Données projet'!$B$11,Paramètres!$A$1:$I$89,3,0)*VLOOKUP('Données projet'!$B$11,Paramètres!$A$1:$I$89,5,0)</f>
        <v>-1.9065282685915009E-13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279.98352834501759</v>
      </c>
      <c r="BJ162" s="59">
        <f t="shared" si="146"/>
        <v>281.30062655265488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0.31061210304146186</v>
      </c>
      <c r="BQ162" s="21">
        <f>EXP(-LN(2)/25)*BQ161+(1-EXP(-LN(2)/25))/(LN(2)/25)*Calculateur!BL162*Calculateur!BN162*VLOOKUP('Données projet'!$B$11,Paramètres!$A$1:$I$89,3,0)*0.475*44/12</f>
        <v>0.67761640949813129</v>
      </c>
      <c r="BR162" s="21">
        <f>EXP(-LN(2)/2)*BR161+(1-EXP(-LN(2)/2))/(LN(2)/2)*BL162*BO162*VLOOKUP('Données projet'!$B$11,Paramètres!$A$1:$I$89,3,0)*0.475*44/12</f>
        <v>1.0854621229383919E-18</v>
      </c>
      <c r="BS162" s="22">
        <f t="shared" si="169"/>
        <v>0.9882285125395931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-8.5265128291212022E-14</v>
      </c>
      <c r="BZ162" s="13">
        <f>BY162*VLOOKUP('Données projet'!$B$12,Paramètres!$A$1:$I$89,3,0)*VLOOKUP('Données projet'!$B$12,Paramètres!$A$1:$I$89,5,0)</f>
        <v>-6.2516392063116648E-14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124.15919323713428</v>
      </c>
      <c r="CE162" s="59">
        <f t="shared" si="148"/>
        <v>157.85954678210715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0.14058569603923962</v>
      </c>
      <c r="CM162" s="21">
        <f>EXP(-LN(2)/2)*CM161+(1-EXP(-LN(2)/2))/(LN(2)/2)*CG162*CJ162*VLOOKUP('Données projet'!$B$12,Paramètres!$A$1:$I$89,3,0)*0.475*44/12</f>
        <v>2.8279043167543746E-19</v>
      </c>
      <c r="CN162" s="22">
        <f t="shared" si="172"/>
        <v>0.14058569603923962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2.8421709430404007E-14</v>
      </c>
      <c r="O163" s="13">
        <f>N163*VLOOKUP('Données projet'!$B$9,Paramètres!$A$1:$I$89,3,0)*VLOOKUP('Données projet'!$B$9,Paramètres!$A$1:$I$89,5,0)</f>
        <v>2.5715962692629544E-14</v>
      </c>
      <c r="P163" s="13">
        <f t="shared" si="141"/>
        <v>4.5248818890525812E-13</v>
      </c>
      <c r="Q163" s="20">
        <f t="shared" si="162"/>
        <v>8.3287223069965432E-13</v>
      </c>
      <c r="R163" s="59">
        <f t="shared" si="109"/>
        <v>293.33333333333417</v>
      </c>
      <c r="S163" s="59">
        <f ca="1">AVERAGE(OFFSET($R$3,0,0,'Données projet'!$E$9+1,1))-AVERAGE(OFFSET($H$3,0,0,'Données projet'!$E$9+1,1))</f>
        <v>138.8931001150624</v>
      </c>
      <c r="T163" s="59">
        <f t="shared" si="142"/>
        <v>48.964659354096625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-8.5265128291212022E-14</v>
      </c>
      <c r="AJ163" s="13">
        <f>AI163*VLOOKUP('Données projet'!$B$10,Paramètres!$A$1:$I$89,3,0)*VLOOKUP('Données projet'!$B$10,Paramètres!$A$1:$I$89,5,0)</f>
        <v>-7.4487616075202836E-14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191.94797389630673</v>
      </c>
      <c r="AO163" s="59">
        <f t="shared" si="144"/>
        <v>273.52540822767878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0.19615910366379902</v>
      </c>
      <c r="AV163" s="21">
        <f>EXP(-LN(2)/25)*AV162+(1-EXP(-LN(2)/25))/(LN(2)/25)*Calculateur!AQ163*Calculateur!AS163*VLOOKUP('Données projet'!$B$10,Paramètres!$A$1:$I$89,3,0)*0.475*44/12</f>
        <v>0.38217580651342903</v>
      </c>
      <c r="AW163" s="21">
        <f>EXP(-LN(2)/2)*AW162+(1-EXP(-LN(2)/2))/(LN(2)/2)*AQ163*AT163*VLOOKUP('Données projet'!$B$10,Paramètres!$A$1:$I$89,3,0)*0.475*44/12</f>
        <v>6.2892028064558468E-19</v>
      </c>
      <c r="AX163" s="21">
        <f t="shared" si="166"/>
        <v>0.57833491017722805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-3.4106051316484809E-13</v>
      </c>
      <c r="BE163" s="13">
        <f>BD163*VLOOKUP('Données projet'!$B$11,Paramètres!$A$1:$I$89,3,0)*VLOOKUP('Données projet'!$B$11,Paramètres!$A$1:$I$89,5,0)</f>
        <v>-1.9065282685915009E-13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279.98352834501759</v>
      </c>
      <c r="BJ163" s="59">
        <f t="shared" si="146"/>
        <v>281.30062655265488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0.30452118915549453</v>
      </c>
      <c r="BQ163" s="21">
        <f>EXP(-LN(2)/25)*BQ162+(1-EXP(-LN(2)/25))/(LN(2)/25)*Calculateur!BL163*Calculateur!BN163*VLOOKUP('Données projet'!$B$11,Paramètres!$A$1:$I$89,3,0)*0.475*44/12</f>
        <v>0.65908695314610666</v>
      </c>
      <c r="BR163" s="21">
        <f>EXP(-LN(2)/2)*BR162+(1-EXP(-LN(2)/2))/(LN(2)/2)*BL163*BO163*VLOOKUP('Données projet'!$B$11,Paramètres!$A$1:$I$89,3,0)*0.475*44/12</f>
        <v>7.6753762785088282E-19</v>
      </c>
      <c r="BS163" s="22">
        <f t="shared" si="169"/>
        <v>0.96360814230160119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-8.5265128291212022E-14</v>
      </c>
      <c r="BZ163" s="13">
        <f>BY163*VLOOKUP('Données projet'!$B$12,Paramètres!$A$1:$I$89,3,0)*VLOOKUP('Données projet'!$B$12,Paramètres!$A$1:$I$89,5,0)</f>
        <v>-6.2516392063116648E-14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124.15919323713428</v>
      </c>
      <c r="CE163" s="59">
        <f t="shared" si="148"/>
        <v>157.85954678210715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0.13674137278796616</v>
      </c>
      <c r="CM163" s="21">
        <f>EXP(-LN(2)/2)*CM162+(1-EXP(-LN(2)/2))/(LN(2)/2)*CG163*CJ163*VLOOKUP('Données projet'!$B$12,Paramètres!$A$1:$I$89,3,0)*0.475*44/12</f>
        <v>1.9996303189237288E-19</v>
      </c>
      <c r="CN163" s="22">
        <f t="shared" si="172"/>
        <v>0.13674137278796616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2.8421709430404007E-14</v>
      </c>
      <c r="O164" s="13">
        <f>N164*VLOOKUP('Données projet'!$B$9,Paramètres!$A$1:$I$89,3,0)*VLOOKUP('Données projet'!$B$9,Paramètres!$A$1:$I$89,5,0)</f>
        <v>2.5715962692629544E-14</v>
      </c>
      <c r="P164" s="13">
        <f t="shared" si="141"/>
        <v>4.5248818890525812E-13</v>
      </c>
      <c r="Q164" s="20">
        <f t="shared" si="162"/>
        <v>8.3287223069965432E-13</v>
      </c>
      <c r="R164" s="59">
        <f t="shared" si="109"/>
        <v>293.33333333333417</v>
      </c>
      <c r="S164" s="59">
        <f ca="1">AVERAGE(OFFSET($R$3,0,0,'Données projet'!$E$9+1,1))-AVERAGE(OFFSET($H$3,0,0,'Données projet'!$E$9+1,1))</f>
        <v>138.8931001150624</v>
      </c>
      <c r="T164" s="59">
        <f t="shared" si="142"/>
        <v>48.964659354096625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-8.5265128291212022E-14</v>
      </c>
      <c r="AJ164" s="13">
        <f>AI164*VLOOKUP('Données projet'!$B$10,Paramètres!$A$1:$I$89,3,0)*VLOOKUP('Données projet'!$B$10,Paramètres!$A$1:$I$89,5,0)</f>
        <v>-7.4487616075202836E-14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191.94797389630673</v>
      </c>
      <c r="AO164" s="59">
        <f t="shared" si="144"/>
        <v>273.52540822767878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0.19231254328619116</v>
      </c>
      <c r="AV164" s="21">
        <f>EXP(-LN(2)/25)*AV163+(1-EXP(-LN(2)/25))/(LN(2)/25)*Calculateur!AQ164*Calculateur!AS164*VLOOKUP('Données projet'!$B$10,Paramètres!$A$1:$I$89,3,0)*0.475*44/12</f>
        <v>0.37172518898656715</v>
      </c>
      <c r="AW164" s="21">
        <f>EXP(-LN(2)/2)*AW163+(1-EXP(-LN(2)/2))/(LN(2)/2)*AQ164*AT164*VLOOKUP('Données projet'!$B$10,Paramètres!$A$1:$I$89,3,0)*0.475*44/12</f>
        <v>4.4471379527023949E-19</v>
      </c>
      <c r="AX164" s="21">
        <f t="shared" si="166"/>
        <v>0.56403773227275833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-3.4106051316484809E-13</v>
      </c>
      <c r="BE164" s="13">
        <f>BD164*VLOOKUP('Données projet'!$B$11,Paramètres!$A$1:$I$89,3,0)*VLOOKUP('Données projet'!$B$11,Paramètres!$A$1:$I$89,5,0)</f>
        <v>-1.9065282685915009E-13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279.98352834501759</v>
      </c>
      <c r="BJ164" s="59">
        <f t="shared" si="146"/>
        <v>281.30062655265488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0.2985497143757404</v>
      </c>
      <c r="BQ164" s="21">
        <f>EXP(-LN(2)/25)*BQ163+(1-EXP(-LN(2)/25))/(LN(2)/25)*Calculateur!BL164*Calculateur!BN164*VLOOKUP('Données projet'!$B$11,Paramètres!$A$1:$I$89,3,0)*0.475*44/12</f>
        <v>0.64106418575244983</v>
      </c>
      <c r="BR164" s="21">
        <f>EXP(-LN(2)/2)*BR163+(1-EXP(-LN(2)/2))/(LN(2)/2)*BL164*BO164*VLOOKUP('Données projet'!$B$11,Paramètres!$A$1:$I$89,3,0)*0.475*44/12</f>
        <v>5.4273106146919594E-19</v>
      </c>
      <c r="BS164" s="22">
        <f t="shared" si="169"/>
        <v>0.93961390012819024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-8.5265128291212022E-14</v>
      </c>
      <c r="BZ164" s="13">
        <f>BY164*VLOOKUP('Données projet'!$B$12,Paramètres!$A$1:$I$89,3,0)*VLOOKUP('Données projet'!$B$12,Paramètres!$A$1:$I$89,5,0)</f>
        <v>-6.2516392063116648E-14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124.15919323713428</v>
      </c>
      <c r="CE164" s="59">
        <f t="shared" si="148"/>
        <v>157.85954678210715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0.13300217275816295</v>
      </c>
      <c r="CM164" s="21">
        <f>EXP(-LN(2)/2)*CM163+(1-EXP(-LN(2)/2))/(LN(2)/2)*CG164*CJ164*VLOOKUP('Données projet'!$B$12,Paramètres!$A$1:$I$89,3,0)*0.475*44/12</f>
        <v>1.4139521583771873E-19</v>
      </c>
      <c r="CN164" s="22">
        <f t="shared" si="172"/>
        <v>0.13300217275816295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2.8421709430404007E-14</v>
      </c>
      <c r="O165" s="13">
        <f>N165*VLOOKUP('Données projet'!$B$9,Paramètres!$A$1:$I$89,3,0)*VLOOKUP('Données projet'!$B$9,Paramètres!$A$1:$I$89,5,0)</f>
        <v>2.5715962692629544E-14</v>
      </c>
      <c r="P165" s="13">
        <f t="shared" si="141"/>
        <v>4.5248818890525812E-13</v>
      </c>
      <c r="Q165" s="20">
        <f t="shared" si="162"/>
        <v>8.3287223069965432E-13</v>
      </c>
      <c r="R165" s="59">
        <f t="shared" si="109"/>
        <v>293.33333333333417</v>
      </c>
      <c r="S165" s="59">
        <f ca="1">AVERAGE(OFFSET($R$3,0,0,'Données projet'!$E$9+1,1))-AVERAGE(OFFSET($H$3,0,0,'Données projet'!$E$9+1,1))</f>
        <v>138.8931001150624</v>
      </c>
      <c r="T165" s="59">
        <f t="shared" si="142"/>
        <v>48.964659354096625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-8.5265128291212022E-14</v>
      </c>
      <c r="AJ165" s="13">
        <f>AI165*VLOOKUP('Données projet'!$B$10,Paramètres!$A$1:$I$89,3,0)*VLOOKUP('Données projet'!$B$10,Paramètres!$A$1:$I$89,5,0)</f>
        <v>-7.4487616075202836E-14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191.94797389630673</v>
      </c>
      <c r="AO165" s="59">
        <f t="shared" si="144"/>
        <v>273.52540822767878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0.18854141161141802</v>
      </c>
      <c r="AV165" s="21">
        <f>EXP(-LN(2)/25)*AV164+(1-EXP(-LN(2)/25))/(LN(2)/25)*Calculateur!AQ165*Calculateur!AS165*VLOOKUP('Données projet'!$B$10,Paramètres!$A$1:$I$89,3,0)*0.475*44/12</f>
        <v>0.36156034414555138</v>
      </c>
      <c r="AW165" s="21">
        <f>EXP(-LN(2)/2)*AW164+(1-EXP(-LN(2)/2))/(LN(2)/2)*AQ165*AT165*VLOOKUP('Données projet'!$B$10,Paramètres!$A$1:$I$89,3,0)*0.475*44/12</f>
        <v>3.1446014032279234E-19</v>
      </c>
      <c r="AX165" s="21">
        <f t="shared" si="166"/>
        <v>0.5501017557569694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-3.4106051316484809E-13</v>
      </c>
      <c r="BE165" s="13">
        <f>BD165*VLOOKUP('Données projet'!$B$11,Paramètres!$A$1:$I$89,3,0)*VLOOKUP('Données projet'!$B$11,Paramètres!$A$1:$I$89,5,0)</f>
        <v>-1.9065282685915009E-13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279.98352834501759</v>
      </c>
      <c r="BJ165" s="59">
        <f t="shared" si="146"/>
        <v>281.30062655265488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0.29269533657417729</v>
      </c>
      <c r="BQ165" s="21">
        <f>EXP(-LN(2)/25)*BQ164+(1-EXP(-LN(2)/25))/(LN(2)/25)*Calculateur!BL165*Calculateur!BN165*VLOOKUP('Données projet'!$B$11,Paramètres!$A$1:$I$89,3,0)*0.475*44/12</f>
        <v>0.62353425188094869</v>
      </c>
      <c r="BR165" s="21">
        <f>EXP(-LN(2)/2)*BR164+(1-EXP(-LN(2)/2))/(LN(2)/2)*BL165*BO165*VLOOKUP('Données projet'!$B$11,Paramètres!$A$1:$I$89,3,0)*0.475*44/12</f>
        <v>3.8376881392544141E-19</v>
      </c>
      <c r="BS165" s="22">
        <f t="shared" si="169"/>
        <v>0.91622958845512592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-8.5265128291212022E-14</v>
      </c>
      <c r="BZ165" s="13">
        <f>BY165*VLOOKUP('Données projet'!$B$12,Paramètres!$A$1:$I$89,3,0)*VLOOKUP('Données projet'!$B$12,Paramètres!$A$1:$I$89,5,0)</f>
        <v>-6.2516392063116648E-14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124.15919323713428</v>
      </c>
      <c r="CE165" s="59">
        <f t="shared" si="148"/>
        <v>157.85954678210715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0.12936522134981071</v>
      </c>
      <c r="CM165" s="21">
        <f>EXP(-LN(2)/2)*CM164+(1-EXP(-LN(2)/2))/(LN(2)/2)*CG165*CJ165*VLOOKUP('Données projet'!$B$12,Paramètres!$A$1:$I$89,3,0)*0.475*44/12</f>
        <v>9.998151594618644E-20</v>
      </c>
      <c r="CN165" s="22">
        <f t="shared" si="172"/>
        <v>0.12936522134981071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2.8421709430404007E-14</v>
      </c>
      <c r="O166" s="13">
        <f>N166*VLOOKUP('Données projet'!$B$9,Paramètres!$A$1:$I$89,3,0)*VLOOKUP('Données projet'!$B$9,Paramètres!$A$1:$I$89,5,0)</f>
        <v>2.5715962692629544E-14</v>
      </c>
      <c r="P166" s="13">
        <f t="shared" si="141"/>
        <v>4.5248818890525812E-13</v>
      </c>
      <c r="Q166" s="20">
        <f t="shared" si="162"/>
        <v>8.3287223069965432E-13</v>
      </c>
      <c r="R166" s="59">
        <f t="shared" si="109"/>
        <v>293.33333333333417</v>
      </c>
      <c r="S166" s="59">
        <f ca="1">AVERAGE(OFFSET($R$3,0,0,'Données projet'!$E$9+1,1))-AVERAGE(OFFSET($H$3,0,0,'Données projet'!$E$9+1,1))</f>
        <v>138.8931001150624</v>
      </c>
      <c r="T166" s="59">
        <f t="shared" si="142"/>
        <v>48.964659354096625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-8.5265128291212022E-14</v>
      </c>
      <c r="AJ166" s="13">
        <f>AI166*VLOOKUP('Données projet'!$B$10,Paramètres!$A$1:$I$89,3,0)*VLOOKUP('Données projet'!$B$10,Paramètres!$A$1:$I$89,5,0)</f>
        <v>-7.4487616075202836E-14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191.94797389630673</v>
      </c>
      <c r="AO166" s="59">
        <f t="shared" si="144"/>
        <v>273.52540822767878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0.184844229528624</v>
      </c>
      <c r="AV166" s="21">
        <f>EXP(-LN(2)/25)*AV165+(1-EXP(-LN(2)/25))/(LN(2)/25)*Calculateur!AQ166*Calculateur!AS166*VLOOKUP('Données projet'!$B$10,Paramètres!$A$1:$I$89,3,0)*0.475*44/12</f>
        <v>0.35167345752125911</v>
      </c>
      <c r="AW166" s="21">
        <f>EXP(-LN(2)/2)*AW165+(1-EXP(-LN(2)/2))/(LN(2)/2)*AQ166*AT166*VLOOKUP('Données projet'!$B$10,Paramètres!$A$1:$I$89,3,0)*0.475*44/12</f>
        <v>2.2235689763511975E-19</v>
      </c>
      <c r="AX166" s="21">
        <f t="shared" si="166"/>
        <v>0.53651768704988312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-3.4106051316484809E-13</v>
      </c>
      <c r="BE166" s="13">
        <f>BD166*VLOOKUP('Données projet'!$B$11,Paramètres!$A$1:$I$89,3,0)*VLOOKUP('Données projet'!$B$11,Paramètres!$A$1:$I$89,5,0)</f>
        <v>-1.9065282685915009E-13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279.98352834501759</v>
      </c>
      <c r="BJ166" s="59">
        <f t="shared" si="146"/>
        <v>281.30062655265488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0.28695575955048497</v>
      </c>
      <c r="BQ166" s="21">
        <f>EXP(-LN(2)/25)*BQ165+(1-EXP(-LN(2)/25))/(LN(2)/25)*Calculateur!BL166*Calculateur!BN166*VLOOKUP('Données projet'!$B$11,Paramètres!$A$1:$I$89,3,0)*0.475*44/12</f>
        <v>0.60648367497302291</v>
      </c>
      <c r="BR166" s="21">
        <f>EXP(-LN(2)/2)*BR165+(1-EXP(-LN(2)/2))/(LN(2)/2)*BL166*BO166*VLOOKUP('Données projet'!$B$11,Paramètres!$A$1:$I$89,3,0)*0.475*44/12</f>
        <v>2.7136553073459797E-19</v>
      </c>
      <c r="BS166" s="22">
        <f t="shared" si="169"/>
        <v>0.89343943452350794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-8.5265128291212022E-14</v>
      </c>
      <c r="BZ166" s="13">
        <f>BY166*VLOOKUP('Données projet'!$B$12,Paramètres!$A$1:$I$89,3,0)*VLOOKUP('Données projet'!$B$12,Paramètres!$A$1:$I$89,5,0)</f>
        <v>-6.2516392063116648E-14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124.15919323713428</v>
      </c>
      <c r="CE166" s="59">
        <f t="shared" si="148"/>
        <v>157.85954678210715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0.12582772256897881</v>
      </c>
      <c r="CM166" s="21">
        <f>EXP(-LN(2)/2)*CM165+(1-EXP(-LN(2)/2))/(LN(2)/2)*CG166*CJ166*VLOOKUP('Données projet'!$B$12,Paramètres!$A$1:$I$89,3,0)*0.475*44/12</f>
        <v>7.0697607918859366E-20</v>
      </c>
      <c r="CN166" s="22">
        <f t="shared" si="172"/>
        <v>0.12582772256897881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2.8421709430404007E-14</v>
      </c>
      <c r="O167" s="13">
        <f>N167*VLOOKUP('Données projet'!$B$9,Paramètres!$A$1:$I$89,3,0)*VLOOKUP('Données projet'!$B$9,Paramètres!$A$1:$I$89,5,0)</f>
        <v>2.5715962692629544E-14</v>
      </c>
      <c r="P167" s="13">
        <f t="shared" si="141"/>
        <v>4.5248818890525812E-13</v>
      </c>
      <c r="Q167" s="20">
        <f t="shared" si="162"/>
        <v>8.3287223069965432E-13</v>
      </c>
      <c r="R167" s="59">
        <f t="shared" si="109"/>
        <v>293.33333333333417</v>
      </c>
      <c r="S167" s="59">
        <f ca="1">AVERAGE(OFFSET($R$3,0,0,'Données projet'!$E$9+1,1))-AVERAGE(OFFSET($H$3,0,0,'Données projet'!$E$9+1,1))</f>
        <v>138.8931001150624</v>
      </c>
      <c r="T167" s="59">
        <f t="shared" si="142"/>
        <v>48.964659354096625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-8.5265128291212022E-14</v>
      </c>
      <c r="AJ167" s="13">
        <f>AI167*VLOOKUP('Données projet'!$B$10,Paramètres!$A$1:$I$89,3,0)*VLOOKUP('Données projet'!$B$10,Paramètres!$A$1:$I$89,5,0)</f>
        <v>-7.4487616075202836E-14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191.94797389630673</v>
      </c>
      <c r="AO167" s="59">
        <f t="shared" si="144"/>
        <v>273.52540822767878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0.18121954693141518</v>
      </c>
      <c r="AV167" s="21">
        <f>EXP(-LN(2)/25)*AV166+(1-EXP(-LN(2)/25))/(LN(2)/25)*Calculateur!AQ167*Calculateur!AS167*VLOOKUP('Données projet'!$B$10,Paramètres!$A$1:$I$89,3,0)*0.475*44/12</f>
        <v>0.34205692833163692</v>
      </c>
      <c r="AW167" s="21">
        <f>EXP(-LN(2)/2)*AW166+(1-EXP(-LN(2)/2))/(LN(2)/2)*AQ167*AT167*VLOOKUP('Données projet'!$B$10,Paramètres!$A$1:$I$89,3,0)*0.475*44/12</f>
        <v>1.5723007016139617E-19</v>
      </c>
      <c r="AX167" s="21">
        <f t="shared" si="166"/>
        <v>0.5232764752630521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-3.4106051316484809E-13</v>
      </c>
      <c r="BE167" s="13">
        <f>BD167*VLOOKUP('Données projet'!$B$11,Paramètres!$A$1:$I$89,3,0)*VLOOKUP('Données projet'!$B$11,Paramètres!$A$1:$I$89,5,0)</f>
        <v>-1.9065282685915009E-13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279.98352834501759</v>
      </c>
      <c r="BJ167" s="59">
        <f t="shared" si="146"/>
        <v>281.30062655265488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0.28132873213143095</v>
      </c>
      <c r="BQ167" s="21">
        <f>EXP(-LN(2)/25)*BQ166+(1-EXP(-LN(2)/25))/(LN(2)/25)*Calculateur!BL167*Calculateur!BN167*VLOOKUP('Données projet'!$B$11,Paramètres!$A$1:$I$89,3,0)*0.475*44/12</f>
        <v>0.58989934698729529</v>
      </c>
      <c r="BR167" s="21">
        <f>EXP(-LN(2)/2)*BR166+(1-EXP(-LN(2)/2))/(LN(2)/2)*BL167*BO167*VLOOKUP('Données projet'!$B$11,Paramètres!$A$1:$I$89,3,0)*0.475*44/12</f>
        <v>1.9188440696272071E-19</v>
      </c>
      <c r="BS167" s="22">
        <f t="shared" si="169"/>
        <v>0.87122807911872624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-8.5265128291212022E-14</v>
      </c>
      <c r="BZ167" s="13">
        <f>BY167*VLOOKUP('Données projet'!$B$12,Paramètres!$A$1:$I$89,3,0)*VLOOKUP('Données projet'!$B$12,Paramètres!$A$1:$I$89,5,0)</f>
        <v>-6.2516392063116648E-14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124.15919323713428</v>
      </c>
      <c r="CE167" s="59">
        <f t="shared" si="148"/>
        <v>157.85954678210715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0.12238695687833774</v>
      </c>
      <c r="CM167" s="21">
        <f>EXP(-LN(2)/2)*CM166+(1-EXP(-LN(2)/2))/(LN(2)/2)*CG167*CJ167*VLOOKUP('Données projet'!$B$12,Paramètres!$A$1:$I$89,3,0)*0.475*44/12</f>
        <v>4.999075797309322E-20</v>
      </c>
      <c r="CN167" s="22">
        <f t="shared" si="172"/>
        <v>0.12238695687833774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2.8421709430404007E-14</v>
      </c>
      <c r="O168" s="13">
        <f>N168*VLOOKUP('Données projet'!$B$9,Paramètres!$A$1:$I$89,3,0)*VLOOKUP('Données projet'!$B$9,Paramètres!$A$1:$I$89,5,0)</f>
        <v>2.5715962692629544E-14</v>
      </c>
      <c r="P168" s="13">
        <f t="shared" si="141"/>
        <v>4.5248818890525812E-13</v>
      </c>
      <c r="Q168" s="20">
        <f t="shared" si="162"/>
        <v>8.3287223069965432E-13</v>
      </c>
      <c r="R168" s="59">
        <f t="shared" si="109"/>
        <v>293.33333333333417</v>
      </c>
      <c r="S168" s="59">
        <f ca="1">AVERAGE(OFFSET($R$3,0,0,'Données projet'!$E$9+1,1))-AVERAGE(OFFSET($H$3,0,0,'Données projet'!$E$9+1,1))</f>
        <v>138.8931001150624</v>
      </c>
      <c r="T168" s="59">
        <f t="shared" si="142"/>
        <v>48.964659354096625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-8.5265128291212022E-14</v>
      </c>
      <c r="AJ168" s="13">
        <f>AI168*VLOOKUP('Données projet'!$B$10,Paramètres!$A$1:$I$89,3,0)*VLOOKUP('Données projet'!$B$10,Paramètres!$A$1:$I$89,5,0)</f>
        <v>-7.4487616075202836E-14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191.94797389630673</v>
      </c>
      <c r="AO168" s="59">
        <f t="shared" si="144"/>
        <v>273.52540822767878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0.17766594214909953</v>
      </c>
      <c r="AV168" s="21">
        <f>EXP(-LN(2)/25)*AV167+(1-EXP(-LN(2)/25))/(LN(2)/25)*Calculateur!AQ168*Calculateur!AS168*VLOOKUP('Données projet'!$B$10,Paramètres!$A$1:$I$89,3,0)*0.475*44/12</f>
        <v>0.33270336363841624</v>
      </c>
      <c r="AW168" s="21">
        <f>EXP(-LN(2)/2)*AW167+(1-EXP(-LN(2)/2))/(LN(2)/2)*AQ168*AT168*VLOOKUP('Données projet'!$B$10,Paramètres!$A$1:$I$89,3,0)*0.475*44/12</f>
        <v>1.1117844881755987E-19</v>
      </c>
      <c r="AX168" s="21">
        <f t="shared" si="166"/>
        <v>0.51036930578751583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-3.4106051316484809E-13</v>
      </c>
      <c r="BE168" s="13">
        <f>BD168*VLOOKUP('Données projet'!$B$11,Paramètres!$A$1:$I$89,3,0)*VLOOKUP('Données projet'!$B$11,Paramètres!$A$1:$I$89,5,0)</f>
        <v>-1.9065282685915009E-13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279.98352834501759</v>
      </c>
      <c r="BJ168" s="59">
        <f t="shared" si="146"/>
        <v>281.30062655265488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0.27581204728791675</v>
      </c>
      <c r="BQ168" s="21">
        <f>EXP(-LN(2)/25)*BQ167+(1-EXP(-LN(2)/25))/(LN(2)/25)*Calculateur!BL168*Calculateur!BN168*VLOOKUP('Données projet'!$B$11,Paramètres!$A$1:$I$89,3,0)*0.475*44/12</f>
        <v>0.57376851832246922</v>
      </c>
      <c r="BR168" s="21">
        <f>EXP(-LN(2)/2)*BR167+(1-EXP(-LN(2)/2))/(LN(2)/2)*BL168*BO168*VLOOKUP('Données projet'!$B$11,Paramètres!$A$1:$I$89,3,0)*0.475*44/12</f>
        <v>1.3568276536729898E-19</v>
      </c>
      <c r="BS168" s="22">
        <f t="shared" si="169"/>
        <v>0.84958056561038597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-8.5265128291212022E-14</v>
      </c>
      <c r="BZ168" s="13">
        <f>BY168*VLOOKUP('Données projet'!$B$12,Paramètres!$A$1:$I$89,3,0)*VLOOKUP('Données projet'!$B$12,Paramètres!$A$1:$I$89,5,0)</f>
        <v>-6.2516392063116648E-14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124.15919323713428</v>
      </c>
      <c r="CE168" s="59">
        <f t="shared" si="148"/>
        <v>157.85954678210715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0.11904027910644925</v>
      </c>
      <c r="CM168" s="21">
        <f>EXP(-LN(2)/2)*CM167+(1-EXP(-LN(2)/2))/(LN(2)/2)*CG168*CJ168*VLOOKUP('Données projet'!$B$12,Paramètres!$A$1:$I$89,3,0)*0.475*44/12</f>
        <v>3.5348803959429683E-20</v>
      </c>
      <c r="CN168" s="22">
        <f t="shared" si="172"/>
        <v>0.11904027910644925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2.8421709430404007E-14</v>
      </c>
      <c r="O169" s="13">
        <f>N169*VLOOKUP('Données projet'!$B$9,Paramètres!$A$1:$I$89,3,0)*VLOOKUP('Données projet'!$B$9,Paramètres!$A$1:$I$89,5,0)</f>
        <v>2.5715962692629544E-14</v>
      </c>
      <c r="P169" s="13">
        <f t="shared" si="141"/>
        <v>4.5248818890525812E-13</v>
      </c>
      <c r="Q169" s="20">
        <f t="shared" si="162"/>
        <v>8.3287223069965432E-13</v>
      </c>
      <c r="R169" s="59">
        <f t="shared" si="109"/>
        <v>293.33333333333417</v>
      </c>
      <c r="S169" s="59">
        <f ca="1">AVERAGE(OFFSET($R$3,0,0,'Données projet'!$E$9+1,1))-AVERAGE(OFFSET($H$3,0,0,'Données projet'!$E$9+1,1))</f>
        <v>138.8931001150624</v>
      </c>
      <c r="T169" s="59">
        <f t="shared" si="142"/>
        <v>48.964659354096625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-8.5265128291212022E-14</v>
      </c>
      <c r="AJ169" s="13">
        <f>AI169*VLOOKUP('Données projet'!$B$10,Paramètres!$A$1:$I$89,3,0)*VLOOKUP('Données projet'!$B$10,Paramètres!$A$1:$I$89,5,0)</f>
        <v>-7.4487616075202836E-14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191.94797389630673</v>
      </c>
      <c r="AO169" s="59">
        <f t="shared" si="144"/>
        <v>273.52540822767878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0.1741820213890802</v>
      </c>
      <c r="AV169" s="21">
        <f>EXP(-LN(2)/25)*AV168+(1-EXP(-LN(2)/25))/(LN(2)/25)*Calculateur!AQ169*Calculateur!AS169*VLOOKUP('Données projet'!$B$10,Paramètres!$A$1:$I$89,3,0)*0.475*44/12</f>
        <v>0.32360557266361428</v>
      </c>
      <c r="AW169" s="21">
        <f>EXP(-LN(2)/2)*AW168+(1-EXP(-LN(2)/2))/(LN(2)/2)*AQ169*AT169*VLOOKUP('Données projet'!$B$10,Paramètres!$A$1:$I$89,3,0)*0.475*44/12</f>
        <v>7.8615035080698085E-20</v>
      </c>
      <c r="AX169" s="21">
        <f t="shared" si="166"/>
        <v>0.49778759405269446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-3.4106051316484809E-13</v>
      </c>
      <c r="BE169" s="13">
        <f>BD169*VLOOKUP('Données projet'!$B$11,Paramètres!$A$1:$I$89,3,0)*VLOOKUP('Données projet'!$B$11,Paramètres!$A$1:$I$89,5,0)</f>
        <v>-1.9065282685915009E-13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279.98352834501759</v>
      </c>
      <c r="BJ169" s="59">
        <f t="shared" si="146"/>
        <v>281.30062655265488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0.27040354126933835</v>
      </c>
      <c r="BQ169" s="21">
        <f>EXP(-LN(2)/25)*BQ168+(1-EXP(-LN(2)/25))/(LN(2)/25)*Calculateur!BL169*Calculateur!BN169*VLOOKUP('Données projet'!$B$11,Paramètres!$A$1:$I$89,3,0)*0.475*44/12</f>
        <v>0.55807878801576627</v>
      </c>
      <c r="BR169" s="21">
        <f>EXP(-LN(2)/2)*BR168+(1-EXP(-LN(2)/2))/(LN(2)/2)*BL169*BO169*VLOOKUP('Données projet'!$B$11,Paramètres!$A$1:$I$89,3,0)*0.475*44/12</f>
        <v>9.5942203481360353E-20</v>
      </c>
      <c r="BS169" s="22">
        <f t="shared" si="169"/>
        <v>0.82848232928510468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-8.5265128291212022E-14</v>
      </c>
      <c r="BZ169" s="13">
        <f>BY169*VLOOKUP('Données projet'!$B$12,Paramètres!$A$1:$I$89,3,0)*VLOOKUP('Données projet'!$B$12,Paramètres!$A$1:$I$89,5,0)</f>
        <v>-6.2516392063116648E-14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124.15919323713428</v>
      </c>
      <c r="CE169" s="59">
        <f t="shared" si="148"/>
        <v>157.85954678210715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0.11578511641422719</v>
      </c>
      <c r="CM169" s="21">
        <f>EXP(-LN(2)/2)*CM168+(1-EXP(-LN(2)/2))/(LN(2)/2)*CG169*CJ169*VLOOKUP('Données projet'!$B$12,Paramètres!$A$1:$I$89,3,0)*0.475*44/12</f>
        <v>2.499537898654661E-20</v>
      </c>
      <c r="CN169" s="22">
        <f t="shared" si="172"/>
        <v>0.11578511641422719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2.8421709430404007E-14</v>
      </c>
      <c r="O170" s="13">
        <f>N170*VLOOKUP('Données projet'!$B$9,Paramètres!$A$1:$I$89,3,0)*VLOOKUP('Données projet'!$B$9,Paramètres!$A$1:$I$89,5,0)</f>
        <v>2.5715962692629544E-14</v>
      </c>
      <c r="P170" s="13">
        <f t="shared" si="141"/>
        <v>4.5248818890525812E-13</v>
      </c>
      <c r="Q170" s="20">
        <f t="shared" si="162"/>
        <v>8.3287223069965432E-13</v>
      </c>
      <c r="R170" s="59">
        <f t="shared" si="109"/>
        <v>293.33333333333417</v>
      </c>
      <c r="S170" s="59">
        <f ca="1">AVERAGE(OFFSET($R$3,0,0,'Données projet'!$E$9+1,1))-AVERAGE(OFFSET($H$3,0,0,'Données projet'!$E$9+1,1))</f>
        <v>138.8931001150624</v>
      </c>
      <c r="T170" s="59">
        <f t="shared" si="142"/>
        <v>48.964659354096625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-8.5265128291212022E-14</v>
      </c>
      <c r="AJ170" s="13">
        <f>AI170*VLOOKUP('Données projet'!$B$10,Paramètres!$A$1:$I$89,3,0)*VLOOKUP('Données projet'!$B$10,Paramètres!$A$1:$I$89,5,0)</f>
        <v>-7.4487616075202836E-14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191.94797389630673</v>
      </c>
      <c r="AO170" s="59">
        <f t="shared" si="144"/>
        <v>273.52540822767878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0.17076641819018301</v>
      </c>
      <c r="AV170" s="21">
        <f>EXP(-LN(2)/25)*AV169+(1-EXP(-LN(2)/25))/(LN(2)/25)*Calculateur!AQ170*Calculateur!AS170*VLOOKUP('Données projet'!$B$10,Paramètres!$A$1:$I$89,3,0)*0.475*44/12</f>
        <v>0.3147565612614503</v>
      </c>
      <c r="AW170" s="21">
        <f>EXP(-LN(2)/2)*AW169+(1-EXP(-LN(2)/2))/(LN(2)/2)*AQ170*AT170*VLOOKUP('Données projet'!$B$10,Paramètres!$A$1:$I$89,3,0)*0.475*44/12</f>
        <v>5.5589224408779937E-20</v>
      </c>
      <c r="AX170" s="21">
        <f t="shared" si="166"/>
        <v>0.48552297945163331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-3.4106051316484809E-13</v>
      </c>
      <c r="BE170" s="13">
        <f>BD170*VLOOKUP('Données projet'!$B$11,Paramètres!$A$1:$I$89,3,0)*VLOOKUP('Données projet'!$B$11,Paramètres!$A$1:$I$89,5,0)</f>
        <v>-1.9065282685915009E-13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279.98352834501759</v>
      </c>
      <c r="BJ170" s="59">
        <f t="shared" si="146"/>
        <v>281.30062655265488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0.26510109275492133</v>
      </c>
      <c r="BQ170" s="21">
        <f>EXP(-LN(2)/25)*BQ169+(1-EXP(-LN(2)/25))/(LN(2)/25)*Calculateur!BL170*Calculateur!BN170*VLOOKUP('Données projet'!$B$11,Paramètres!$A$1:$I$89,3,0)*0.475*44/12</f>
        <v>0.5428180942093872</v>
      </c>
      <c r="BR170" s="21">
        <f>EXP(-LN(2)/2)*BR169+(1-EXP(-LN(2)/2))/(LN(2)/2)*BL170*BO170*VLOOKUP('Données projet'!$B$11,Paramètres!$A$1:$I$89,3,0)*0.475*44/12</f>
        <v>6.7841382683649492E-20</v>
      </c>
      <c r="BS170" s="22">
        <f t="shared" si="169"/>
        <v>0.80791918696430853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-8.5265128291212022E-14</v>
      </c>
      <c r="BZ170" s="13">
        <f>BY170*VLOOKUP('Données projet'!$B$12,Paramètres!$A$1:$I$89,3,0)*VLOOKUP('Données projet'!$B$12,Paramètres!$A$1:$I$89,5,0)</f>
        <v>-6.2516392063116648E-14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124.15919323713428</v>
      </c>
      <c r="CE170" s="59">
        <f t="shared" si="148"/>
        <v>157.85954678210715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0.11261896631700551</v>
      </c>
      <c r="CM170" s="21">
        <f>EXP(-LN(2)/2)*CM169+(1-EXP(-LN(2)/2))/(LN(2)/2)*CG170*CJ170*VLOOKUP('Données projet'!$B$12,Paramètres!$A$1:$I$89,3,0)*0.475*44/12</f>
        <v>1.7674401979714841E-20</v>
      </c>
      <c r="CN170" s="22">
        <f t="shared" si="172"/>
        <v>0.11261896631700551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2.8421709430404007E-14</v>
      </c>
      <c r="O171" s="13">
        <f>N171*VLOOKUP('Données projet'!$B$9,Paramètres!$A$1:$I$89,3,0)*VLOOKUP('Données projet'!$B$9,Paramètres!$A$1:$I$89,5,0)</f>
        <v>2.5715962692629544E-14</v>
      </c>
      <c r="P171" s="13">
        <f t="shared" si="141"/>
        <v>4.5248818890525812E-13</v>
      </c>
      <c r="Q171" s="20">
        <f t="shared" si="162"/>
        <v>8.3287223069965432E-13</v>
      </c>
      <c r="R171" s="59">
        <f t="shared" si="109"/>
        <v>293.33333333333417</v>
      </c>
      <c r="S171" s="59">
        <f ca="1">AVERAGE(OFFSET($R$3,0,0,'Données projet'!$E$9+1,1))-AVERAGE(OFFSET($H$3,0,0,'Données projet'!$E$9+1,1))</f>
        <v>138.8931001150624</v>
      </c>
      <c r="T171" s="59">
        <f t="shared" si="142"/>
        <v>48.964659354096625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-8.5265128291212022E-14</v>
      </c>
      <c r="AJ171" s="13">
        <f>AI171*VLOOKUP('Données projet'!$B$10,Paramètres!$A$1:$I$89,3,0)*VLOOKUP('Données projet'!$B$10,Paramètres!$A$1:$I$89,5,0)</f>
        <v>-7.4487616075202836E-14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191.94797389630673</v>
      </c>
      <c r="AO171" s="59">
        <f t="shared" si="144"/>
        <v>273.52540822767878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0.16741779288670394</v>
      </c>
      <c r="AV171" s="21">
        <f>EXP(-LN(2)/25)*AV170+(1-EXP(-LN(2)/25))/(LN(2)/25)*Calculateur!AQ171*Calculateur!AS171*VLOOKUP('Données projet'!$B$10,Paramètres!$A$1:$I$89,3,0)*0.475*44/12</f>
        <v>0.30614952654142774</v>
      </c>
      <c r="AW171" s="21">
        <f>EXP(-LN(2)/2)*AW170+(1-EXP(-LN(2)/2))/(LN(2)/2)*AQ171*AT171*VLOOKUP('Données projet'!$B$10,Paramètres!$A$1:$I$89,3,0)*0.475*44/12</f>
        <v>3.9307517540349043E-20</v>
      </c>
      <c r="AX171" s="21">
        <f t="shared" si="166"/>
        <v>0.47356731942813168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-3.4106051316484809E-13</v>
      </c>
      <c r="BE171" s="13">
        <f>BD171*VLOOKUP('Données projet'!$B$11,Paramètres!$A$1:$I$89,3,0)*VLOOKUP('Données projet'!$B$11,Paramètres!$A$1:$I$89,5,0)</f>
        <v>-1.9065282685915009E-13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279.98352834501759</v>
      </c>
      <c r="BJ171" s="59">
        <f t="shared" si="146"/>
        <v>281.30062655265488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0.25990262202169778</v>
      </c>
      <c r="BQ171" s="21">
        <f>EXP(-LN(2)/25)*BQ170+(1-EXP(-LN(2)/25))/(LN(2)/25)*Calculateur!BL171*Calculateur!BN171*VLOOKUP('Données projet'!$B$11,Paramètres!$A$1:$I$89,3,0)*0.475*44/12</f>
        <v>0.52797470487766851</v>
      </c>
      <c r="BR171" s="21">
        <f>EXP(-LN(2)/2)*BR170+(1-EXP(-LN(2)/2))/(LN(2)/2)*BL171*BO171*VLOOKUP('Données projet'!$B$11,Paramètres!$A$1:$I$89,3,0)*0.475*44/12</f>
        <v>4.7971101740680176E-20</v>
      </c>
      <c r="BS171" s="22">
        <f t="shared" si="169"/>
        <v>0.78787732689936629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-8.5265128291212022E-14</v>
      </c>
      <c r="BZ171" s="13">
        <f>BY171*VLOOKUP('Données projet'!$B$12,Paramètres!$A$1:$I$89,3,0)*VLOOKUP('Données projet'!$B$12,Paramètres!$A$1:$I$89,5,0)</f>
        <v>-6.2516392063116648E-14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124.15919323713428</v>
      </c>
      <c r="CE171" s="59">
        <f t="shared" si="148"/>
        <v>157.85954678210715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0.10953939476069295</v>
      </c>
      <c r="CM171" s="21">
        <f>EXP(-LN(2)/2)*CM170+(1-EXP(-LN(2)/2))/(LN(2)/2)*CG171*CJ171*VLOOKUP('Données projet'!$B$12,Paramètres!$A$1:$I$89,3,0)*0.475*44/12</f>
        <v>1.2497689493273305E-20</v>
      </c>
      <c r="CN171" s="22">
        <f t="shared" si="172"/>
        <v>0.10953939476069295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2.8421709430404007E-14</v>
      </c>
      <c r="O172" s="13">
        <f>N172*VLOOKUP('Données projet'!$B$9,Paramètres!$A$1:$I$89,3,0)*VLOOKUP('Données projet'!$B$9,Paramètres!$A$1:$I$89,5,0)</f>
        <v>2.5715962692629544E-14</v>
      </c>
      <c r="P172" s="13">
        <f t="shared" si="141"/>
        <v>4.5248818890525812E-13</v>
      </c>
      <c r="Q172" s="20">
        <f t="shared" si="162"/>
        <v>8.3287223069965432E-13</v>
      </c>
      <c r="R172" s="59">
        <f t="shared" si="109"/>
        <v>293.33333333333417</v>
      </c>
      <c r="S172" s="59">
        <f ca="1">AVERAGE(OFFSET($R$3,0,0,'Données projet'!$E$9+1,1))-AVERAGE(OFFSET($H$3,0,0,'Données projet'!$E$9+1,1))</f>
        <v>138.8931001150624</v>
      </c>
      <c r="T172" s="59">
        <f t="shared" si="142"/>
        <v>48.964659354096625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-8.5265128291212022E-14</v>
      </c>
      <c r="AJ172" s="13">
        <f>AI172*VLOOKUP('Données projet'!$B$10,Paramètres!$A$1:$I$89,3,0)*VLOOKUP('Données projet'!$B$10,Paramètres!$A$1:$I$89,5,0)</f>
        <v>-7.4487616075202836E-14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191.94797389630673</v>
      </c>
      <c r="AO172" s="59">
        <f t="shared" si="144"/>
        <v>273.52540822767878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0.16413483208296634</v>
      </c>
      <c r="AV172" s="21">
        <f>EXP(-LN(2)/25)*AV171+(1-EXP(-LN(2)/25))/(LN(2)/25)*Calculateur!AQ172*Calculateur!AS172*VLOOKUP('Données projet'!$B$10,Paramètres!$A$1:$I$89,3,0)*0.475*44/12</f>
        <v>0.2977778516384485</v>
      </c>
      <c r="AW172" s="21">
        <f>EXP(-LN(2)/2)*AW171+(1-EXP(-LN(2)/2))/(LN(2)/2)*AQ172*AT172*VLOOKUP('Données projet'!$B$10,Paramètres!$A$1:$I$89,3,0)*0.475*44/12</f>
        <v>2.7794612204389968E-20</v>
      </c>
      <c r="AX172" s="21">
        <f t="shared" si="166"/>
        <v>0.46191268372141481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-3.4106051316484809E-13</v>
      </c>
      <c r="BE172" s="13">
        <f>BD172*VLOOKUP('Données projet'!$B$11,Paramètres!$A$1:$I$89,3,0)*VLOOKUP('Données projet'!$B$11,Paramètres!$A$1:$I$89,5,0)</f>
        <v>-1.9065282685915009E-13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279.98352834501759</v>
      </c>
      <c r="BJ172" s="59">
        <f t="shared" si="146"/>
        <v>281.30062655265488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0.25480609012879868</v>
      </c>
      <c r="BQ172" s="21">
        <f>EXP(-LN(2)/25)*BQ171+(1-EXP(-LN(2)/25))/(LN(2)/25)*Calculateur!BL172*Calculateur!BN172*VLOOKUP('Données projet'!$B$11,Paramètres!$A$1:$I$89,3,0)*0.475*44/12</f>
        <v>0.51353720880780562</v>
      </c>
      <c r="BR172" s="21">
        <f>EXP(-LN(2)/2)*BR171+(1-EXP(-LN(2)/2))/(LN(2)/2)*BL172*BO172*VLOOKUP('Données projet'!$B$11,Paramètres!$A$1:$I$89,3,0)*0.475*44/12</f>
        <v>3.3920691341824746E-20</v>
      </c>
      <c r="BS172" s="22">
        <f t="shared" si="169"/>
        <v>0.76834329893660436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-8.5265128291212022E-14</v>
      </c>
      <c r="BZ172" s="13">
        <f>BY172*VLOOKUP('Données projet'!$B$12,Paramètres!$A$1:$I$89,3,0)*VLOOKUP('Données projet'!$B$12,Paramètres!$A$1:$I$89,5,0)</f>
        <v>-6.2516392063116648E-14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124.15919323713428</v>
      </c>
      <c r="CE172" s="59">
        <f t="shared" si="148"/>
        <v>157.85954678210715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0.10654403425053539</v>
      </c>
      <c r="CM172" s="21">
        <f>EXP(-LN(2)/2)*CM171+(1-EXP(-LN(2)/2))/(LN(2)/2)*CG172*CJ172*VLOOKUP('Données projet'!$B$12,Paramètres!$A$1:$I$89,3,0)*0.475*44/12</f>
        <v>8.8372009898574207E-21</v>
      </c>
      <c r="CN172" s="22">
        <f t="shared" si="172"/>
        <v>0.10654403425053539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2.8421709430404007E-14</v>
      </c>
      <c r="O173" s="13">
        <f>N173*VLOOKUP('Données projet'!$B$9,Paramètres!$A$1:$I$89,3,0)*VLOOKUP('Données projet'!$B$9,Paramètres!$A$1:$I$89,5,0)</f>
        <v>2.5715962692629544E-14</v>
      </c>
      <c r="P173" s="13">
        <f t="shared" si="141"/>
        <v>4.5248818890525812E-13</v>
      </c>
      <c r="Q173" s="20">
        <f t="shared" si="162"/>
        <v>8.3287223069965432E-13</v>
      </c>
      <c r="R173" s="59">
        <f t="shared" si="109"/>
        <v>293.33333333333417</v>
      </c>
      <c r="S173" s="59">
        <f ca="1">AVERAGE(OFFSET($R$3,0,0,'Données projet'!$E$9+1,1))-AVERAGE(OFFSET($H$3,0,0,'Données projet'!$E$9+1,1))</f>
        <v>138.8931001150624</v>
      </c>
      <c r="T173" s="59">
        <f t="shared" si="142"/>
        <v>48.964659354096625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-8.5265128291212022E-14</v>
      </c>
      <c r="AJ173" s="13">
        <f>AI173*VLOOKUP('Données projet'!$B$10,Paramètres!$A$1:$I$89,3,0)*VLOOKUP('Données projet'!$B$10,Paramètres!$A$1:$I$89,5,0)</f>
        <v>-7.4487616075202836E-14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191.94797389630673</v>
      </c>
      <c r="AO173" s="59">
        <f t="shared" si="144"/>
        <v>273.52540822767878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0.16091624813818167</v>
      </c>
      <c r="AV173" s="21">
        <f>EXP(-LN(2)/25)*AV172+(1-EXP(-LN(2)/25))/(LN(2)/25)*Calculateur!AQ173*Calculateur!AS173*VLOOKUP('Données projet'!$B$10,Paramètres!$A$1:$I$89,3,0)*0.475*44/12</f>
        <v>0.2896351006259385</v>
      </c>
      <c r="AW173" s="21">
        <f>EXP(-LN(2)/2)*AW172+(1-EXP(-LN(2)/2))/(LN(2)/2)*AQ173*AT173*VLOOKUP('Données projet'!$B$10,Paramètres!$A$1:$I$89,3,0)*0.475*44/12</f>
        <v>1.9653758770174521E-20</v>
      </c>
      <c r="AX173" s="21">
        <f t="shared" si="166"/>
        <v>0.45055134876412017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-3.4106051316484809E-13</v>
      </c>
      <c r="BE173" s="13">
        <f>BD173*VLOOKUP('Données projet'!$B$11,Paramètres!$A$1:$I$89,3,0)*VLOOKUP('Données projet'!$B$11,Paramètres!$A$1:$I$89,5,0)</f>
        <v>-1.9065282685915009E-13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279.98352834501759</v>
      </c>
      <c r="BJ173" s="59">
        <f t="shared" si="146"/>
        <v>281.30062655265488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0.24980949811774183</v>
      </c>
      <c r="BQ173" s="21">
        <f>EXP(-LN(2)/25)*BQ172+(1-EXP(-LN(2)/25))/(LN(2)/25)*Calculateur!BL173*Calculateur!BN173*VLOOKUP('Données projet'!$B$11,Paramètres!$A$1:$I$89,3,0)*0.475*44/12</f>
        <v>0.49949450682720808</v>
      </c>
      <c r="BR173" s="21">
        <f>EXP(-LN(2)/2)*BR172+(1-EXP(-LN(2)/2))/(LN(2)/2)*BL173*BO173*VLOOKUP('Données projet'!$B$11,Paramètres!$A$1:$I$89,3,0)*0.475*44/12</f>
        <v>2.3985550870340088E-20</v>
      </c>
      <c r="BS173" s="22">
        <f t="shared" si="169"/>
        <v>0.74930400494494998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-8.5265128291212022E-14</v>
      </c>
      <c r="BZ173" s="13">
        <f>BY173*VLOOKUP('Données projet'!$B$12,Paramètres!$A$1:$I$89,3,0)*VLOOKUP('Données projet'!$B$12,Paramètres!$A$1:$I$89,5,0)</f>
        <v>-6.2516392063116648E-14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124.15919323713428</v>
      </c>
      <c r="CE173" s="59">
        <f t="shared" si="148"/>
        <v>157.85954678210715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0.10363058203104725</v>
      </c>
      <c r="CM173" s="21">
        <f>EXP(-LN(2)/2)*CM172+(1-EXP(-LN(2)/2))/(LN(2)/2)*CG173*CJ173*VLOOKUP('Données projet'!$B$12,Paramètres!$A$1:$I$89,3,0)*0.475*44/12</f>
        <v>6.2488447466366525E-21</v>
      </c>
      <c r="CN173" s="22">
        <f t="shared" si="172"/>
        <v>0.10363058203104725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2.8421709430404007E-14</v>
      </c>
      <c r="O174" s="13">
        <f>N174*VLOOKUP('Données projet'!$B$9,Paramètres!$A$1:$I$89,3,0)*VLOOKUP('Données projet'!$B$9,Paramètres!$A$1:$I$89,5,0)</f>
        <v>2.5715962692629544E-14</v>
      </c>
      <c r="P174" s="13">
        <f t="shared" si="141"/>
        <v>4.5248818890525812E-13</v>
      </c>
      <c r="Q174" s="20">
        <f t="shared" si="162"/>
        <v>8.3287223069965432E-13</v>
      </c>
      <c r="R174" s="59">
        <f t="shared" si="109"/>
        <v>293.33333333333417</v>
      </c>
      <c r="S174" s="59">
        <f ca="1">AVERAGE(OFFSET($R$3,0,0,'Données projet'!$E$9+1,1))-AVERAGE(OFFSET($H$3,0,0,'Données projet'!$E$9+1,1))</f>
        <v>138.8931001150624</v>
      </c>
      <c r="T174" s="59">
        <f t="shared" si="142"/>
        <v>48.964659354096625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-8.5265128291212022E-14</v>
      </c>
      <c r="AJ174" s="13">
        <f>AI174*VLOOKUP('Données projet'!$B$10,Paramètres!$A$1:$I$89,3,0)*VLOOKUP('Données projet'!$B$10,Paramètres!$A$1:$I$89,5,0)</f>
        <v>-7.4487616075202836E-14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191.94797389630673</v>
      </c>
      <c r="AO174" s="59">
        <f t="shared" si="144"/>
        <v>273.52540822767878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0.15776077866141186</v>
      </c>
      <c r="AV174" s="21">
        <f>EXP(-LN(2)/25)*AV173+(1-EXP(-LN(2)/25))/(LN(2)/25)*Calculateur!AQ174*Calculateur!AS174*VLOOKUP('Données projet'!$B$10,Paramètres!$A$1:$I$89,3,0)*0.475*44/12</f>
        <v>0.28171501356807427</v>
      </c>
      <c r="AW174" s="21">
        <f>EXP(-LN(2)/2)*AW173+(1-EXP(-LN(2)/2))/(LN(2)/2)*AQ174*AT174*VLOOKUP('Données projet'!$B$10,Paramètres!$A$1:$I$89,3,0)*0.475*44/12</f>
        <v>1.3897306102194984E-20</v>
      </c>
      <c r="AX174" s="21">
        <f t="shared" si="166"/>
        <v>0.43947579222948613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-3.4106051316484809E-13</v>
      </c>
      <c r="BE174" s="13">
        <f>BD174*VLOOKUP('Données projet'!$B$11,Paramètres!$A$1:$I$89,3,0)*VLOOKUP('Données projet'!$B$11,Paramètres!$A$1:$I$89,5,0)</f>
        <v>-1.9065282685915009E-13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279.98352834501759</v>
      </c>
      <c r="BJ174" s="59">
        <f t="shared" si="146"/>
        <v>281.30062655265488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0.2449108862284016</v>
      </c>
      <c r="BQ174" s="21">
        <f>EXP(-LN(2)/25)*BQ173+(1-EXP(-LN(2)/25))/(LN(2)/25)*Calculateur!BL174*Calculateur!BN174*VLOOKUP('Données projet'!$B$11,Paramètres!$A$1:$I$89,3,0)*0.475*44/12</f>
        <v>0.48583580327074355</v>
      </c>
      <c r="BR174" s="21">
        <f>EXP(-LN(2)/2)*BR173+(1-EXP(-LN(2)/2))/(LN(2)/2)*BL174*BO174*VLOOKUP('Données projet'!$B$11,Paramètres!$A$1:$I$89,3,0)*0.475*44/12</f>
        <v>1.6960345670912373E-20</v>
      </c>
      <c r="BS174" s="22">
        <f t="shared" si="169"/>
        <v>0.73074668949914512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-8.5265128291212022E-14</v>
      </c>
      <c r="BZ174" s="13">
        <f>BY174*VLOOKUP('Données projet'!$B$12,Paramètres!$A$1:$I$89,3,0)*VLOOKUP('Données projet'!$B$12,Paramètres!$A$1:$I$89,5,0)</f>
        <v>-6.2516392063116648E-14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124.15919323713428</v>
      </c>
      <c r="CE174" s="59">
        <f t="shared" si="148"/>
        <v>157.85954678210715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0.1007967983157128</v>
      </c>
      <c r="CM174" s="21">
        <f>EXP(-LN(2)/2)*CM173+(1-EXP(-LN(2)/2))/(LN(2)/2)*CG174*CJ174*VLOOKUP('Données projet'!$B$12,Paramètres!$A$1:$I$89,3,0)*0.475*44/12</f>
        <v>4.4186004949287104E-21</v>
      </c>
      <c r="CN174" s="22">
        <f t="shared" si="172"/>
        <v>0.1007967983157128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2.8421709430404007E-14</v>
      </c>
      <c r="O175" s="13">
        <f>N175*VLOOKUP('Données projet'!$B$9,Paramètres!$A$1:$I$89,3,0)*VLOOKUP('Données projet'!$B$9,Paramètres!$A$1:$I$89,5,0)</f>
        <v>2.5715962692629544E-14</v>
      </c>
      <c r="P175" s="13">
        <f t="shared" si="141"/>
        <v>4.5248818890525812E-13</v>
      </c>
      <c r="Q175" s="20">
        <f t="shared" si="162"/>
        <v>8.3287223069965432E-13</v>
      </c>
      <c r="R175" s="59">
        <f t="shared" si="109"/>
        <v>293.33333333333417</v>
      </c>
      <c r="S175" s="59">
        <f ca="1">AVERAGE(OFFSET($R$3,0,0,'Données projet'!$E$9+1,1))-AVERAGE(OFFSET($H$3,0,0,'Données projet'!$E$9+1,1))</f>
        <v>138.8931001150624</v>
      </c>
      <c r="T175" s="59">
        <f t="shared" si="142"/>
        <v>48.964659354096625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-8.5265128291212022E-14</v>
      </c>
      <c r="AJ175" s="13">
        <f>AI175*VLOOKUP('Données projet'!$B$10,Paramètres!$A$1:$I$89,3,0)*VLOOKUP('Données projet'!$B$10,Paramètres!$A$1:$I$89,5,0)</f>
        <v>-7.4487616075202836E-14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191.94797389630673</v>
      </c>
      <c r="AO175" s="59">
        <f t="shared" si="144"/>
        <v>273.52540822767878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0.15466718601643517</v>
      </c>
      <c r="AV175" s="21">
        <f>EXP(-LN(2)/25)*AV174+(1-EXP(-LN(2)/25))/(LN(2)/25)*Calculateur!AQ175*Calculateur!AS175*VLOOKUP('Données projet'!$B$10,Paramètres!$A$1:$I$89,3,0)*0.475*44/12</f>
        <v>0.27401150170730659</v>
      </c>
      <c r="AW175" s="21">
        <f>EXP(-LN(2)/2)*AW174+(1-EXP(-LN(2)/2))/(LN(2)/2)*AQ175*AT175*VLOOKUP('Données projet'!$B$10,Paramètres!$A$1:$I$89,3,0)*0.475*44/12</f>
        <v>9.8268793850872607E-21</v>
      </c>
      <c r="AX175" s="21">
        <f t="shared" si="166"/>
        <v>0.42867868772374174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-3.4106051316484809E-13</v>
      </c>
      <c r="BE175" s="13">
        <f>BD175*VLOOKUP('Données projet'!$B$11,Paramètres!$A$1:$I$89,3,0)*VLOOKUP('Données projet'!$B$11,Paramètres!$A$1:$I$89,5,0)</f>
        <v>-1.9065282685915009E-13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279.98352834501759</v>
      </c>
      <c r="BJ175" s="59">
        <f t="shared" si="146"/>
        <v>281.30062655265488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0.2401083331303531</v>
      </c>
      <c r="BQ175" s="21">
        <f>EXP(-LN(2)/25)*BQ174+(1-EXP(-LN(2)/25))/(LN(2)/25)*Calculateur!BL175*Calculateur!BN175*VLOOKUP('Données projet'!$B$11,Paramètres!$A$1:$I$89,3,0)*0.475*44/12</f>
        <v>0.47255059768131058</v>
      </c>
      <c r="BR175" s="21">
        <f>EXP(-LN(2)/2)*BR174+(1-EXP(-LN(2)/2))/(LN(2)/2)*BL175*BO175*VLOOKUP('Données projet'!$B$11,Paramètres!$A$1:$I$89,3,0)*0.475*44/12</f>
        <v>1.1992775435170044E-20</v>
      </c>
      <c r="BS175" s="22">
        <f t="shared" si="169"/>
        <v>0.71265893081166365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-8.5265128291212022E-14</v>
      </c>
      <c r="BZ175" s="13">
        <f>BY175*VLOOKUP('Données projet'!$B$12,Paramètres!$A$1:$I$89,3,0)*VLOOKUP('Données projet'!$B$12,Paramètres!$A$1:$I$89,5,0)</f>
        <v>-6.2516392063116648E-14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124.15919323713428</v>
      </c>
      <c r="CE175" s="59">
        <f t="shared" si="148"/>
        <v>157.85954678210715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9.8040504565096387E-2</v>
      </c>
      <c r="CM175" s="21">
        <f>EXP(-LN(2)/2)*CM174+(1-EXP(-LN(2)/2))/(LN(2)/2)*CG175*CJ175*VLOOKUP('Données projet'!$B$12,Paramètres!$A$1:$I$89,3,0)*0.475*44/12</f>
        <v>3.1244223733183262E-21</v>
      </c>
      <c r="CN175" s="22">
        <f t="shared" si="172"/>
        <v>9.8040504565096387E-2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2.8421709430404007E-14</v>
      </c>
      <c r="O176" s="13">
        <f>N176*VLOOKUP('Données projet'!$B$9,Paramètres!$A$1:$I$89,3,0)*VLOOKUP('Données projet'!$B$9,Paramètres!$A$1:$I$89,5,0)</f>
        <v>2.5715962692629544E-14</v>
      </c>
      <c r="P176" s="13">
        <f t="shared" si="141"/>
        <v>4.5248818890525812E-13</v>
      </c>
      <c r="Q176" s="20">
        <f t="shared" si="162"/>
        <v>8.3287223069965432E-13</v>
      </c>
      <c r="R176" s="59">
        <f t="shared" si="109"/>
        <v>293.33333333333417</v>
      </c>
      <c r="S176" s="59">
        <f ca="1">AVERAGE(OFFSET($R$3,0,0,'Données projet'!$E$9+1,1))-AVERAGE(OFFSET($H$3,0,0,'Données projet'!$E$9+1,1))</f>
        <v>138.8931001150624</v>
      </c>
      <c r="T176" s="59">
        <f t="shared" si="142"/>
        <v>48.964659354096625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-8.5265128291212022E-14</v>
      </c>
      <c r="AJ176" s="13">
        <f>AI176*VLOOKUP('Données projet'!$B$10,Paramètres!$A$1:$I$89,3,0)*VLOOKUP('Données projet'!$B$10,Paramètres!$A$1:$I$89,5,0)</f>
        <v>-7.4487616075202836E-14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191.94797389630673</v>
      </c>
      <c r="AO176" s="59">
        <f t="shared" si="144"/>
        <v>273.52540822767878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0.15163425683632129</v>
      </c>
      <c r="AV176" s="21">
        <f>EXP(-LN(2)/25)*AV175+(1-EXP(-LN(2)/25))/(LN(2)/25)*Calculateur!AQ176*Calculateur!AS176*VLOOKUP('Données projet'!$B$10,Paramètres!$A$1:$I$89,3,0)*0.475*44/12</f>
        <v>0.2665186427834817</v>
      </c>
      <c r="AW176" s="21">
        <f>EXP(-LN(2)/2)*AW175+(1-EXP(-LN(2)/2))/(LN(2)/2)*AQ176*AT176*VLOOKUP('Données projet'!$B$10,Paramètres!$A$1:$I$89,3,0)*0.475*44/12</f>
        <v>6.9486530510974921E-21</v>
      </c>
      <c r="AX176" s="21">
        <f t="shared" si="166"/>
        <v>0.41815289961980295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-3.4106051316484809E-13</v>
      </c>
      <c r="BE176" s="13">
        <f>BD176*VLOOKUP('Données projet'!$B$11,Paramètres!$A$1:$I$89,3,0)*VLOOKUP('Données projet'!$B$11,Paramètres!$A$1:$I$89,5,0)</f>
        <v>-1.9065282685915009E-13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279.98352834501759</v>
      </c>
      <c r="BJ176" s="59">
        <f t="shared" si="146"/>
        <v>281.30062655265488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0.23539995516928919</v>
      </c>
      <c r="BQ176" s="21">
        <f>EXP(-LN(2)/25)*BQ175+(1-EXP(-LN(2)/25))/(LN(2)/25)*Calculateur!BL176*Calculateur!BN176*VLOOKUP('Données projet'!$B$11,Paramètres!$A$1:$I$89,3,0)*0.475*44/12</f>
        <v>0.45962867673735924</v>
      </c>
      <c r="BR176" s="21">
        <f>EXP(-LN(2)/2)*BR175+(1-EXP(-LN(2)/2))/(LN(2)/2)*BL176*BO176*VLOOKUP('Données projet'!$B$11,Paramètres!$A$1:$I$89,3,0)*0.475*44/12</f>
        <v>8.4801728354561865E-21</v>
      </c>
      <c r="BS176" s="22">
        <f t="shared" si="169"/>
        <v>0.69502863190664843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-8.5265128291212022E-14</v>
      </c>
      <c r="BZ176" s="13">
        <f>BY176*VLOOKUP('Données projet'!$B$12,Paramètres!$A$1:$I$89,3,0)*VLOOKUP('Données projet'!$B$12,Paramètres!$A$1:$I$89,5,0)</f>
        <v>-6.2516392063116648E-14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124.15919323713428</v>
      </c>
      <c r="CE176" s="59">
        <f t="shared" si="148"/>
        <v>157.85954678210715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9.5359581812037769E-2</v>
      </c>
      <c r="CM176" s="21">
        <f>EXP(-LN(2)/2)*CM175+(1-EXP(-LN(2)/2))/(LN(2)/2)*CG176*CJ176*VLOOKUP('Données projet'!$B$12,Paramètres!$A$1:$I$89,3,0)*0.475*44/12</f>
        <v>2.2093002474643552E-21</v>
      </c>
      <c r="CN176" s="22">
        <f t="shared" si="172"/>
        <v>9.5359581812037769E-2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2.8421709430404007E-14</v>
      </c>
      <c r="O177" s="13">
        <f>N177*VLOOKUP('Données projet'!$B$9,Paramètres!$A$1:$I$89,3,0)*VLOOKUP('Données projet'!$B$9,Paramètres!$A$1:$I$89,5,0)</f>
        <v>2.5715962692629544E-14</v>
      </c>
      <c r="P177" s="13">
        <f t="shared" si="141"/>
        <v>4.5248818890525812E-13</v>
      </c>
      <c r="Q177" s="20">
        <f t="shared" si="162"/>
        <v>8.3287223069965432E-13</v>
      </c>
      <c r="R177" s="59">
        <f t="shared" si="109"/>
        <v>293.33333333333417</v>
      </c>
      <c r="S177" s="59">
        <f ca="1">AVERAGE(OFFSET($R$3,0,0,'Données projet'!$E$9+1,1))-AVERAGE(OFFSET($H$3,0,0,'Données projet'!$E$9+1,1))</f>
        <v>138.8931001150624</v>
      </c>
      <c r="T177" s="59">
        <f t="shared" si="142"/>
        <v>48.964659354096625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-8.5265128291212022E-14</v>
      </c>
      <c r="AJ177" s="13">
        <f>AI177*VLOOKUP('Données projet'!$B$10,Paramètres!$A$1:$I$89,3,0)*VLOOKUP('Données projet'!$B$10,Paramètres!$A$1:$I$89,5,0)</f>
        <v>-7.4487616075202836E-14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191.94797389630673</v>
      </c>
      <c r="AO177" s="59">
        <f t="shared" si="144"/>
        <v>273.52540822767878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0.14866080154752528</v>
      </c>
      <c r="AV177" s="21">
        <f>EXP(-LN(2)/25)*AV176+(1-EXP(-LN(2)/25))/(LN(2)/25)*Calculateur!AQ177*Calculateur!AS177*VLOOKUP('Données projet'!$B$10,Paramètres!$A$1:$I$89,3,0)*0.475*44/12</f>
        <v>0.2592306764809611</v>
      </c>
      <c r="AW177" s="21">
        <f>EXP(-LN(2)/2)*AW176+(1-EXP(-LN(2)/2))/(LN(2)/2)*AQ177*AT177*VLOOKUP('Données projet'!$B$10,Paramètres!$A$1:$I$89,3,0)*0.475*44/12</f>
        <v>4.9134396925436303E-21</v>
      </c>
      <c r="AX177" s="21">
        <f t="shared" si="166"/>
        <v>0.40789147802848635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-3.4106051316484809E-13</v>
      </c>
      <c r="BE177" s="13">
        <f>BD177*VLOOKUP('Données projet'!$B$11,Paramètres!$A$1:$I$89,3,0)*VLOOKUP('Données projet'!$B$11,Paramètres!$A$1:$I$89,5,0)</f>
        <v>-1.9065282685915009E-13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279.98352834501759</v>
      </c>
      <c r="BJ177" s="59">
        <f t="shared" si="146"/>
        <v>281.30062655265488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0.23078390562821474</v>
      </c>
      <c r="BQ177" s="21">
        <f>EXP(-LN(2)/25)*BQ176+(1-EXP(-LN(2)/25))/(LN(2)/25)*Calculateur!BL177*Calculateur!BN177*VLOOKUP('Données projet'!$B$11,Paramètres!$A$1:$I$89,3,0)*0.475*44/12</f>
        <v>0.44706010640115457</v>
      </c>
      <c r="BR177" s="21">
        <f>EXP(-LN(2)/2)*BR176+(1-EXP(-LN(2)/2))/(LN(2)/2)*BL177*BO177*VLOOKUP('Données projet'!$B$11,Paramètres!$A$1:$I$89,3,0)*0.475*44/12</f>
        <v>5.996387717585022E-21</v>
      </c>
      <c r="BS177" s="22">
        <f t="shared" si="169"/>
        <v>0.67784401202936928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-8.5265128291212022E-14</v>
      </c>
      <c r="BZ177" s="13">
        <f>BY177*VLOOKUP('Données projet'!$B$12,Paramètres!$A$1:$I$89,3,0)*VLOOKUP('Données projet'!$B$12,Paramètres!$A$1:$I$89,5,0)</f>
        <v>-6.2516392063116648E-14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124.15919323713428</v>
      </c>
      <c r="CE177" s="59">
        <f t="shared" si="148"/>
        <v>157.85954678210715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9.275196903264514E-2</v>
      </c>
      <c r="CM177" s="21">
        <f>EXP(-LN(2)/2)*CM176+(1-EXP(-LN(2)/2))/(LN(2)/2)*CG177*CJ177*VLOOKUP('Données projet'!$B$12,Paramètres!$A$1:$I$89,3,0)*0.475*44/12</f>
        <v>1.5622111866591631E-21</v>
      </c>
      <c r="CN177" s="22">
        <f t="shared" si="172"/>
        <v>9.275196903264514E-2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2.8421709430404007E-14</v>
      </c>
      <c r="O178" s="13">
        <f>N178*VLOOKUP('Données projet'!$B$9,Paramètres!$A$1:$I$89,3,0)*VLOOKUP('Données projet'!$B$9,Paramètres!$A$1:$I$89,5,0)</f>
        <v>2.5715962692629544E-14</v>
      </c>
      <c r="P178" s="13">
        <f t="shared" si="141"/>
        <v>4.5248818890525812E-13</v>
      </c>
      <c r="Q178" s="20">
        <f t="shared" si="162"/>
        <v>8.3287223069965432E-13</v>
      </c>
      <c r="R178" s="59">
        <f t="shared" si="109"/>
        <v>293.33333333333417</v>
      </c>
      <c r="S178" s="59">
        <f ca="1">AVERAGE(OFFSET($R$3,0,0,'Données projet'!$E$9+1,1))-AVERAGE(OFFSET($H$3,0,0,'Données projet'!$E$9+1,1))</f>
        <v>138.8931001150624</v>
      </c>
      <c r="T178" s="59">
        <f t="shared" si="142"/>
        <v>48.964659354096625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-8.5265128291212022E-14</v>
      </c>
      <c r="AJ178" s="13">
        <f>AI178*VLOOKUP('Données projet'!$B$10,Paramètres!$A$1:$I$89,3,0)*VLOOKUP('Données projet'!$B$10,Paramètres!$A$1:$I$89,5,0)</f>
        <v>-7.4487616075202836E-14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191.94797389630673</v>
      </c>
      <c r="AO178" s="59">
        <f t="shared" si="144"/>
        <v>273.52540822767878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0.14574565390331393</v>
      </c>
      <c r="AV178" s="21">
        <f>EXP(-LN(2)/25)*AV177+(1-EXP(-LN(2)/25))/(LN(2)/25)*Calculateur!AQ178*Calculateur!AS178*VLOOKUP('Données projet'!$B$10,Paramètres!$A$1:$I$89,3,0)*0.475*44/12</f>
        <v>0.2521420000002404</v>
      </c>
      <c r="AW178" s="21">
        <f>EXP(-LN(2)/2)*AW177+(1-EXP(-LN(2)/2))/(LN(2)/2)*AQ178*AT178*VLOOKUP('Données projet'!$B$10,Paramètres!$A$1:$I$89,3,0)*0.475*44/12</f>
        <v>3.474326525548746E-21</v>
      </c>
      <c r="AX178" s="21">
        <f t="shared" si="166"/>
        <v>0.39788765390355429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-3.4106051316484809E-13</v>
      </c>
      <c r="BE178" s="13">
        <f>BD178*VLOOKUP('Données projet'!$B$11,Paramètres!$A$1:$I$89,3,0)*VLOOKUP('Données projet'!$B$11,Paramètres!$A$1:$I$89,5,0)</f>
        <v>-1.9065282685915009E-13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279.98352834501759</v>
      </c>
      <c r="BJ178" s="59">
        <f t="shared" si="146"/>
        <v>281.30062655265488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0.22625837400312857</v>
      </c>
      <c r="BQ178" s="21">
        <f>EXP(-LN(2)/25)*BQ177+(1-EXP(-LN(2)/25))/(LN(2)/25)*Calculateur!BL178*Calculateur!BN178*VLOOKUP('Données projet'!$B$11,Paramètres!$A$1:$I$89,3,0)*0.475*44/12</f>
        <v>0.43483522428174576</v>
      </c>
      <c r="BR178" s="21">
        <f>EXP(-LN(2)/2)*BR177+(1-EXP(-LN(2)/2))/(LN(2)/2)*BL178*BO178*VLOOKUP('Données projet'!$B$11,Paramètres!$A$1:$I$89,3,0)*0.475*44/12</f>
        <v>4.2400864177280933E-21</v>
      </c>
      <c r="BS178" s="22">
        <f t="shared" si="169"/>
        <v>0.66109359828487435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-8.5265128291212022E-14</v>
      </c>
      <c r="BZ178" s="13">
        <f>BY178*VLOOKUP('Données projet'!$B$12,Paramètres!$A$1:$I$89,3,0)*VLOOKUP('Données projet'!$B$12,Paramètres!$A$1:$I$89,5,0)</f>
        <v>-6.2516392063116648E-14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124.15919323713428</v>
      </c>
      <c r="CE178" s="59">
        <f t="shared" si="148"/>
        <v>157.85954678210715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9.0215661561833402E-2</v>
      </c>
      <c r="CM178" s="21">
        <f>EXP(-LN(2)/2)*CM177+(1-EXP(-LN(2)/2))/(LN(2)/2)*CG178*CJ178*VLOOKUP('Données projet'!$B$12,Paramètres!$A$1:$I$89,3,0)*0.475*44/12</f>
        <v>1.1046501237321776E-21</v>
      </c>
      <c r="CN178" s="22">
        <f t="shared" si="172"/>
        <v>9.0215661561833402E-2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2.8421709430404007E-14</v>
      </c>
      <c r="O179" s="13">
        <f>N179*VLOOKUP('Données projet'!$B$9,Paramètres!$A$1:$I$89,3,0)*VLOOKUP('Données projet'!$B$9,Paramètres!$A$1:$I$89,5,0)</f>
        <v>2.5715962692629544E-14</v>
      </c>
      <c r="P179" s="13">
        <f t="shared" si="141"/>
        <v>4.5248818890525812E-13</v>
      </c>
      <c r="Q179" s="20">
        <f t="shared" si="162"/>
        <v>8.3287223069965432E-13</v>
      </c>
      <c r="R179" s="59">
        <f t="shared" si="109"/>
        <v>293.33333333333417</v>
      </c>
      <c r="S179" s="59">
        <f ca="1">AVERAGE(OFFSET($R$3,0,0,'Données projet'!$E$9+1,1))-AVERAGE(OFFSET($H$3,0,0,'Données projet'!$E$9+1,1))</f>
        <v>138.8931001150624</v>
      </c>
      <c r="T179" s="59">
        <f t="shared" si="142"/>
        <v>48.964659354096625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-8.5265128291212022E-14</v>
      </c>
      <c r="AJ179" s="13">
        <f>AI179*VLOOKUP('Données projet'!$B$10,Paramètres!$A$1:$I$89,3,0)*VLOOKUP('Données projet'!$B$10,Paramètres!$A$1:$I$89,5,0)</f>
        <v>-7.4487616075202836E-14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191.94797389630673</v>
      </c>
      <c r="AO179" s="59">
        <f t="shared" si="144"/>
        <v>273.52540822767878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0.14288767052634108</v>
      </c>
      <c r="AV179" s="21">
        <f>EXP(-LN(2)/25)*AV178+(1-EXP(-LN(2)/25))/(LN(2)/25)*Calculateur!AQ179*Calculateur!AS179*VLOOKUP('Données projet'!$B$10,Paramètres!$A$1:$I$89,3,0)*0.475*44/12</f>
        <v>0.24524716375066233</v>
      </c>
      <c r="AW179" s="21">
        <f>EXP(-LN(2)/2)*AW178+(1-EXP(-LN(2)/2))/(LN(2)/2)*AQ179*AT179*VLOOKUP('Données projet'!$B$10,Paramètres!$A$1:$I$89,3,0)*0.475*44/12</f>
        <v>2.4567198462718152E-21</v>
      </c>
      <c r="AX179" s="21">
        <f t="shared" si="166"/>
        <v>0.3881348342770034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-3.4106051316484809E-13</v>
      </c>
      <c r="BE179" s="13">
        <f>BD179*VLOOKUP('Données projet'!$B$11,Paramètres!$A$1:$I$89,3,0)*VLOOKUP('Données projet'!$B$11,Paramètres!$A$1:$I$89,5,0)</f>
        <v>-1.9065282685915009E-13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279.98352834501759</v>
      </c>
      <c r="BJ179" s="59">
        <f t="shared" si="146"/>
        <v>281.30062655265488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0.2218215852929086</v>
      </c>
      <c r="BQ179" s="21">
        <f>EXP(-LN(2)/25)*BQ178+(1-EXP(-LN(2)/25))/(LN(2)/25)*Calculateur!BL179*Calculateur!BN179*VLOOKUP('Données projet'!$B$11,Paramètres!$A$1:$I$89,3,0)*0.475*44/12</f>
        <v>0.42294463220677081</v>
      </c>
      <c r="BR179" s="21">
        <f>EXP(-LN(2)/2)*BR178+(1-EXP(-LN(2)/2))/(LN(2)/2)*BL179*BO179*VLOOKUP('Données projet'!$B$11,Paramètres!$A$1:$I$89,3,0)*0.475*44/12</f>
        <v>2.998193858792511E-21</v>
      </c>
      <c r="BS179" s="22">
        <f t="shared" si="169"/>
        <v>0.64476621749967944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-8.5265128291212022E-14</v>
      </c>
      <c r="BZ179" s="13">
        <f>BY179*VLOOKUP('Données projet'!$B$12,Paramètres!$A$1:$I$89,3,0)*VLOOKUP('Données projet'!$B$12,Paramètres!$A$1:$I$89,5,0)</f>
        <v>-6.2516392063116648E-14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124.15919323713428</v>
      </c>
      <c r="CE179" s="59">
        <f t="shared" si="148"/>
        <v>157.85954678210715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8.7748709552189622E-2</v>
      </c>
      <c r="CM179" s="21">
        <f>EXP(-LN(2)/2)*CM178+(1-EXP(-LN(2)/2))/(LN(2)/2)*CG179*CJ179*VLOOKUP('Données projet'!$B$12,Paramètres!$A$1:$I$89,3,0)*0.475*44/12</f>
        <v>7.8110559332958156E-22</v>
      </c>
      <c r="CN179" s="22">
        <f t="shared" si="172"/>
        <v>8.7748709552189622E-2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2.8421709430404007E-14</v>
      </c>
      <c r="O180" s="13">
        <f>N180*VLOOKUP('Données projet'!$B$9,Paramètres!$A$1:$I$89,3,0)*VLOOKUP('Données projet'!$B$9,Paramètres!$A$1:$I$89,5,0)</f>
        <v>2.5715962692629544E-14</v>
      </c>
      <c r="P180" s="13">
        <f t="shared" si="141"/>
        <v>4.5248818890525812E-13</v>
      </c>
      <c r="Q180" s="20">
        <f t="shared" si="162"/>
        <v>8.3287223069965432E-13</v>
      </c>
      <c r="R180" s="59">
        <f t="shared" si="109"/>
        <v>293.33333333333417</v>
      </c>
      <c r="S180" s="59">
        <f ca="1">AVERAGE(OFFSET($R$3,0,0,'Données projet'!$E$9+1,1))-AVERAGE(OFFSET($H$3,0,0,'Données projet'!$E$9+1,1))</f>
        <v>138.8931001150624</v>
      </c>
      <c r="T180" s="59">
        <f t="shared" si="142"/>
        <v>48.964659354096625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-8.5265128291212022E-14</v>
      </c>
      <c r="AJ180" s="13">
        <f>AI180*VLOOKUP('Données projet'!$B$10,Paramètres!$A$1:$I$89,3,0)*VLOOKUP('Données projet'!$B$10,Paramètres!$A$1:$I$89,5,0)</f>
        <v>-7.4487616075202836E-14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191.94797389630673</v>
      </c>
      <c r="AO180" s="59">
        <f t="shared" si="144"/>
        <v>273.52540822767878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0.14008573046019293</v>
      </c>
      <c r="AV180" s="21">
        <f>EXP(-LN(2)/25)*AV179+(1-EXP(-LN(2)/25))/(LN(2)/25)*Calculateur!AQ180*Calculateur!AS180*VLOOKUP('Données projet'!$B$10,Paramètres!$A$1:$I$89,3,0)*0.475*44/12</f>
        <v>0.23854086716091263</v>
      </c>
      <c r="AW180" s="21">
        <f>EXP(-LN(2)/2)*AW179+(1-EXP(-LN(2)/2))/(LN(2)/2)*AQ180*AT180*VLOOKUP('Données projet'!$B$10,Paramètres!$A$1:$I$89,3,0)*0.475*44/12</f>
        <v>1.737163262774373E-21</v>
      </c>
      <c r="AX180" s="21">
        <f t="shared" si="166"/>
        <v>0.37862659762110557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-3.4106051316484809E-13</v>
      </c>
      <c r="BE180" s="13">
        <f>BD180*VLOOKUP('Données projet'!$B$11,Paramètres!$A$1:$I$89,3,0)*VLOOKUP('Données projet'!$B$11,Paramètres!$A$1:$I$89,5,0)</f>
        <v>-1.9065282685915009E-13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279.98352834501759</v>
      </c>
      <c r="BJ180" s="59">
        <f t="shared" si="146"/>
        <v>281.30062655265488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0.21747179930312213</v>
      </c>
      <c r="BQ180" s="21">
        <f>EXP(-LN(2)/25)*BQ179+(1-EXP(-LN(2)/25))/(LN(2)/25)*Calculateur!BL180*Calculateur!BN180*VLOOKUP('Données projet'!$B$11,Paramètres!$A$1:$I$89,3,0)*0.475*44/12</f>
        <v>0.41137918899738513</v>
      </c>
      <c r="BR180" s="21">
        <f>EXP(-LN(2)/2)*BR179+(1-EXP(-LN(2)/2))/(LN(2)/2)*BL180*BO180*VLOOKUP('Données projet'!$B$11,Paramètres!$A$1:$I$89,3,0)*0.475*44/12</f>
        <v>2.1200432088640466E-21</v>
      </c>
      <c r="BS180" s="22">
        <f t="shared" si="169"/>
        <v>0.62885098830050723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-8.5265128291212022E-14</v>
      </c>
      <c r="BZ180" s="13">
        <f>BY180*VLOOKUP('Données projet'!$B$12,Paramètres!$A$1:$I$89,3,0)*VLOOKUP('Données projet'!$B$12,Paramètres!$A$1:$I$89,5,0)</f>
        <v>-6.2516392063116648E-14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124.15919323713428</v>
      </c>
      <c r="CE180" s="59">
        <f t="shared" si="148"/>
        <v>157.85954678210715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8.5349216474980907E-2</v>
      </c>
      <c r="CM180" s="21">
        <f>EXP(-LN(2)/2)*CM179+(1-EXP(-LN(2)/2))/(LN(2)/2)*CG180*CJ180*VLOOKUP('Données projet'!$B$12,Paramètres!$A$1:$I$89,3,0)*0.475*44/12</f>
        <v>5.5232506186608879E-22</v>
      </c>
      <c r="CN180" s="22">
        <f t="shared" si="172"/>
        <v>8.5349216474980907E-2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2.8421709430404007E-14</v>
      </c>
      <c r="O181" s="13">
        <f>N181*VLOOKUP('Données projet'!$B$9,Paramètres!$A$1:$I$89,3,0)*VLOOKUP('Données projet'!$B$9,Paramètres!$A$1:$I$89,5,0)</f>
        <v>2.5715962692629544E-14</v>
      </c>
      <c r="P181" s="13">
        <f t="shared" si="141"/>
        <v>4.5248818890525812E-13</v>
      </c>
      <c r="Q181" s="20">
        <f t="shared" si="162"/>
        <v>8.3287223069965432E-13</v>
      </c>
      <c r="R181" s="59">
        <f t="shared" si="109"/>
        <v>293.33333333333417</v>
      </c>
      <c r="S181" s="59">
        <f ca="1">AVERAGE(OFFSET($R$3,0,0,'Données projet'!$E$9+1,1))-AVERAGE(OFFSET($H$3,0,0,'Données projet'!$E$9+1,1))</f>
        <v>138.8931001150624</v>
      </c>
      <c r="T181" s="59">
        <f t="shared" si="142"/>
        <v>48.964659354096625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-8.5265128291212022E-14</v>
      </c>
      <c r="AJ181" s="13">
        <f>AI181*VLOOKUP('Données projet'!$B$10,Paramètres!$A$1:$I$89,3,0)*VLOOKUP('Données projet'!$B$10,Paramètres!$A$1:$I$89,5,0)</f>
        <v>-7.4487616075202836E-14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191.94797389630673</v>
      </c>
      <c r="AO181" s="59">
        <f t="shared" si="144"/>
        <v>273.52540822767878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0.13733873472972724</v>
      </c>
      <c r="AV181" s="21">
        <f>EXP(-LN(2)/25)*AV180+(1-EXP(-LN(2)/25))/(LN(2)/25)*Calculateur!AQ181*Calculateur!AS181*VLOOKUP('Données projet'!$B$10,Paramètres!$A$1:$I$89,3,0)*0.475*44/12</f>
        <v>0.23201795460407848</v>
      </c>
      <c r="AW181" s="21">
        <f>EXP(-LN(2)/2)*AW180+(1-EXP(-LN(2)/2))/(LN(2)/2)*AQ181*AT181*VLOOKUP('Données projet'!$B$10,Paramètres!$A$1:$I$89,3,0)*0.475*44/12</f>
        <v>1.2283599231359076E-21</v>
      </c>
      <c r="AX181" s="21">
        <f t="shared" si="166"/>
        <v>0.36935668933380572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-3.4106051316484809E-13</v>
      </c>
      <c r="BE181" s="13">
        <f>BD181*VLOOKUP('Données projet'!$B$11,Paramètres!$A$1:$I$89,3,0)*VLOOKUP('Données projet'!$B$11,Paramètres!$A$1:$I$89,5,0)</f>
        <v>-1.9065282685915009E-13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279.98352834501759</v>
      </c>
      <c r="BJ181" s="59">
        <f t="shared" si="146"/>
        <v>281.30062655265488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0.21320730996348791</v>
      </c>
      <c r="BQ181" s="21">
        <f>EXP(-LN(2)/25)*BQ180+(1-EXP(-LN(2)/25))/(LN(2)/25)*Calculateur!BL181*Calculateur!BN181*VLOOKUP('Données projet'!$B$11,Paramètres!$A$1:$I$89,3,0)*0.475*44/12</f>
        <v>0.40013000344076027</v>
      </c>
      <c r="BR181" s="21">
        <f>EXP(-LN(2)/2)*BR180+(1-EXP(-LN(2)/2))/(LN(2)/2)*BL181*BO181*VLOOKUP('Données projet'!$B$11,Paramètres!$A$1:$I$89,3,0)*0.475*44/12</f>
        <v>1.4990969293962555E-21</v>
      </c>
      <c r="BS181" s="22">
        <f t="shared" si="169"/>
        <v>0.61333731340424813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-8.5265128291212022E-14</v>
      </c>
      <c r="BZ181" s="13">
        <f>BY181*VLOOKUP('Données projet'!$B$12,Paramètres!$A$1:$I$89,3,0)*VLOOKUP('Données projet'!$B$12,Paramètres!$A$1:$I$89,5,0)</f>
        <v>-6.2516392063116648E-14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124.15919323713428</v>
      </c>
      <c r="CE181" s="59">
        <f t="shared" si="148"/>
        <v>157.85954678210715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8.3015337662152328E-2</v>
      </c>
      <c r="CM181" s="21">
        <f>EXP(-LN(2)/2)*CM180+(1-EXP(-LN(2)/2))/(LN(2)/2)*CG181*CJ181*VLOOKUP('Données projet'!$B$12,Paramètres!$A$1:$I$89,3,0)*0.475*44/12</f>
        <v>3.9055279666479078E-22</v>
      </c>
      <c r="CN181" s="22">
        <f t="shared" si="172"/>
        <v>8.3015337662152328E-2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2.8421709430404007E-14</v>
      </c>
      <c r="O182" s="13">
        <f>N182*VLOOKUP('Données projet'!$B$9,Paramètres!$A$1:$I$89,3,0)*VLOOKUP('Données projet'!$B$9,Paramètres!$A$1:$I$89,5,0)</f>
        <v>2.5715962692629544E-14</v>
      </c>
      <c r="P182" s="13">
        <f t="shared" si="141"/>
        <v>4.5248818890525812E-13</v>
      </c>
      <c r="Q182" s="20">
        <f t="shared" si="162"/>
        <v>8.3287223069965432E-13</v>
      </c>
      <c r="R182" s="59">
        <f t="shared" si="109"/>
        <v>293.33333333333417</v>
      </c>
      <c r="S182" s="59">
        <f ca="1">AVERAGE(OFFSET($R$3,0,0,'Données projet'!$E$9+1,1))-AVERAGE(OFFSET($H$3,0,0,'Données projet'!$E$9+1,1))</f>
        <v>138.8931001150624</v>
      </c>
      <c r="T182" s="59">
        <f t="shared" si="142"/>
        <v>48.964659354096625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-8.5265128291212022E-14</v>
      </c>
      <c r="AJ182" s="13">
        <f>AI182*VLOOKUP('Données projet'!$B$10,Paramètres!$A$1:$I$89,3,0)*VLOOKUP('Données projet'!$B$10,Paramètres!$A$1:$I$89,5,0)</f>
        <v>-7.4487616075202836E-14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191.94797389630673</v>
      </c>
      <c r="AO182" s="59">
        <f t="shared" si="144"/>
        <v>273.52540822767878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0.13464560591003405</v>
      </c>
      <c r="AV182" s="21">
        <f>EXP(-LN(2)/25)*AV181+(1-EXP(-LN(2)/25))/(LN(2)/25)*Calculateur!AQ182*Calculateur!AS182*VLOOKUP('Données projet'!$B$10,Paramètres!$A$1:$I$89,3,0)*0.475*44/12</f>
        <v>0.225673411434136</v>
      </c>
      <c r="AW182" s="21">
        <f>EXP(-LN(2)/2)*AW181+(1-EXP(-LN(2)/2))/(LN(2)/2)*AQ182*AT182*VLOOKUP('Données projet'!$B$10,Paramètres!$A$1:$I$89,3,0)*0.475*44/12</f>
        <v>8.6858163138718651E-22</v>
      </c>
      <c r="AX182" s="21">
        <f t="shared" si="166"/>
        <v>0.36031901734417005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-3.4106051316484809E-13</v>
      </c>
      <c r="BE182" s="13">
        <f>BD182*VLOOKUP('Données projet'!$B$11,Paramètres!$A$1:$I$89,3,0)*VLOOKUP('Données projet'!$B$11,Paramètres!$A$1:$I$89,5,0)</f>
        <v>-1.9065282685915009E-13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279.98352834501759</v>
      </c>
      <c r="BJ182" s="59">
        <f t="shared" si="146"/>
        <v>281.30062655265488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0.20902644465872225</v>
      </c>
      <c r="BQ182" s="21">
        <f>EXP(-LN(2)/25)*BQ181+(1-EXP(-LN(2)/25))/(LN(2)/25)*Calculateur!BL182*Calculateur!BN182*VLOOKUP('Données projet'!$B$11,Paramètres!$A$1:$I$89,3,0)*0.475*44/12</f>
        <v>0.3891884274547503</v>
      </c>
      <c r="BR182" s="21">
        <f>EXP(-LN(2)/2)*BR181+(1-EXP(-LN(2)/2))/(LN(2)/2)*BL182*BO182*VLOOKUP('Données projet'!$B$11,Paramètres!$A$1:$I$89,3,0)*0.475*44/12</f>
        <v>1.0600216044320233E-21</v>
      </c>
      <c r="BS182" s="22">
        <f t="shared" si="169"/>
        <v>0.59821487211347257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-8.5265128291212022E-14</v>
      </c>
      <c r="BZ182" s="13">
        <f>BY182*VLOOKUP('Données projet'!$B$12,Paramètres!$A$1:$I$89,3,0)*VLOOKUP('Données projet'!$B$12,Paramètres!$A$1:$I$89,5,0)</f>
        <v>-6.2516392063116648E-14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124.15919323713428</v>
      </c>
      <c r="CE182" s="59">
        <f t="shared" si="148"/>
        <v>157.85954678210715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8.0745278888193897E-2</v>
      </c>
      <c r="CM182" s="21">
        <f>EXP(-LN(2)/2)*CM181+(1-EXP(-LN(2)/2))/(LN(2)/2)*CG182*CJ182*VLOOKUP('Données projet'!$B$12,Paramètres!$A$1:$I$89,3,0)*0.475*44/12</f>
        <v>2.761625309330444E-22</v>
      </c>
      <c r="CN182" s="22">
        <f t="shared" si="172"/>
        <v>8.0745278888193897E-2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2.8421709430404007E-14</v>
      </c>
      <c r="O183" s="13">
        <f>N183*VLOOKUP('Données projet'!$B$9,Paramètres!$A$1:$I$89,3,0)*VLOOKUP('Données projet'!$B$9,Paramètres!$A$1:$I$89,5,0)</f>
        <v>2.5715962692629544E-14</v>
      </c>
      <c r="P183" s="13">
        <f t="shared" si="141"/>
        <v>4.5248818890525812E-13</v>
      </c>
      <c r="Q183" s="20">
        <f t="shared" si="162"/>
        <v>8.3287223069965432E-13</v>
      </c>
      <c r="R183" s="59">
        <f t="shared" si="109"/>
        <v>293.33333333333417</v>
      </c>
      <c r="S183" s="59">
        <f ca="1">AVERAGE(OFFSET($R$3,0,0,'Données projet'!$E$9+1,1))-AVERAGE(OFFSET($H$3,0,0,'Données projet'!$E$9+1,1))</f>
        <v>138.8931001150624</v>
      </c>
      <c r="T183" s="59">
        <f t="shared" si="142"/>
        <v>48.964659354096625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-8.5265128291212022E-14</v>
      </c>
      <c r="AJ183" s="13">
        <f>AI183*VLOOKUP('Données projet'!$B$10,Paramètres!$A$1:$I$89,3,0)*VLOOKUP('Données projet'!$B$10,Paramètres!$A$1:$I$89,5,0)</f>
        <v>-7.4487616075202836E-14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191.94797389630673</v>
      </c>
      <c r="AO183" s="59">
        <f t="shared" si="144"/>
        <v>273.52540822767878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0.13200528770384864</v>
      </c>
      <c r="AV183" s="21">
        <f>EXP(-LN(2)/25)*AV182+(1-EXP(-LN(2)/25))/(LN(2)/25)*Calculateur!AQ183*Calculateur!AS183*VLOOKUP('Données projet'!$B$10,Paramètres!$A$1:$I$89,3,0)*0.475*44/12</f>
        <v>0.21950236013082061</v>
      </c>
      <c r="AW183" s="21">
        <f>EXP(-LN(2)/2)*AW182+(1-EXP(-LN(2)/2))/(LN(2)/2)*AQ183*AT183*VLOOKUP('Données projet'!$B$10,Paramètres!$A$1:$I$89,3,0)*0.475*44/12</f>
        <v>6.1417996156795379E-22</v>
      </c>
      <c r="AX183" s="21">
        <f t="shared" si="166"/>
        <v>0.35150764783466926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-3.4106051316484809E-13</v>
      </c>
      <c r="BE183" s="13">
        <f>BD183*VLOOKUP('Données projet'!$B$11,Paramètres!$A$1:$I$89,3,0)*VLOOKUP('Données projet'!$B$11,Paramètres!$A$1:$I$89,5,0)</f>
        <v>-1.9065282685915009E-13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279.98352834501759</v>
      </c>
      <c r="BJ183" s="59">
        <f t="shared" si="146"/>
        <v>281.30062655265488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0.20492756357250699</v>
      </c>
      <c r="BQ183" s="21">
        <f>EXP(-LN(2)/25)*BQ182+(1-EXP(-LN(2)/25))/(LN(2)/25)*Calculateur!BL183*Calculateur!BN183*VLOOKUP('Données projet'!$B$11,Paramètres!$A$1:$I$89,3,0)*0.475*44/12</f>
        <v>0.37854604943947023</v>
      </c>
      <c r="BR183" s="21">
        <f>EXP(-LN(2)/2)*BR182+(1-EXP(-LN(2)/2))/(LN(2)/2)*BL183*BO183*VLOOKUP('Données projet'!$B$11,Paramètres!$A$1:$I$89,3,0)*0.475*44/12</f>
        <v>7.4954846469812776E-22</v>
      </c>
      <c r="BS183" s="22">
        <f t="shared" si="169"/>
        <v>0.5834736130119772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-8.5265128291212022E-14</v>
      </c>
      <c r="BZ183" s="13">
        <f>BY183*VLOOKUP('Données projet'!$B$12,Paramètres!$A$1:$I$89,3,0)*VLOOKUP('Données projet'!$B$12,Paramètres!$A$1:$I$89,5,0)</f>
        <v>-6.2516392063116648E-14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124.15919323713428</v>
      </c>
      <c r="CE183" s="59">
        <f t="shared" si="148"/>
        <v>157.85954678210715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7.8537294990786558E-2</v>
      </c>
      <c r="CM183" s="21">
        <f>EXP(-LN(2)/2)*CM182+(1-EXP(-LN(2)/2))/(LN(2)/2)*CG183*CJ183*VLOOKUP('Données projet'!$B$12,Paramètres!$A$1:$I$89,3,0)*0.475*44/12</f>
        <v>1.9527639833239539E-22</v>
      </c>
      <c r="CN183" s="22">
        <f t="shared" si="172"/>
        <v>7.8537294990786558E-2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2.8421709430404007E-14</v>
      </c>
      <c r="O184" s="13">
        <f>N184*VLOOKUP('Données projet'!$B$9,Paramètres!$A$1:$I$89,3,0)*VLOOKUP('Données projet'!$B$9,Paramètres!$A$1:$I$89,5,0)</f>
        <v>2.5715962692629544E-14</v>
      </c>
      <c r="P184" s="13">
        <f t="shared" si="141"/>
        <v>4.5248818890525812E-13</v>
      </c>
      <c r="Q184" s="20">
        <f t="shared" si="162"/>
        <v>8.3287223069965432E-13</v>
      </c>
      <c r="R184" s="59">
        <f t="shared" si="109"/>
        <v>293.33333333333417</v>
      </c>
      <c r="S184" s="59">
        <f ca="1">AVERAGE(OFFSET($R$3,0,0,'Données projet'!$E$9+1,1))-AVERAGE(OFFSET($H$3,0,0,'Données projet'!$E$9+1,1))</f>
        <v>138.8931001150624</v>
      </c>
      <c r="T184" s="59">
        <f t="shared" si="142"/>
        <v>48.964659354096625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-8.5265128291212022E-14</v>
      </c>
      <c r="AJ184" s="13">
        <f>AI184*VLOOKUP('Données projet'!$B$10,Paramètres!$A$1:$I$89,3,0)*VLOOKUP('Données projet'!$B$10,Paramètres!$A$1:$I$89,5,0)</f>
        <v>-7.4487616075202836E-14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191.94797389630673</v>
      </c>
      <c r="AO184" s="59">
        <f t="shared" si="144"/>
        <v>273.52540822767878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0.12941674452725144</v>
      </c>
      <c r="AV184" s="21">
        <f>EXP(-LN(2)/25)*AV183+(1-EXP(-LN(2)/25))/(LN(2)/25)*Calculateur!AQ184*Calculateur!AS184*VLOOKUP('Données projet'!$B$10,Paramètres!$A$1:$I$89,3,0)*0.475*44/12</f>
        <v>0.21350005654991588</v>
      </c>
      <c r="AW184" s="21">
        <f>EXP(-LN(2)/2)*AW183+(1-EXP(-LN(2)/2))/(LN(2)/2)*AQ184*AT184*VLOOKUP('Données projet'!$B$10,Paramètres!$A$1:$I$89,3,0)*0.475*44/12</f>
        <v>4.3429081569359325E-22</v>
      </c>
      <c r="AX184" s="21">
        <f t="shared" si="166"/>
        <v>0.34291680107716732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-3.4106051316484809E-13</v>
      </c>
      <c r="BE184" s="13">
        <f>BD184*VLOOKUP('Données projet'!$B$11,Paramètres!$A$1:$I$89,3,0)*VLOOKUP('Données projet'!$B$11,Paramètres!$A$1:$I$89,5,0)</f>
        <v>-1.9065282685915009E-13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279.98352834501759</v>
      </c>
      <c r="BJ184" s="59">
        <f t="shared" si="146"/>
        <v>281.30062655265488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0.20090905904432182</v>
      </c>
      <c r="BQ184" s="21">
        <f>EXP(-LN(2)/25)*BQ183+(1-EXP(-LN(2)/25))/(LN(2)/25)*Calculateur!BL184*Calculateur!BN184*VLOOKUP('Données projet'!$B$11,Paramètres!$A$1:$I$89,3,0)*0.475*44/12</f>
        <v>0.36819468781067638</v>
      </c>
      <c r="BR184" s="21">
        <f>EXP(-LN(2)/2)*BR183+(1-EXP(-LN(2)/2))/(LN(2)/2)*BL184*BO184*VLOOKUP('Données projet'!$B$11,Paramètres!$A$1:$I$89,3,0)*0.475*44/12</f>
        <v>5.3001080221601166E-22</v>
      </c>
      <c r="BS184" s="22">
        <f t="shared" si="169"/>
        <v>0.5691037468549982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-8.5265128291212022E-14</v>
      </c>
      <c r="BZ184" s="13">
        <f>BY184*VLOOKUP('Données projet'!$B$12,Paramètres!$A$1:$I$89,3,0)*VLOOKUP('Données projet'!$B$12,Paramètres!$A$1:$I$89,5,0)</f>
        <v>-6.2516392063116648E-14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124.15919323713428</v>
      </c>
      <c r="CE184" s="59">
        <f t="shared" si="148"/>
        <v>157.85954678210715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7.6389688529166652E-2</v>
      </c>
      <c r="CM184" s="21">
        <f>EXP(-LN(2)/2)*CM183+(1-EXP(-LN(2)/2))/(LN(2)/2)*CG184*CJ184*VLOOKUP('Données projet'!$B$12,Paramètres!$A$1:$I$89,3,0)*0.475*44/12</f>
        <v>1.380812654665222E-22</v>
      </c>
      <c r="CN184" s="22">
        <f t="shared" si="172"/>
        <v>7.6389688529166652E-2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2.8421709430404007E-14</v>
      </c>
      <c r="O185" s="13">
        <f>N185*VLOOKUP('Données projet'!$B$9,Paramètres!$A$1:$I$89,3,0)*VLOOKUP('Données projet'!$B$9,Paramètres!$A$1:$I$89,5,0)</f>
        <v>2.5715962692629544E-14</v>
      </c>
      <c r="P185" s="13">
        <f t="shared" si="141"/>
        <v>4.5248818890525812E-13</v>
      </c>
      <c r="Q185" s="20">
        <f t="shared" si="162"/>
        <v>8.3287223069965432E-13</v>
      </c>
      <c r="R185" s="59">
        <f t="shared" si="109"/>
        <v>293.33333333333417</v>
      </c>
      <c r="S185" s="59">
        <f ca="1">AVERAGE(OFFSET($R$3,0,0,'Données projet'!$E$9+1,1))-AVERAGE(OFFSET($H$3,0,0,'Données projet'!$E$9+1,1))</f>
        <v>138.8931001150624</v>
      </c>
      <c r="T185" s="59">
        <f t="shared" si="142"/>
        <v>48.964659354096625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-8.5265128291212022E-14</v>
      </c>
      <c r="AJ185" s="13">
        <f>AI185*VLOOKUP('Données projet'!$B$10,Paramètres!$A$1:$I$89,3,0)*VLOOKUP('Données projet'!$B$10,Paramètres!$A$1:$I$89,5,0)</f>
        <v>-7.4487616075202836E-14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191.94797389630673</v>
      </c>
      <c r="AO185" s="59">
        <f t="shared" si="144"/>
        <v>273.52540822767878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0.12687896110349187</v>
      </c>
      <c r="AV185" s="21">
        <f>EXP(-LN(2)/25)*AV184+(1-EXP(-LN(2)/25))/(LN(2)/25)*Calculateur!AQ185*Calculateur!AS185*VLOOKUP('Données projet'!$B$10,Paramètres!$A$1:$I$89,3,0)*0.475*44/12</f>
        <v>0.20766188627607843</v>
      </c>
      <c r="AW185" s="21">
        <f>EXP(-LN(2)/2)*AW184+(1-EXP(-LN(2)/2))/(LN(2)/2)*AQ185*AT185*VLOOKUP('Données projet'!$B$10,Paramètres!$A$1:$I$89,3,0)*0.475*44/12</f>
        <v>3.070899807839769E-22</v>
      </c>
      <c r="AX185" s="21">
        <f t="shared" si="166"/>
        <v>0.33454084737957029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-3.4106051316484809E-13</v>
      </c>
      <c r="BE185" s="13">
        <f>BD185*VLOOKUP('Données projet'!$B$11,Paramètres!$A$1:$I$89,3,0)*VLOOKUP('Données projet'!$B$11,Paramètres!$A$1:$I$89,5,0)</f>
        <v>-1.9065282685915009E-13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279.98352834501759</v>
      </c>
      <c r="BJ185" s="59">
        <f t="shared" si="146"/>
        <v>281.30062655265488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0.19696935493888862</v>
      </c>
      <c r="BQ185" s="21">
        <f>EXP(-LN(2)/25)*BQ184+(1-EXP(-LN(2)/25))/(LN(2)/25)*Calculateur!BL185*Calculateur!BN185*VLOOKUP('Données projet'!$B$11,Paramètres!$A$1:$I$89,3,0)*0.475*44/12</f>
        <v>0.35812638470997632</v>
      </c>
      <c r="BR185" s="21">
        <f>EXP(-LN(2)/2)*BR184+(1-EXP(-LN(2)/2))/(LN(2)/2)*BL185*BO185*VLOOKUP('Données projet'!$B$11,Paramètres!$A$1:$I$89,3,0)*0.475*44/12</f>
        <v>3.7477423234906388E-22</v>
      </c>
      <c r="BS185" s="22">
        <f t="shared" si="169"/>
        <v>0.55509573964886494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-8.5265128291212022E-14</v>
      </c>
      <c r="BZ185" s="13">
        <f>BY185*VLOOKUP('Données projet'!$B$12,Paramètres!$A$1:$I$89,3,0)*VLOOKUP('Données projet'!$B$12,Paramètres!$A$1:$I$89,5,0)</f>
        <v>-6.2516392063116648E-14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124.15919323713428</v>
      </c>
      <c r="CE185" s="59">
        <f t="shared" si="148"/>
        <v>157.85954678210715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7.4300808479177458E-2</v>
      </c>
      <c r="CM185" s="21">
        <f>EXP(-LN(2)/2)*CM184+(1-EXP(-LN(2)/2))/(LN(2)/2)*CG185*CJ185*VLOOKUP('Données projet'!$B$12,Paramètres!$A$1:$I$89,3,0)*0.475*44/12</f>
        <v>9.7638199166197695E-23</v>
      </c>
      <c r="CN185" s="22">
        <f t="shared" si="172"/>
        <v>7.4300808479177458E-2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2.8421709430404007E-14</v>
      </c>
      <c r="O186" s="13">
        <f>N186*VLOOKUP('Données projet'!$B$9,Paramètres!$A$1:$I$89,3,0)*VLOOKUP('Données projet'!$B$9,Paramètres!$A$1:$I$89,5,0)</f>
        <v>2.5715962692629544E-14</v>
      </c>
      <c r="P186" s="13">
        <f t="shared" si="141"/>
        <v>4.5248818890525812E-13</v>
      </c>
      <c r="Q186" s="20">
        <f t="shared" si="162"/>
        <v>8.3287223069965432E-13</v>
      </c>
      <c r="R186" s="59">
        <f t="shared" si="109"/>
        <v>293.33333333333417</v>
      </c>
      <c r="S186" s="59">
        <f ca="1">AVERAGE(OFFSET($R$3,0,0,'Données projet'!$E$9+1,1))-AVERAGE(OFFSET($H$3,0,0,'Données projet'!$E$9+1,1))</f>
        <v>138.8931001150624</v>
      </c>
      <c r="T186" s="59">
        <f t="shared" si="142"/>
        <v>48.964659354096625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-8.5265128291212022E-14</v>
      </c>
      <c r="AJ186" s="13">
        <f>AI186*VLOOKUP('Données projet'!$B$10,Paramètres!$A$1:$I$89,3,0)*VLOOKUP('Données projet'!$B$10,Paramètres!$A$1:$I$89,5,0)</f>
        <v>-7.4487616075202836E-14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191.94797389630673</v>
      </c>
      <c r="AO186" s="59">
        <f t="shared" si="144"/>
        <v>273.52540822767878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0.12439094206477719</v>
      </c>
      <c r="AV186" s="21">
        <f>EXP(-LN(2)/25)*AV185+(1-EXP(-LN(2)/25))/(LN(2)/25)*Calculateur!AQ186*Calculateur!AS186*VLOOKUP('Données projet'!$B$10,Paramètres!$A$1:$I$89,3,0)*0.475*44/12</f>
        <v>0.20198336107539508</v>
      </c>
      <c r="AW186" s="21">
        <f>EXP(-LN(2)/2)*AW185+(1-EXP(-LN(2)/2))/(LN(2)/2)*AQ186*AT186*VLOOKUP('Données projet'!$B$10,Paramètres!$A$1:$I$89,3,0)*0.475*44/12</f>
        <v>2.1714540784679663E-22</v>
      </c>
      <c r="AX186" s="21">
        <f t="shared" si="166"/>
        <v>0.32637430314017224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-3.4106051316484809E-13</v>
      </c>
      <c r="BE186" s="13">
        <f>BD186*VLOOKUP('Données projet'!$B$11,Paramètres!$A$1:$I$89,3,0)*VLOOKUP('Données projet'!$B$11,Paramètres!$A$1:$I$89,5,0)</f>
        <v>-1.9065282685915009E-13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279.98352834501759</v>
      </c>
      <c r="BJ186" s="59">
        <f t="shared" si="146"/>
        <v>281.30062655265488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0.19310690602798075</v>
      </c>
      <c r="BQ186" s="21">
        <f>EXP(-LN(2)/25)*BQ185+(1-EXP(-LN(2)/25))/(LN(2)/25)*Calculateur!BL186*Calculateur!BN186*VLOOKUP('Données projet'!$B$11,Paramètres!$A$1:$I$89,3,0)*0.475*44/12</f>
        <v>0.34833339988703393</v>
      </c>
      <c r="BR186" s="21">
        <f>EXP(-LN(2)/2)*BR185+(1-EXP(-LN(2)/2))/(LN(2)/2)*BL186*BO186*VLOOKUP('Données projet'!$B$11,Paramètres!$A$1:$I$89,3,0)*0.475*44/12</f>
        <v>2.6500540110800583E-22</v>
      </c>
      <c r="BS186" s="22">
        <f t="shared" si="169"/>
        <v>0.54144030591501469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-8.5265128291212022E-14</v>
      </c>
      <c r="BZ186" s="13">
        <f>BY186*VLOOKUP('Données projet'!$B$12,Paramètres!$A$1:$I$89,3,0)*VLOOKUP('Données projet'!$B$12,Paramètres!$A$1:$I$89,5,0)</f>
        <v>-6.2516392063116648E-14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124.15919323713428</v>
      </c>
      <c r="CE186" s="59">
        <f t="shared" si="148"/>
        <v>157.85954678210715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7.2269048964004642E-2</v>
      </c>
      <c r="CM186" s="21">
        <f>EXP(-LN(2)/2)*CM185+(1-EXP(-LN(2)/2))/(LN(2)/2)*CG186*CJ186*VLOOKUP('Données projet'!$B$12,Paramètres!$A$1:$I$89,3,0)*0.475*44/12</f>
        <v>6.9040632733261099E-23</v>
      </c>
      <c r="CN186" s="22">
        <f t="shared" si="172"/>
        <v>7.2269048964004642E-2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2.8421709430404007E-14</v>
      </c>
      <c r="O187" s="13">
        <f>N187*VLOOKUP('Données projet'!$B$9,Paramètres!$A$1:$I$89,3,0)*VLOOKUP('Données projet'!$B$9,Paramètres!$A$1:$I$89,5,0)</f>
        <v>2.5715962692629544E-14</v>
      </c>
      <c r="P187" s="13">
        <f t="shared" si="141"/>
        <v>4.5248818890525812E-13</v>
      </c>
      <c r="Q187" s="20">
        <f t="shared" si="162"/>
        <v>8.3287223069965432E-13</v>
      </c>
      <c r="R187" s="59">
        <f t="shared" si="109"/>
        <v>293.33333333333417</v>
      </c>
      <c r="S187" s="59">
        <f ca="1">AVERAGE(OFFSET($R$3,0,0,'Données projet'!$E$9+1,1))-AVERAGE(OFFSET($H$3,0,0,'Données projet'!$E$9+1,1))</f>
        <v>138.8931001150624</v>
      </c>
      <c r="T187" s="59">
        <f t="shared" si="142"/>
        <v>48.964659354096625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-8.5265128291212022E-14</v>
      </c>
      <c r="AJ187" s="13">
        <f>AI187*VLOOKUP('Données projet'!$B$10,Paramètres!$A$1:$I$89,3,0)*VLOOKUP('Données projet'!$B$10,Paramètres!$A$1:$I$89,5,0)</f>
        <v>-7.4487616075202836E-14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191.94797389630673</v>
      </c>
      <c r="AO187" s="59">
        <f t="shared" si="144"/>
        <v>273.52540822767878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0.12195171156186993</v>
      </c>
      <c r="AV187" s="21">
        <f>EXP(-LN(2)/25)*AV186+(1-EXP(-LN(2)/25))/(LN(2)/25)*Calculateur!AQ187*Calculateur!AS187*VLOOKUP('Données projet'!$B$10,Paramètres!$A$1:$I$89,3,0)*0.475*44/12</f>
        <v>0.19646011544494507</v>
      </c>
      <c r="AW187" s="21">
        <f>EXP(-LN(2)/2)*AW186+(1-EXP(-LN(2)/2))/(LN(2)/2)*AQ187*AT187*VLOOKUP('Données projet'!$B$10,Paramètres!$A$1:$I$89,3,0)*0.475*44/12</f>
        <v>1.5354499039198845E-22</v>
      </c>
      <c r="AX187" s="21">
        <f t="shared" si="166"/>
        <v>0.31841182700681503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-3.4106051316484809E-13</v>
      </c>
      <c r="BE187" s="13">
        <f>BD187*VLOOKUP('Données projet'!$B$11,Paramètres!$A$1:$I$89,3,0)*VLOOKUP('Données projet'!$B$11,Paramètres!$A$1:$I$89,5,0)</f>
        <v>-1.9065282685915009E-13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279.98352834501759</v>
      </c>
      <c r="BJ187" s="59">
        <f t="shared" si="146"/>
        <v>281.30062655265488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0.18932019738435457</v>
      </c>
      <c r="BQ187" s="21">
        <f>EXP(-LN(2)/25)*BQ186+(1-EXP(-LN(2)/25))/(LN(2)/25)*Calculateur!BL187*Calculateur!BN187*VLOOKUP('Données projet'!$B$11,Paramètres!$A$1:$I$89,3,0)*0.475*44/12</f>
        <v>0.33880820474906564</v>
      </c>
      <c r="BR187" s="21">
        <f>EXP(-LN(2)/2)*BR186+(1-EXP(-LN(2)/2))/(LN(2)/2)*BL187*BO187*VLOOKUP('Données projet'!$B$11,Paramètres!$A$1:$I$89,3,0)*0.475*44/12</f>
        <v>1.8738711617453194E-22</v>
      </c>
      <c r="BS187" s="22">
        <f t="shared" si="169"/>
        <v>0.52812840213342027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-8.5265128291212022E-14</v>
      </c>
      <c r="BZ187" s="13">
        <f>BY187*VLOOKUP('Données projet'!$B$12,Paramètres!$A$1:$I$89,3,0)*VLOOKUP('Données projet'!$B$12,Paramètres!$A$1:$I$89,5,0)</f>
        <v>-6.2516392063116648E-14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124.15919323713428</v>
      </c>
      <c r="CE187" s="59">
        <f t="shared" si="148"/>
        <v>157.85954678210715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7.0292848019619825E-2</v>
      </c>
      <c r="CM187" s="21">
        <f>EXP(-LN(2)/2)*CM186+(1-EXP(-LN(2)/2))/(LN(2)/2)*CG187*CJ187*VLOOKUP('Données projet'!$B$12,Paramètres!$A$1:$I$89,3,0)*0.475*44/12</f>
        <v>4.8819099583098848E-23</v>
      </c>
      <c r="CN187" s="22">
        <f t="shared" si="172"/>
        <v>7.0292848019619825E-2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2.8421709430404007E-14</v>
      </c>
      <c r="O188" s="13">
        <f>N188*VLOOKUP('Données projet'!$B$9,Paramètres!$A$1:$I$89,3,0)*VLOOKUP('Données projet'!$B$9,Paramètres!$A$1:$I$89,5,0)</f>
        <v>2.5715962692629544E-14</v>
      </c>
      <c r="P188" s="13">
        <f t="shared" si="141"/>
        <v>4.5248818890525812E-13</v>
      </c>
      <c r="Q188" s="20">
        <f t="shared" si="162"/>
        <v>8.3287223069965432E-13</v>
      </c>
      <c r="R188" s="59">
        <f t="shared" si="109"/>
        <v>293.33333333333417</v>
      </c>
      <c r="S188" s="59">
        <f ca="1">AVERAGE(OFFSET($R$3,0,0,'Données projet'!$E$9+1,1))-AVERAGE(OFFSET($H$3,0,0,'Données projet'!$E$9+1,1))</f>
        <v>138.8931001150624</v>
      </c>
      <c r="T188" s="59">
        <f t="shared" si="142"/>
        <v>48.964659354096625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-8.5265128291212022E-14</v>
      </c>
      <c r="AJ188" s="13">
        <f>AI188*VLOOKUP('Données projet'!$B$10,Paramètres!$A$1:$I$89,3,0)*VLOOKUP('Données projet'!$B$10,Paramètres!$A$1:$I$89,5,0)</f>
        <v>-7.4487616075202836E-14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191.94797389630673</v>
      </c>
      <c r="AO188" s="59">
        <f t="shared" si="144"/>
        <v>273.52540822767878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0.11956031288134099</v>
      </c>
      <c r="AV188" s="21">
        <f>EXP(-LN(2)/25)*AV187+(1-EXP(-LN(2)/25))/(LN(2)/25)*Calculateur!AQ188*Calculateur!AS188*VLOOKUP('Données projet'!$B$10,Paramètres!$A$1:$I$89,3,0)*0.475*44/12</f>
        <v>0.1910879032567146</v>
      </c>
      <c r="AW188" s="21">
        <f>EXP(-LN(2)/2)*AW187+(1-EXP(-LN(2)/2))/(LN(2)/2)*AQ188*AT188*VLOOKUP('Données projet'!$B$10,Paramètres!$A$1:$I$89,3,0)*0.475*44/12</f>
        <v>1.0857270392339831E-22</v>
      </c>
      <c r="AX188" s="21">
        <f t="shared" si="166"/>
        <v>0.3106482161380556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-3.4106051316484809E-13</v>
      </c>
      <c r="BE188" s="13">
        <f>BD188*VLOOKUP('Données projet'!$B$11,Paramètres!$A$1:$I$89,3,0)*VLOOKUP('Données projet'!$B$11,Paramètres!$A$1:$I$89,5,0)</f>
        <v>-1.9065282685915009E-13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279.98352834501759</v>
      </c>
      <c r="BJ188" s="59">
        <f t="shared" si="146"/>
        <v>281.30062655265488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0.18560774378756567</v>
      </c>
      <c r="BQ188" s="21">
        <f>EXP(-LN(2)/25)*BQ187+(1-EXP(-LN(2)/25))/(LN(2)/25)*Calculateur!BL188*Calculateur!BN188*VLOOKUP('Données projet'!$B$11,Paramètres!$A$1:$I$89,3,0)*0.475*44/12</f>
        <v>0.32954347657305333</v>
      </c>
      <c r="BR188" s="21">
        <f>EXP(-LN(2)/2)*BR187+(1-EXP(-LN(2)/2))/(LN(2)/2)*BL188*BO188*VLOOKUP('Données projet'!$B$11,Paramètres!$A$1:$I$89,3,0)*0.475*44/12</f>
        <v>1.3250270055400291E-22</v>
      </c>
      <c r="BS188" s="22">
        <f t="shared" si="169"/>
        <v>0.515151220360619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-8.5265128291212022E-14</v>
      </c>
      <c r="BZ188" s="13">
        <f>BY188*VLOOKUP('Données projet'!$B$12,Paramètres!$A$1:$I$89,3,0)*VLOOKUP('Données projet'!$B$12,Paramètres!$A$1:$I$89,5,0)</f>
        <v>-6.2516392063116648E-14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124.15919323713428</v>
      </c>
      <c r="CE188" s="59">
        <f t="shared" si="148"/>
        <v>157.85954678210715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6.8370686393983096E-2</v>
      </c>
      <c r="CM188" s="21">
        <f>EXP(-LN(2)/2)*CM187+(1-EXP(-LN(2)/2))/(LN(2)/2)*CG188*CJ188*VLOOKUP('Données projet'!$B$12,Paramètres!$A$1:$I$89,3,0)*0.475*44/12</f>
        <v>3.452031636663055E-23</v>
      </c>
      <c r="CN188" s="22">
        <f t="shared" si="172"/>
        <v>6.8370686393983096E-2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2.8421709430404007E-14</v>
      </c>
      <c r="O189" s="13">
        <f>N189*VLOOKUP('Données projet'!$B$9,Paramètres!$A$1:$I$89,3,0)*VLOOKUP('Données projet'!$B$9,Paramètres!$A$1:$I$89,5,0)</f>
        <v>2.5715962692629544E-14</v>
      </c>
      <c r="P189" s="13">
        <f t="shared" si="141"/>
        <v>4.5248818890525812E-13</v>
      </c>
      <c r="Q189" s="20">
        <f t="shared" si="162"/>
        <v>8.3287223069965432E-13</v>
      </c>
      <c r="R189" s="59">
        <f t="shared" si="109"/>
        <v>293.33333333333417</v>
      </c>
      <c r="S189" s="59">
        <f ca="1">AVERAGE(OFFSET($R$3,0,0,'Données projet'!$E$9+1,1))-AVERAGE(OFFSET($H$3,0,0,'Données projet'!$E$9+1,1))</f>
        <v>138.8931001150624</v>
      </c>
      <c r="T189" s="59">
        <f t="shared" si="142"/>
        <v>48.964659354096625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-8.5265128291212022E-14</v>
      </c>
      <c r="AJ189" s="13">
        <f>AI189*VLOOKUP('Données projet'!$B$10,Paramètres!$A$1:$I$89,3,0)*VLOOKUP('Données projet'!$B$10,Paramètres!$A$1:$I$89,5,0)</f>
        <v>-7.4487616075202836E-14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191.94797389630673</v>
      </c>
      <c r="AO189" s="59">
        <f t="shared" si="144"/>
        <v>273.52540822767878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0.11721580807032804</v>
      </c>
      <c r="AV189" s="21">
        <f>EXP(-LN(2)/25)*AV188+(1-EXP(-LN(2)/25))/(LN(2)/25)*Calculateur!AQ189*Calculateur!AS189*VLOOKUP('Données projet'!$B$10,Paramètres!$A$1:$I$89,3,0)*0.475*44/12</f>
        <v>0.18586259449328363</v>
      </c>
      <c r="AW189" s="21">
        <f>EXP(-LN(2)/2)*AW188+(1-EXP(-LN(2)/2))/(LN(2)/2)*AQ189*AT189*VLOOKUP('Données projet'!$B$10,Paramètres!$A$1:$I$89,3,0)*0.475*44/12</f>
        <v>7.6772495195994224E-23</v>
      </c>
      <c r="AX189" s="21">
        <f t="shared" si="166"/>
        <v>0.30307840256361168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-3.4106051316484809E-13</v>
      </c>
      <c r="BE189" s="13">
        <f>BD189*VLOOKUP('Données projet'!$B$11,Paramètres!$A$1:$I$89,3,0)*VLOOKUP('Données projet'!$B$11,Paramètres!$A$1:$I$89,5,0)</f>
        <v>-1.9065282685915009E-13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279.98352834501759</v>
      </c>
      <c r="BJ189" s="59">
        <f t="shared" si="146"/>
        <v>281.30062655265488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0.1819680891414367</v>
      </c>
      <c r="BQ189" s="21">
        <f>EXP(-LN(2)/25)*BQ188+(1-EXP(-LN(2)/25))/(LN(2)/25)*Calculateur!BL189*Calculateur!BN189*VLOOKUP('Données projet'!$B$11,Paramètres!$A$1:$I$89,3,0)*0.475*44/12</f>
        <v>0.32053209287622492</v>
      </c>
      <c r="BR189" s="21">
        <f>EXP(-LN(2)/2)*BR188+(1-EXP(-LN(2)/2))/(LN(2)/2)*BL189*BO189*VLOOKUP('Données projet'!$B$11,Paramètres!$A$1:$I$89,3,0)*0.475*44/12</f>
        <v>9.369355808726597E-23</v>
      </c>
      <c r="BS189" s="22">
        <f t="shared" si="169"/>
        <v>0.50250018201766156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-8.5265128291212022E-14</v>
      </c>
      <c r="BZ189" s="13">
        <f>BY189*VLOOKUP('Données projet'!$B$12,Paramètres!$A$1:$I$89,3,0)*VLOOKUP('Données projet'!$B$12,Paramètres!$A$1:$I$89,5,0)</f>
        <v>-6.2516392063116648E-14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124.15919323713428</v>
      </c>
      <c r="CE189" s="59">
        <f t="shared" si="148"/>
        <v>157.85954678210715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6.6501086379081489E-2</v>
      </c>
      <c r="CM189" s="21">
        <f>EXP(-LN(2)/2)*CM188+(1-EXP(-LN(2)/2))/(LN(2)/2)*CG189*CJ189*VLOOKUP('Données projet'!$B$12,Paramètres!$A$1:$I$89,3,0)*0.475*44/12</f>
        <v>2.4409549791549424E-23</v>
      </c>
      <c r="CN189" s="22">
        <f t="shared" si="172"/>
        <v>6.6501086379081489E-2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2.8421709430404007E-14</v>
      </c>
      <c r="O190" s="13">
        <f>N190*VLOOKUP('Données projet'!$B$9,Paramètres!$A$1:$I$89,3,0)*VLOOKUP('Données projet'!$B$9,Paramètres!$A$1:$I$89,5,0)</f>
        <v>2.5715962692629544E-14</v>
      </c>
      <c r="P190" s="13">
        <f t="shared" si="141"/>
        <v>4.5248818890525812E-13</v>
      </c>
      <c r="Q190" s="20">
        <f t="shared" si="162"/>
        <v>8.3287223069965432E-13</v>
      </c>
      <c r="R190" s="59">
        <f t="shared" si="109"/>
        <v>293.33333333333417</v>
      </c>
      <c r="S190" s="59">
        <f ca="1">AVERAGE(OFFSET($R$3,0,0,'Données projet'!$E$9+1,1))-AVERAGE(OFFSET($H$3,0,0,'Données projet'!$E$9+1,1))</f>
        <v>138.8931001150624</v>
      </c>
      <c r="T190" s="59">
        <f t="shared" si="142"/>
        <v>48.964659354096625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-8.5265128291212022E-14</v>
      </c>
      <c r="AJ190" s="13">
        <f>AI190*VLOOKUP('Données projet'!$B$10,Paramètres!$A$1:$I$89,3,0)*VLOOKUP('Données projet'!$B$10,Paramètres!$A$1:$I$89,5,0)</f>
        <v>-7.4487616075202836E-14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191.94797389630673</v>
      </c>
      <c r="AO190" s="59">
        <f t="shared" si="144"/>
        <v>273.52540822767878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0.11491727756865233</v>
      </c>
      <c r="AV190" s="21">
        <f>EXP(-LN(2)/25)*AV189+(1-EXP(-LN(2)/25))/(LN(2)/25)*Calculateur!AQ190*Calculateur!AS190*VLOOKUP('Données projet'!$B$10,Paramètres!$A$1:$I$89,3,0)*0.475*44/12</f>
        <v>0.18078017207277575</v>
      </c>
      <c r="AW190" s="21">
        <f>EXP(-LN(2)/2)*AW189+(1-EXP(-LN(2)/2))/(LN(2)/2)*AQ190*AT190*VLOOKUP('Données projet'!$B$10,Paramètres!$A$1:$I$89,3,0)*0.475*44/12</f>
        <v>5.4286351961699157E-23</v>
      </c>
      <c r="AX190" s="21">
        <f t="shared" si="166"/>
        <v>0.29569744964142808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-3.4106051316484809E-13</v>
      </c>
      <c r="BE190" s="13">
        <f>BD190*VLOOKUP('Données projet'!$B$11,Paramètres!$A$1:$I$89,3,0)*VLOOKUP('Données projet'!$B$11,Paramètres!$A$1:$I$89,5,0)</f>
        <v>-1.9065282685915009E-13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279.98352834501759</v>
      </c>
      <c r="BJ190" s="59">
        <f t="shared" si="146"/>
        <v>281.30062655265488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0.17839980590294818</v>
      </c>
      <c r="BQ190" s="21">
        <f>EXP(-LN(2)/25)*BQ189+(1-EXP(-LN(2)/25))/(LN(2)/25)*Calculateur!BL190*Calculateur!BN190*VLOOKUP('Données projet'!$B$11,Paramètres!$A$1:$I$89,3,0)*0.475*44/12</f>
        <v>0.31176712594047434</v>
      </c>
      <c r="BR190" s="21">
        <f>EXP(-LN(2)/2)*BR189+(1-EXP(-LN(2)/2))/(LN(2)/2)*BL190*BO190*VLOOKUP('Données projet'!$B$11,Paramètres!$A$1:$I$89,3,0)*0.475*44/12</f>
        <v>6.6251350277001457E-23</v>
      </c>
      <c r="BS190" s="22">
        <f t="shared" si="169"/>
        <v>0.49016693184342253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-8.5265128291212022E-14</v>
      </c>
      <c r="BZ190" s="13">
        <f>BY190*VLOOKUP('Données projet'!$B$12,Paramètres!$A$1:$I$89,3,0)*VLOOKUP('Données projet'!$B$12,Paramètres!$A$1:$I$89,5,0)</f>
        <v>-6.2516392063116648E-14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124.15919323713428</v>
      </c>
      <c r="CE190" s="59">
        <f t="shared" si="148"/>
        <v>157.85954678210715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6.4682610674905369E-2</v>
      </c>
      <c r="CM190" s="21">
        <f>EXP(-LN(2)/2)*CM189+(1-EXP(-LN(2)/2))/(LN(2)/2)*CG190*CJ190*VLOOKUP('Données projet'!$B$12,Paramètres!$A$1:$I$89,3,0)*0.475*44/12</f>
        <v>1.7260158183315275E-23</v>
      </c>
      <c r="CN190" s="22">
        <f t="shared" si="172"/>
        <v>6.4682610674905369E-2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2.8421709430404007E-14</v>
      </c>
      <c r="O191" s="13">
        <f>N191*VLOOKUP('Données projet'!$B$9,Paramètres!$A$1:$I$89,3,0)*VLOOKUP('Données projet'!$B$9,Paramètres!$A$1:$I$89,5,0)</f>
        <v>2.5715962692629544E-14</v>
      </c>
      <c r="P191" s="13">
        <f t="shared" si="141"/>
        <v>4.5248818890525812E-13</v>
      </c>
      <c r="Q191" s="20">
        <f t="shared" si="162"/>
        <v>8.3287223069965432E-13</v>
      </c>
      <c r="R191" s="59">
        <f t="shared" si="109"/>
        <v>293.33333333333417</v>
      </c>
      <c r="S191" s="59">
        <f ca="1">AVERAGE(OFFSET($R$3,0,0,'Données projet'!$E$9+1,1))-AVERAGE(OFFSET($H$3,0,0,'Données projet'!$E$9+1,1))</f>
        <v>138.8931001150624</v>
      </c>
      <c r="T191" s="59">
        <f t="shared" si="142"/>
        <v>48.964659354096625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-8.5265128291212022E-14</v>
      </c>
      <c r="AJ191" s="13">
        <f>AI191*VLOOKUP('Données projet'!$B$10,Paramètres!$A$1:$I$89,3,0)*VLOOKUP('Données projet'!$B$10,Paramètres!$A$1:$I$89,5,0)</f>
        <v>-7.4487616075202836E-14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191.94797389630673</v>
      </c>
      <c r="AO191" s="59">
        <f t="shared" si="144"/>
        <v>273.52540822767878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0.1126638198481493</v>
      </c>
      <c r="AV191" s="21">
        <f>EXP(-LN(2)/25)*AV190+(1-EXP(-LN(2)/25))/(LN(2)/25)*Calculateur!AQ191*Calculateur!AS191*VLOOKUP('Données projet'!$B$10,Paramètres!$A$1:$I$89,3,0)*0.475*44/12</f>
        <v>0.17583672876062961</v>
      </c>
      <c r="AW191" s="21">
        <f>EXP(-LN(2)/2)*AW190+(1-EXP(-LN(2)/2))/(LN(2)/2)*AQ191*AT191*VLOOKUP('Données projet'!$B$10,Paramètres!$A$1:$I$89,3,0)*0.475*44/12</f>
        <v>3.8386247597997112E-23</v>
      </c>
      <c r="AX191" s="21">
        <f t="shared" si="166"/>
        <v>0.28850054860877894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-3.4106051316484809E-13</v>
      </c>
      <c r="BE191" s="13">
        <f>BD191*VLOOKUP('Données projet'!$B$11,Paramètres!$A$1:$I$89,3,0)*VLOOKUP('Données projet'!$B$11,Paramètres!$A$1:$I$89,5,0)</f>
        <v>-1.9065282685915009E-13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279.98352834501759</v>
      </c>
      <c r="BJ191" s="59">
        <f t="shared" si="146"/>
        <v>281.30062655265488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0.17490149452232856</v>
      </c>
      <c r="BQ191" s="21">
        <f>EXP(-LN(2)/25)*BQ190+(1-EXP(-LN(2)/25))/(LN(2)/25)*Calculateur!BL191*Calculateur!BN191*VLOOKUP('Données projet'!$B$11,Paramètres!$A$1:$I$89,3,0)*0.475*44/12</f>
        <v>0.30324183748651146</v>
      </c>
      <c r="BR191" s="21">
        <f>EXP(-LN(2)/2)*BR190+(1-EXP(-LN(2)/2))/(LN(2)/2)*BL191*BO191*VLOOKUP('Données projet'!$B$11,Paramètres!$A$1:$I$89,3,0)*0.475*44/12</f>
        <v>4.6846779043632985E-23</v>
      </c>
      <c r="BS191" s="22">
        <f t="shared" si="169"/>
        <v>0.47814333200884002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-8.5265128291212022E-14</v>
      </c>
      <c r="BZ191" s="13">
        <f>BY191*VLOOKUP('Données projet'!$B$12,Paramètres!$A$1:$I$89,3,0)*VLOOKUP('Données projet'!$B$12,Paramètres!$A$1:$I$89,5,0)</f>
        <v>-6.2516392063116648E-14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124.15919323713428</v>
      </c>
      <c r="CE191" s="59">
        <f t="shared" si="148"/>
        <v>157.85954678210715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6.291386128448942E-2</v>
      </c>
      <c r="CM191" s="21">
        <f>EXP(-LN(2)/2)*CM190+(1-EXP(-LN(2)/2))/(LN(2)/2)*CG191*CJ191*VLOOKUP('Données projet'!$B$12,Paramètres!$A$1:$I$89,3,0)*0.475*44/12</f>
        <v>1.2204774895774712E-23</v>
      </c>
      <c r="CN191" s="22">
        <f t="shared" si="172"/>
        <v>6.291386128448942E-2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2.8421709430404007E-14</v>
      </c>
      <c r="O192" s="13">
        <f>N192*VLOOKUP('Données projet'!$B$9,Paramètres!$A$1:$I$89,3,0)*VLOOKUP('Données projet'!$B$9,Paramètres!$A$1:$I$89,5,0)</f>
        <v>2.5715962692629544E-14</v>
      </c>
      <c r="P192" s="13">
        <f t="shared" si="141"/>
        <v>4.5248818890525812E-13</v>
      </c>
      <c r="Q192" s="20">
        <f t="shared" si="162"/>
        <v>8.3287223069965432E-13</v>
      </c>
      <c r="R192" s="59">
        <f t="shared" si="109"/>
        <v>293.33333333333417</v>
      </c>
      <c r="S192" s="59">
        <f ca="1">AVERAGE(OFFSET($R$3,0,0,'Données projet'!$E$9+1,1))-AVERAGE(OFFSET($H$3,0,0,'Données projet'!$E$9+1,1))</f>
        <v>138.8931001150624</v>
      </c>
      <c r="T192" s="59">
        <f t="shared" si="142"/>
        <v>48.964659354096625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-8.5265128291212022E-14</v>
      </c>
      <c r="AJ192" s="13">
        <f>AI192*VLOOKUP('Données projet'!$B$10,Paramètres!$A$1:$I$89,3,0)*VLOOKUP('Données projet'!$B$10,Paramètres!$A$1:$I$89,5,0)</f>
        <v>-7.4487616075202836E-14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191.94797389630673</v>
      </c>
      <c r="AO192" s="59">
        <f t="shared" si="144"/>
        <v>273.52540822767878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0.11045455105907184</v>
      </c>
      <c r="AV192" s="21">
        <f>EXP(-LN(2)/25)*AV191+(1-EXP(-LN(2)/25))/(LN(2)/25)*Calculateur!AQ192*Calculateur!AS192*VLOOKUP('Données projet'!$B$10,Paramètres!$A$1:$I$89,3,0)*0.475*44/12</f>
        <v>0.17102846416581852</v>
      </c>
      <c r="AW192" s="21">
        <f>EXP(-LN(2)/2)*AW191+(1-EXP(-LN(2)/2))/(LN(2)/2)*AQ192*AT192*VLOOKUP('Données projet'!$B$10,Paramètres!$A$1:$I$89,3,0)*0.475*44/12</f>
        <v>2.7143175980849578E-23</v>
      </c>
      <c r="AX192" s="21">
        <f t="shared" si="166"/>
        <v>0.28148301522489039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-3.4106051316484809E-13</v>
      </c>
      <c r="BE192" s="13">
        <f>BD192*VLOOKUP('Données projet'!$B$11,Paramètres!$A$1:$I$89,3,0)*VLOOKUP('Données projet'!$B$11,Paramètres!$A$1:$I$89,5,0)</f>
        <v>-1.9065282685915009E-13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279.98352834501759</v>
      </c>
      <c r="BJ192" s="59">
        <f t="shared" si="146"/>
        <v>281.30062655265488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0.17147178289412365</v>
      </c>
      <c r="BQ192" s="21">
        <f>EXP(-LN(2)/25)*BQ191+(1-EXP(-LN(2)/25))/(LN(2)/25)*Calculateur!BL192*Calculateur!BN192*VLOOKUP('Données projet'!$B$11,Paramètres!$A$1:$I$89,3,0)*0.475*44/12</f>
        <v>0.29494967349364765</v>
      </c>
      <c r="BR192" s="21">
        <f>EXP(-LN(2)/2)*BR191+(1-EXP(-LN(2)/2))/(LN(2)/2)*BL192*BO192*VLOOKUP('Données projet'!$B$11,Paramètres!$A$1:$I$89,3,0)*0.475*44/12</f>
        <v>3.3125675138500729E-23</v>
      </c>
      <c r="BS192" s="22">
        <f t="shared" si="169"/>
        <v>0.46642145638777133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-8.5265128291212022E-14</v>
      </c>
      <c r="BZ192" s="13">
        <f>BY192*VLOOKUP('Données projet'!$B$12,Paramètres!$A$1:$I$89,3,0)*VLOOKUP('Données projet'!$B$12,Paramètres!$A$1:$I$89,5,0)</f>
        <v>-6.2516392063116648E-14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124.15919323713428</v>
      </c>
      <c r="CE192" s="59">
        <f t="shared" si="148"/>
        <v>157.85954678210715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6.1193478439168884E-2</v>
      </c>
      <c r="CM192" s="21">
        <f>EXP(-LN(2)/2)*CM191+(1-EXP(-LN(2)/2))/(LN(2)/2)*CG192*CJ192*VLOOKUP('Données projet'!$B$12,Paramètres!$A$1:$I$89,3,0)*0.475*44/12</f>
        <v>8.6300790916576374E-24</v>
      </c>
      <c r="CN192" s="22">
        <f t="shared" si="172"/>
        <v>6.1193478439168884E-2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2.8421709430404007E-14</v>
      </c>
      <c r="O193" s="13">
        <f>N193*VLOOKUP('Données projet'!$B$9,Paramètres!$A$1:$I$89,3,0)*VLOOKUP('Données projet'!$B$9,Paramètres!$A$1:$I$89,5,0)</f>
        <v>2.5715962692629544E-14</v>
      </c>
      <c r="P193" s="13">
        <f t="shared" si="141"/>
        <v>4.5248818890525812E-13</v>
      </c>
      <c r="Q193" s="20">
        <f t="shared" si="162"/>
        <v>8.3287223069965432E-13</v>
      </c>
      <c r="R193" s="59">
        <f t="shared" si="109"/>
        <v>293.33333333333417</v>
      </c>
      <c r="S193" s="59">
        <f ca="1">AVERAGE(OFFSET($R$3,0,0,'Données projet'!$E$9+1,1))-AVERAGE(OFFSET($H$3,0,0,'Données projet'!$E$9+1,1))</f>
        <v>138.8931001150624</v>
      </c>
      <c r="T193" s="59">
        <f t="shared" si="142"/>
        <v>48.964659354096625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-8.5265128291212022E-14</v>
      </c>
      <c r="AJ193" s="13">
        <f>AI193*VLOOKUP('Données projet'!$B$10,Paramètres!$A$1:$I$89,3,0)*VLOOKUP('Données projet'!$B$10,Paramètres!$A$1:$I$89,5,0)</f>
        <v>-7.4487616075202836E-14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191.94797389630673</v>
      </c>
      <c r="AO193" s="59">
        <f t="shared" si="144"/>
        <v>273.52540822767878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0.1082886046834273</v>
      </c>
      <c r="AV193" s="21">
        <f>EXP(-LN(2)/25)*AV192+(1-EXP(-LN(2)/25))/(LN(2)/25)*Calculateur!AQ193*Calculateur!AS193*VLOOKUP('Données projet'!$B$10,Paramètres!$A$1:$I$89,3,0)*0.475*44/12</f>
        <v>0.16635168181920817</v>
      </c>
      <c r="AW193" s="21">
        <f>EXP(-LN(2)/2)*AW192+(1-EXP(-LN(2)/2))/(LN(2)/2)*AQ193*AT193*VLOOKUP('Données projet'!$B$10,Paramètres!$A$1:$I$89,3,0)*0.475*44/12</f>
        <v>1.9193123798998556E-23</v>
      </c>
      <c r="AX193" s="21">
        <f t="shared" si="166"/>
        <v>0.2746402865026355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-3.4106051316484809E-13</v>
      </c>
      <c r="BE193" s="13">
        <f>BD193*VLOOKUP('Données projet'!$B$11,Paramètres!$A$1:$I$89,3,0)*VLOOKUP('Données projet'!$B$11,Paramètres!$A$1:$I$89,5,0)</f>
        <v>-1.9065282685915009E-13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279.98352834501759</v>
      </c>
      <c r="BJ193" s="59">
        <f t="shared" si="146"/>
        <v>281.30062655265488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0.16810932581903029</v>
      </c>
      <c r="BQ193" s="21">
        <f>EXP(-LN(2)/25)*BQ192+(1-EXP(-LN(2)/25))/(LN(2)/25)*Calculateur!BL193*Calculateur!BN193*VLOOKUP('Données projet'!$B$11,Paramètres!$A$1:$I$89,3,0)*0.475*44/12</f>
        <v>0.28688425916123461</v>
      </c>
      <c r="BR193" s="21">
        <f>EXP(-LN(2)/2)*BR192+(1-EXP(-LN(2)/2))/(LN(2)/2)*BL193*BO193*VLOOKUP('Données projet'!$B$11,Paramètres!$A$1:$I$89,3,0)*0.475*44/12</f>
        <v>2.3423389521816492E-23</v>
      </c>
      <c r="BS193" s="22">
        <f t="shared" si="169"/>
        <v>0.45499358498026488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-8.5265128291212022E-14</v>
      </c>
      <c r="BZ193" s="13">
        <f>BY193*VLOOKUP('Données projet'!$B$12,Paramètres!$A$1:$I$89,3,0)*VLOOKUP('Données projet'!$B$12,Paramètres!$A$1:$I$89,5,0)</f>
        <v>-6.2516392063116648E-14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124.15919323713428</v>
      </c>
      <c r="CE193" s="59">
        <f t="shared" si="148"/>
        <v>157.85954678210715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5.9520139553224639E-2</v>
      </c>
      <c r="CM193" s="21">
        <f>EXP(-LN(2)/2)*CM192+(1-EXP(-LN(2)/2))/(LN(2)/2)*CG193*CJ193*VLOOKUP('Données projet'!$B$12,Paramètres!$A$1:$I$89,3,0)*0.475*44/12</f>
        <v>6.1023874478873559E-24</v>
      </c>
      <c r="CN193" s="22">
        <f t="shared" si="172"/>
        <v>5.9520139553224639E-2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2.8421709430404007E-14</v>
      </c>
      <c r="O194" s="13">
        <f>N194*VLOOKUP('Données projet'!$B$9,Paramètres!$A$1:$I$89,3,0)*VLOOKUP('Données projet'!$B$9,Paramètres!$A$1:$I$89,5,0)</f>
        <v>2.5715962692629544E-14</v>
      </c>
      <c r="P194" s="13">
        <f t="shared" si="141"/>
        <v>4.5248818890525812E-13</v>
      </c>
      <c r="Q194" s="20">
        <f t="shared" si="162"/>
        <v>8.3287223069965432E-13</v>
      </c>
      <c r="R194" s="59">
        <f t="shared" si="109"/>
        <v>293.33333333333417</v>
      </c>
      <c r="S194" s="59">
        <f ca="1">AVERAGE(OFFSET($R$3,0,0,'Données projet'!$E$9+1,1))-AVERAGE(OFFSET($H$3,0,0,'Données projet'!$E$9+1,1))</f>
        <v>138.8931001150624</v>
      </c>
      <c r="T194" s="59">
        <f t="shared" si="142"/>
        <v>48.964659354096625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-8.5265128291212022E-14</v>
      </c>
      <c r="AJ194" s="13">
        <f>AI194*VLOOKUP('Données projet'!$B$10,Paramètres!$A$1:$I$89,3,0)*VLOOKUP('Données projet'!$B$10,Paramètres!$A$1:$I$89,5,0)</f>
        <v>-7.4487616075202836E-14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191.94797389630673</v>
      </c>
      <c r="AO194" s="59">
        <f t="shared" si="144"/>
        <v>273.52540822767878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0.1061651311951123</v>
      </c>
      <c r="AV194" s="21">
        <f>EXP(-LN(2)/25)*AV193+(1-EXP(-LN(2)/25))/(LN(2)/25)*Calculateur!AQ194*Calculateur!AS194*VLOOKUP('Données projet'!$B$10,Paramètres!$A$1:$I$89,3,0)*0.475*44/12</f>
        <v>0.16180278633180717</v>
      </c>
      <c r="AW194" s="21">
        <f>EXP(-LN(2)/2)*AW193+(1-EXP(-LN(2)/2))/(LN(2)/2)*AQ194*AT194*VLOOKUP('Données projet'!$B$10,Paramètres!$A$1:$I$89,3,0)*0.475*44/12</f>
        <v>1.3571587990424789E-23</v>
      </c>
      <c r="AX194" s="21">
        <f t="shared" si="166"/>
        <v>0.26796791752691945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-3.4106051316484809E-13</v>
      </c>
      <c r="BE194" s="13">
        <f>BD194*VLOOKUP('Données projet'!$B$11,Paramètres!$A$1:$I$89,3,0)*VLOOKUP('Données projet'!$B$11,Paramètres!$A$1:$I$89,5,0)</f>
        <v>-1.9065282685915009E-13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279.98352834501759</v>
      </c>
      <c r="BJ194" s="59">
        <f t="shared" si="146"/>
        <v>281.30062655265488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0.16481280447628321</v>
      </c>
      <c r="BQ194" s="21">
        <f>EXP(-LN(2)/25)*BQ193+(1-EXP(-LN(2)/25))/(LN(2)/25)*Calculateur!BL194*Calculateur!BN194*VLOOKUP('Données projet'!$B$11,Paramètres!$A$1:$I$89,3,0)*0.475*44/12</f>
        <v>0.27903939400788313</v>
      </c>
      <c r="BR194" s="21">
        <f>EXP(-LN(2)/2)*BR193+(1-EXP(-LN(2)/2))/(LN(2)/2)*BL194*BO194*VLOOKUP('Données projet'!$B$11,Paramètres!$A$1:$I$89,3,0)*0.475*44/12</f>
        <v>1.6562837569250364E-23</v>
      </c>
      <c r="BS194" s="22">
        <f t="shared" si="169"/>
        <v>0.44385219848416635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-8.5265128291212022E-14</v>
      </c>
      <c r="BZ194" s="13">
        <f>BY194*VLOOKUP('Données projet'!$B$12,Paramètres!$A$1:$I$89,3,0)*VLOOKUP('Données projet'!$B$12,Paramètres!$A$1:$I$89,5,0)</f>
        <v>-6.2516392063116648E-14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124.15919323713428</v>
      </c>
      <c r="CE194" s="59">
        <f t="shared" si="148"/>
        <v>157.85954678210715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5.7892558207113608E-2</v>
      </c>
      <c r="CM194" s="21">
        <f>EXP(-LN(2)/2)*CM193+(1-EXP(-LN(2)/2))/(LN(2)/2)*CG194*CJ194*VLOOKUP('Données projet'!$B$12,Paramètres!$A$1:$I$89,3,0)*0.475*44/12</f>
        <v>4.3150395458288187E-24</v>
      </c>
      <c r="CN194" s="22">
        <f t="shared" si="172"/>
        <v>5.7892558207113608E-2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2.8421709430404007E-14</v>
      </c>
      <c r="O195" s="13">
        <f>N195*VLOOKUP('Données projet'!$B$9,Paramètres!$A$1:$I$89,3,0)*VLOOKUP('Données projet'!$B$9,Paramètres!$A$1:$I$89,5,0)</f>
        <v>2.5715962692629544E-14</v>
      </c>
      <c r="P195" s="13">
        <f t="shared" si="141"/>
        <v>4.5248818890525812E-13</v>
      </c>
      <c r="Q195" s="20">
        <f t="shared" si="162"/>
        <v>8.3287223069965432E-13</v>
      </c>
      <c r="R195" s="59">
        <f t="shared" ref="R195:R203" si="191">Q195+(I195+J195)*44/12</f>
        <v>293.33333333333417</v>
      </c>
      <c r="S195" s="59">
        <f ca="1">AVERAGE(OFFSET($R$3,0,0,'Données projet'!$E$9+1,1))-AVERAGE(OFFSET($H$3,0,0,'Données projet'!$E$9+1,1))</f>
        <v>138.8931001150624</v>
      </c>
      <c r="T195" s="59">
        <f t="shared" si="142"/>
        <v>48.964659354096625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-8.5265128291212022E-14</v>
      </c>
      <c r="AJ195" s="13">
        <f>AI195*VLOOKUP('Données projet'!$B$10,Paramètres!$A$1:$I$89,3,0)*VLOOKUP('Données projet'!$B$10,Paramètres!$A$1:$I$89,5,0)</f>
        <v>-7.4487616075202836E-14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191.94797389630673</v>
      </c>
      <c r="AO195" s="59">
        <f t="shared" si="144"/>
        <v>273.52540822767878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0.10408329772671221</v>
      </c>
      <c r="AV195" s="21">
        <f>EXP(-LN(2)/25)*AV194+(1-EXP(-LN(2)/25))/(LN(2)/25)*Calculateur!AQ195*Calculateur!AS195*VLOOKUP('Données projet'!$B$10,Paramètres!$A$1:$I$89,3,0)*0.475*44/12</f>
        <v>0.15737828063072518</v>
      </c>
      <c r="AW195" s="21">
        <f>EXP(-LN(2)/2)*AW194+(1-EXP(-LN(2)/2))/(LN(2)/2)*AQ195*AT195*VLOOKUP('Données projet'!$B$10,Paramètres!$A$1:$I$89,3,0)*0.475*44/12</f>
        <v>9.596561899499278E-24</v>
      </c>
      <c r="AX195" s="21">
        <f t="shared" si="166"/>
        <v>0.26146157835743739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-3.4106051316484809E-13</v>
      </c>
      <c r="BE195" s="13">
        <f>BD195*VLOOKUP('Données projet'!$B$11,Paramètres!$A$1:$I$89,3,0)*VLOOKUP('Données projet'!$B$11,Paramètres!$A$1:$I$89,5,0)</f>
        <v>-1.9065282685915009E-13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279.98352834501759</v>
      </c>
      <c r="BJ195" s="59">
        <f t="shared" si="146"/>
        <v>281.30062655265488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0.16158092590638792</v>
      </c>
      <c r="BQ195" s="21">
        <f>EXP(-LN(2)/25)*BQ194+(1-EXP(-LN(2)/25))/(LN(2)/25)*Calculateur!BL195*Calculateur!BN195*VLOOKUP('Données projet'!$B$11,Paramètres!$A$1:$I$89,3,0)*0.475*44/12</f>
        <v>0.2714090471046936</v>
      </c>
      <c r="BR195" s="21">
        <f>EXP(-LN(2)/2)*BR194+(1-EXP(-LN(2)/2))/(LN(2)/2)*BL195*BO195*VLOOKUP('Données projet'!$B$11,Paramètres!$A$1:$I$89,3,0)*0.475*44/12</f>
        <v>1.1711694760908246E-23</v>
      </c>
      <c r="BS195" s="22">
        <f t="shared" si="169"/>
        <v>0.43298997301108155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-8.5265128291212022E-14</v>
      </c>
      <c r="BZ195" s="13">
        <f>BY195*VLOOKUP('Données projet'!$B$12,Paramètres!$A$1:$I$89,3,0)*VLOOKUP('Données projet'!$B$12,Paramètres!$A$1:$I$89,5,0)</f>
        <v>-6.2516392063116648E-14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124.15919323713428</v>
      </c>
      <c r="CE195" s="59">
        <f t="shared" si="148"/>
        <v>157.85954678210715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5.6309483158502767E-2</v>
      </c>
      <c r="CM195" s="21">
        <f>EXP(-LN(2)/2)*CM194+(1-EXP(-LN(2)/2))/(LN(2)/2)*CG195*CJ195*VLOOKUP('Données projet'!$B$12,Paramètres!$A$1:$I$89,3,0)*0.475*44/12</f>
        <v>3.051193723943678E-24</v>
      </c>
      <c r="CN195" s="22">
        <f t="shared" si="172"/>
        <v>5.6309483158502767E-2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2.8421709430404007E-14</v>
      </c>
      <c r="O196" s="13">
        <f>N196*VLOOKUP('Données projet'!$B$9,Paramètres!$A$1:$I$89,3,0)*VLOOKUP('Données projet'!$B$9,Paramètres!$A$1:$I$89,5,0)</f>
        <v>2.5715962692629544E-14</v>
      </c>
      <c r="P196" s="13">
        <f t="shared" si="141"/>
        <v>4.5248818890525812E-13</v>
      </c>
      <c r="Q196" s="20">
        <f t="shared" si="162"/>
        <v>8.3287223069965432E-13</v>
      </c>
      <c r="R196" s="59">
        <f t="shared" si="191"/>
        <v>293.33333333333417</v>
      </c>
      <c r="S196" s="59">
        <f ca="1">AVERAGE(OFFSET($R$3,0,0,'Données projet'!$E$9+1,1))-AVERAGE(OFFSET($H$3,0,0,'Données projet'!$E$9+1,1))</f>
        <v>138.8931001150624</v>
      </c>
      <c r="T196" s="59">
        <f t="shared" si="142"/>
        <v>48.964659354096625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-8.5265128291212022E-14</v>
      </c>
      <c r="AJ196" s="13">
        <f>AI196*VLOOKUP('Données projet'!$B$10,Paramètres!$A$1:$I$89,3,0)*VLOOKUP('Données projet'!$B$10,Paramètres!$A$1:$I$89,5,0)</f>
        <v>-7.4487616075202836E-14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191.94797389630673</v>
      </c>
      <c r="AO196" s="59">
        <f t="shared" si="144"/>
        <v>273.52540822767878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0.10204228774283441</v>
      </c>
      <c r="AV196" s="21">
        <f>EXP(-LN(2)/25)*AV195+(1-EXP(-LN(2)/25))/(LN(2)/25)*Calculateur!AQ196*Calculateur!AS196*VLOOKUP('Données projet'!$B$10,Paramètres!$A$1:$I$89,3,0)*0.475*44/12</f>
        <v>0.1530747632707139</v>
      </c>
      <c r="AW196" s="21">
        <f>EXP(-LN(2)/2)*AW195+(1-EXP(-LN(2)/2))/(LN(2)/2)*AQ196*AT196*VLOOKUP('Données projet'!$B$10,Paramètres!$A$1:$I$89,3,0)*0.475*44/12</f>
        <v>6.7857939952123946E-24</v>
      </c>
      <c r="AX196" s="21">
        <f t="shared" si="166"/>
        <v>0.25511705101354831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-3.4106051316484809E-13</v>
      </c>
      <c r="BE196" s="13">
        <f>BD196*VLOOKUP('Données projet'!$B$11,Paramètres!$A$1:$I$89,3,0)*VLOOKUP('Données projet'!$B$11,Paramètres!$A$1:$I$89,5,0)</f>
        <v>-1.9065282685915009E-13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279.98352834501759</v>
      </c>
      <c r="BJ196" s="59">
        <f t="shared" si="146"/>
        <v>281.30062655265488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0.15841242250399701</v>
      </c>
      <c r="BQ196" s="21">
        <f>EXP(-LN(2)/25)*BQ195+(1-EXP(-LN(2)/25))/(LN(2)/25)*Calculateur!BL196*Calculateur!BN196*VLOOKUP('Données projet'!$B$11,Paramètres!$A$1:$I$89,3,0)*0.475*44/12</f>
        <v>0.26398735243883426</v>
      </c>
      <c r="BR196" s="21">
        <f>EXP(-LN(2)/2)*BR195+(1-EXP(-LN(2)/2))/(LN(2)/2)*BL196*BO196*VLOOKUP('Données projet'!$B$11,Paramètres!$A$1:$I$89,3,0)*0.475*44/12</f>
        <v>8.2814187846251822E-24</v>
      </c>
      <c r="BS196" s="22">
        <f t="shared" si="169"/>
        <v>0.42239977494283126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-8.5265128291212022E-14</v>
      </c>
      <c r="BZ196" s="13">
        <f>BY196*VLOOKUP('Données projet'!$B$12,Paramètres!$A$1:$I$89,3,0)*VLOOKUP('Données projet'!$B$12,Paramètres!$A$1:$I$89,5,0)</f>
        <v>-6.2516392063116648E-14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124.15919323713428</v>
      </c>
      <c r="CE196" s="59">
        <f t="shared" si="148"/>
        <v>157.85954678210715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5.476969738034649E-2</v>
      </c>
      <c r="CM196" s="21">
        <f>EXP(-LN(2)/2)*CM195+(1-EXP(-LN(2)/2))/(LN(2)/2)*CG196*CJ196*VLOOKUP('Données projet'!$B$12,Paramètres!$A$1:$I$89,3,0)*0.475*44/12</f>
        <v>2.1575197729144094E-24</v>
      </c>
      <c r="CN196" s="22">
        <f t="shared" si="172"/>
        <v>5.476969738034649E-2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2.8421709430404007E-14</v>
      </c>
      <c r="O197" s="13">
        <f>N197*VLOOKUP('Données projet'!$B$9,Paramètres!$A$1:$I$89,3,0)*VLOOKUP('Données projet'!$B$9,Paramètres!$A$1:$I$89,5,0)</f>
        <v>2.5715962692629544E-14</v>
      </c>
      <c r="P197" s="13">
        <f t="shared" ref="P197:P203" si="203">EXP(-1.0587+0.8836*LN(O197)+0.284)</f>
        <v>4.5248818890525812E-13</v>
      </c>
      <c r="Q197" s="20">
        <f t="shared" si="162"/>
        <v>8.3287223069965432E-13</v>
      </c>
      <c r="R197" s="59">
        <f t="shared" si="191"/>
        <v>293.33333333333417</v>
      </c>
      <c r="S197" s="59">
        <f ca="1">AVERAGE(OFFSET($R$3,0,0,'Données projet'!$E$9+1,1))-AVERAGE(OFFSET($H$3,0,0,'Données projet'!$E$9+1,1))</f>
        <v>138.8931001150624</v>
      </c>
      <c r="T197" s="59">
        <f t="shared" ref="T197:T203" si="204">$T$3</f>
        <v>48.964659354096625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-8.5265128291212022E-14</v>
      </c>
      <c r="AJ197" s="13">
        <f>AI197*VLOOKUP('Données projet'!$B$10,Paramètres!$A$1:$I$89,3,0)*VLOOKUP('Données projet'!$B$10,Paramètres!$A$1:$I$89,5,0)</f>
        <v>-7.4487616075202836E-14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191.94797389630673</v>
      </c>
      <c r="AO197" s="59">
        <f t="shared" ref="AO197:AO203" si="205">$AO$3</f>
        <v>273.52540822767878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0.10004130071984731</v>
      </c>
      <c r="AV197" s="21">
        <f>EXP(-LN(2)/25)*AV196+(1-EXP(-LN(2)/25))/(LN(2)/25)*Calculateur!AQ197*Calculateur!AS197*VLOOKUP('Données projet'!$B$10,Paramètres!$A$1:$I$89,3,0)*0.475*44/12</f>
        <v>0.14888892581922428</v>
      </c>
      <c r="AW197" s="21">
        <f>EXP(-LN(2)/2)*AW196+(1-EXP(-LN(2)/2))/(LN(2)/2)*AQ197*AT197*VLOOKUP('Données projet'!$B$10,Paramètres!$A$1:$I$89,3,0)*0.475*44/12</f>
        <v>4.798280949749639E-24</v>
      </c>
      <c r="AX197" s="21">
        <f t="shared" si="166"/>
        <v>0.2489302265390716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-3.4106051316484809E-13</v>
      </c>
      <c r="BE197" s="13">
        <f>BD197*VLOOKUP('Données projet'!$B$11,Paramètres!$A$1:$I$89,3,0)*VLOOKUP('Données projet'!$B$11,Paramètres!$A$1:$I$89,5,0)</f>
        <v>-1.9065282685915009E-13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279.98352834501759</v>
      </c>
      <c r="BJ197" s="59">
        <f t="shared" ref="BJ197:BJ203" si="206">$BJ$3</f>
        <v>281.30062655265488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0.15530605152073071</v>
      </c>
      <c r="BQ197" s="21">
        <f>EXP(-LN(2)/25)*BQ196+(1-EXP(-LN(2)/25))/(LN(2)/25)*Calculateur!BL197*Calculateur!BN197*VLOOKUP('Données projet'!$B$11,Paramètres!$A$1:$I$89,3,0)*0.475*44/12</f>
        <v>0.25676860440390281</v>
      </c>
      <c r="BR197" s="21">
        <f>EXP(-LN(2)/2)*BR196+(1-EXP(-LN(2)/2))/(LN(2)/2)*BL197*BO197*VLOOKUP('Données projet'!$B$11,Paramètres!$A$1:$I$89,3,0)*0.475*44/12</f>
        <v>5.8558473804541231E-24</v>
      </c>
      <c r="BS197" s="22">
        <f t="shared" si="169"/>
        <v>0.41207465592463355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-8.5265128291212022E-14</v>
      </c>
      <c r="BZ197" s="13">
        <f>BY197*VLOOKUP('Données projet'!$B$12,Paramètres!$A$1:$I$89,3,0)*VLOOKUP('Données projet'!$B$12,Paramètres!$A$1:$I$89,5,0)</f>
        <v>-6.2516392063116648E-14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124.15919323713428</v>
      </c>
      <c r="CE197" s="59">
        <f t="shared" ref="CE197:CE203" si="207">$CE$3</f>
        <v>157.85954678210715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5.3272017125267711E-2</v>
      </c>
      <c r="CM197" s="21">
        <f>EXP(-LN(2)/2)*CM196+(1-EXP(-LN(2)/2))/(LN(2)/2)*CG197*CJ197*VLOOKUP('Données projet'!$B$12,Paramètres!$A$1:$I$89,3,0)*0.475*44/12</f>
        <v>1.525596861971839E-24</v>
      </c>
      <c r="CN197" s="22">
        <f t="shared" si="172"/>
        <v>5.3272017125267711E-2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2.8421709430404007E-14</v>
      </c>
      <c r="O198" s="13">
        <f>N198*VLOOKUP('Données projet'!$B$9,Paramètres!$A$1:$I$89,3,0)*VLOOKUP('Données projet'!$B$9,Paramètres!$A$1:$I$89,5,0)</f>
        <v>2.5715962692629544E-14</v>
      </c>
      <c r="P198" s="13">
        <f t="shared" si="203"/>
        <v>4.5248818890525812E-13</v>
      </c>
      <c r="Q198" s="20">
        <f t="shared" si="162"/>
        <v>8.3287223069965432E-13</v>
      </c>
      <c r="R198" s="59">
        <f t="shared" si="191"/>
        <v>293.33333333333417</v>
      </c>
      <c r="S198" s="59">
        <f ca="1">AVERAGE(OFFSET($R$3,0,0,'Données projet'!$E$9+1,1))-AVERAGE(OFFSET($H$3,0,0,'Données projet'!$E$9+1,1))</f>
        <v>138.8931001150624</v>
      </c>
      <c r="T198" s="59">
        <f t="shared" si="204"/>
        <v>48.964659354096625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-8.5265128291212022E-14</v>
      </c>
      <c r="AJ198" s="13">
        <f>AI198*VLOOKUP('Données projet'!$B$10,Paramètres!$A$1:$I$89,3,0)*VLOOKUP('Données projet'!$B$10,Paramètres!$A$1:$I$89,5,0)</f>
        <v>-7.4487616075202836E-14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191.94797389630673</v>
      </c>
      <c r="AO198" s="59">
        <f t="shared" si="205"/>
        <v>273.52540822767878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9.8079551831899398E-2</v>
      </c>
      <c r="AV198" s="21">
        <f>EXP(-LN(2)/25)*AV197+(1-EXP(-LN(2)/25))/(LN(2)/25)*Calculateur!AQ198*Calculateur!AS198*VLOOKUP('Données projet'!$B$10,Paramètres!$A$1:$I$89,3,0)*0.475*44/12</f>
        <v>0.14481755031296928</v>
      </c>
      <c r="AW198" s="21">
        <f>EXP(-LN(2)/2)*AW197+(1-EXP(-LN(2)/2))/(LN(2)/2)*AQ198*AT198*VLOOKUP('Données projet'!$B$10,Paramètres!$A$1:$I$89,3,0)*0.475*44/12</f>
        <v>3.3928969976061973E-24</v>
      </c>
      <c r="AX198" s="21">
        <f t="shared" si="166"/>
        <v>0.24289710214486868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-3.4106051316484809E-13</v>
      </c>
      <c r="BE198" s="13">
        <f>BD198*VLOOKUP('Données projet'!$B$11,Paramètres!$A$1:$I$89,3,0)*VLOOKUP('Données projet'!$B$11,Paramètres!$A$1:$I$89,5,0)</f>
        <v>-1.9065282685915009E-13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279.98352834501759</v>
      </c>
      <c r="BJ198" s="59">
        <f t="shared" si="206"/>
        <v>281.30062655265488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0.15226059457774707</v>
      </c>
      <c r="BQ198" s="21">
        <f>EXP(-LN(2)/25)*BQ197+(1-EXP(-LN(2)/25))/(LN(2)/25)*Calculateur!BL198*Calculateur!BN198*VLOOKUP('Données projet'!$B$11,Paramètres!$A$1:$I$89,3,0)*0.475*44/12</f>
        <v>0.24974725341360404</v>
      </c>
      <c r="BR198" s="21">
        <f>EXP(-LN(2)/2)*BR197+(1-EXP(-LN(2)/2))/(LN(2)/2)*BL198*BO198*VLOOKUP('Données projet'!$B$11,Paramètres!$A$1:$I$89,3,0)*0.475*44/12</f>
        <v>4.1407093923125911E-24</v>
      </c>
      <c r="BS198" s="22">
        <f t="shared" si="169"/>
        <v>0.40200784799135114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-8.5265128291212022E-14</v>
      </c>
      <c r="BZ198" s="13">
        <f>BY198*VLOOKUP('Données projet'!$B$12,Paramètres!$A$1:$I$89,3,0)*VLOOKUP('Données projet'!$B$12,Paramètres!$A$1:$I$89,5,0)</f>
        <v>-6.2516392063116648E-14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124.15919323713428</v>
      </c>
      <c r="CE198" s="59">
        <f t="shared" si="207"/>
        <v>157.85954678210715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5.1815291015523637E-2</v>
      </c>
      <c r="CM198" s="21">
        <f>EXP(-LN(2)/2)*CM197+(1-EXP(-LN(2)/2))/(LN(2)/2)*CG198*CJ198*VLOOKUP('Données projet'!$B$12,Paramètres!$A$1:$I$89,3,0)*0.475*44/12</f>
        <v>1.0787598864572047E-24</v>
      </c>
      <c r="CN198" s="22">
        <f t="shared" si="172"/>
        <v>5.1815291015523637E-2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2.8421709430404007E-14</v>
      </c>
      <c r="O199" s="13">
        <f>N199*VLOOKUP('Données projet'!$B$9,Paramètres!$A$1:$I$89,3,0)*VLOOKUP('Données projet'!$B$9,Paramètres!$A$1:$I$89,5,0)</f>
        <v>2.5715962692629544E-14</v>
      </c>
      <c r="P199" s="13">
        <f t="shared" si="203"/>
        <v>4.5248818890525812E-13</v>
      </c>
      <c r="Q199" s="20">
        <f t="shared" si="162"/>
        <v>8.3287223069965432E-13</v>
      </c>
      <c r="R199" s="59">
        <f t="shared" si="191"/>
        <v>293.33333333333417</v>
      </c>
      <c r="S199" s="59">
        <f ca="1">AVERAGE(OFFSET($R$3,0,0,'Données projet'!$E$9+1,1))-AVERAGE(OFFSET($H$3,0,0,'Données projet'!$E$9+1,1))</f>
        <v>138.8931001150624</v>
      </c>
      <c r="T199" s="59">
        <f t="shared" si="204"/>
        <v>48.964659354096625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-8.5265128291212022E-14</v>
      </c>
      <c r="AJ199" s="13">
        <f>AI199*VLOOKUP('Données projet'!$B$10,Paramètres!$A$1:$I$89,3,0)*VLOOKUP('Données projet'!$B$10,Paramètres!$A$1:$I$89,5,0)</f>
        <v>-7.4487616075202836E-14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191.94797389630673</v>
      </c>
      <c r="AO199" s="59">
        <f t="shared" si="205"/>
        <v>273.52540822767878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9.6156271643095481E-2</v>
      </c>
      <c r="AV199" s="21">
        <f>EXP(-LN(2)/25)*AV198+(1-EXP(-LN(2)/25))/(LN(2)/25)*Calculateur!AQ199*Calculateur!AS199*VLOOKUP('Données projet'!$B$10,Paramètres!$A$1:$I$89,3,0)*0.475*44/12</f>
        <v>0.14085750678403713</v>
      </c>
      <c r="AW199" s="21">
        <f>EXP(-LN(2)/2)*AW198+(1-EXP(-LN(2)/2))/(LN(2)/2)*AQ199*AT199*VLOOKUP('Données projet'!$B$10,Paramètres!$A$1:$I$89,3,0)*0.475*44/12</f>
        <v>2.3991404748748195E-24</v>
      </c>
      <c r="AX199" s="21">
        <f t="shared" si="166"/>
        <v>0.23701377842713262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-3.4106051316484809E-13</v>
      </c>
      <c r="BE199" s="13">
        <f>BD199*VLOOKUP('Données projet'!$B$11,Paramètres!$A$1:$I$89,3,0)*VLOOKUP('Données projet'!$B$11,Paramètres!$A$1:$I$89,5,0)</f>
        <v>-1.9065282685915009E-13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279.98352834501759</v>
      </c>
      <c r="BJ199" s="59">
        <f t="shared" si="206"/>
        <v>281.30062655265488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0.14927485718787001</v>
      </c>
      <c r="BQ199" s="21">
        <f>EXP(-LN(2)/25)*BQ198+(1-EXP(-LN(2)/25))/(LN(2)/25)*Calculateur!BL199*Calculateur!BN199*VLOOKUP('Données projet'!$B$11,Paramètres!$A$1:$I$89,3,0)*0.475*44/12</f>
        <v>0.24291790163537177</v>
      </c>
      <c r="BR199" s="21">
        <f>EXP(-LN(2)/2)*BR198+(1-EXP(-LN(2)/2))/(LN(2)/2)*BL199*BO199*VLOOKUP('Données projet'!$B$11,Paramètres!$A$1:$I$89,3,0)*0.475*44/12</f>
        <v>2.9279236902270615E-24</v>
      </c>
      <c r="BS199" s="22">
        <f t="shared" si="169"/>
        <v>0.39219275882324178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-8.5265128291212022E-14</v>
      </c>
      <c r="BZ199" s="13">
        <f>BY199*VLOOKUP('Données projet'!$B$12,Paramètres!$A$1:$I$89,3,0)*VLOOKUP('Données projet'!$B$12,Paramètres!$A$1:$I$89,5,0)</f>
        <v>-6.2516392063116648E-14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124.15919323713428</v>
      </c>
      <c r="CE199" s="59">
        <f t="shared" si="207"/>
        <v>157.85954678210715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5.0398399157856412E-2</v>
      </c>
      <c r="CM199" s="21">
        <f>EXP(-LN(2)/2)*CM198+(1-EXP(-LN(2)/2))/(LN(2)/2)*CG199*CJ199*VLOOKUP('Données projet'!$B$12,Paramètres!$A$1:$I$89,3,0)*0.475*44/12</f>
        <v>7.6279843098591949E-25</v>
      </c>
      <c r="CN199" s="22">
        <f t="shared" si="172"/>
        <v>5.0398399157856412E-2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2.8421709430404007E-14</v>
      </c>
      <c r="O200" s="13">
        <f>N200*VLOOKUP('Données projet'!$B$9,Paramètres!$A$1:$I$89,3,0)*VLOOKUP('Données projet'!$B$9,Paramètres!$A$1:$I$89,5,0)</f>
        <v>2.5715962692629544E-14</v>
      </c>
      <c r="P200" s="13">
        <f t="shared" si="203"/>
        <v>4.5248818890525812E-13</v>
      </c>
      <c r="Q200" s="20">
        <f t="shared" si="162"/>
        <v>8.3287223069965432E-13</v>
      </c>
      <c r="R200" s="59">
        <f t="shared" si="191"/>
        <v>293.33333333333417</v>
      </c>
      <c r="S200" s="59">
        <f ca="1">AVERAGE(OFFSET($R$3,0,0,'Données projet'!$E$9+1,1))-AVERAGE(OFFSET($H$3,0,0,'Données projet'!$E$9+1,1))</f>
        <v>138.8931001150624</v>
      </c>
      <c r="T200" s="59">
        <f t="shared" si="204"/>
        <v>48.964659354096625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-8.5265128291212022E-14</v>
      </c>
      <c r="AJ200" s="13">
        <f>AI200*VLOOKUP('Données projet'!$B$10,Paramètres!$A$1:$I$89,3,0)*VLOOKUP('Données projet'!$B$10,Paramètres!$A$1:$I$89,5,0)</f>
        <v>-7.4487616075202836E-14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191.94797389630673</v>
      </c>
      <c r="AO200" s="59">
        <f t="shared" si="205"/>
        <v>273.52540822767878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9.4270705805708926E-2</v>
      </c>
      <c r="AV200" s="21">
        <f>EXP(-LN(2)/25)*AV199+(1-EXP(-LN(2)/25))/(LN(2)/25)*Calculateur!AQ200*Calculateur!AS200*VLOOKUP('Données projet'!$B$10,Paramètres!$A$1:$I$89,3,0)*0.475*44/12</f>
        <v>0.1370057508536533</v>
      </c>
      <c r="AW200" s="21">
        <f>EXP(-LN(2)/2)*AW199+(1-EXP(-LN(2)/2))/(LN(2)/2)*AQ200*AT200*VLOOKUP('Données projet'!$B$10,Paramètres!$A$1:$I$89,3,0)*0.475*44/12</f>
        <v>1.6964484988030986E-24</v>
      </c>
      <c r="AX200" s="21">
        <f t="shared" si="166"/>
        <v>0.23127645665936222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-3.4106051316484809E-13</v>
      </c>
      <c r="BE200" s="13">
        <f>BD200*VLOOKUP('Données projet'!$B$11,Paramètres!$A$1:$I$89,3,0)*VLOOKUP('Données projet'!$B$11,Paramètres!$A$1:$I$89,5,0)</f>
        <v>-1.9065282685915009E-13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279.98352834501759</v>
      </c>
      <c r="BJ200" s="59">
        <f t="shared" si="206"/>
        <v>281.30062655265488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0.14634766828708845</v>
      </c>
      <c r="BQ200" s="21">
        <f>EXP(-LN(2)/25)*BQ199+(1-EXP(-LN(2)/25))/(LN(2)/25)*Calculateur!BL200*Calculateur!BN200*VLOOKUP('Données projet'!$B$11,Paramètres!$A$1:$I$89,3,0)*0.475*44/12</f>
        <v>0.23627529884065529</v>
      </c>
      <c r="BR200" s="21">
        <f>EXP(-LN(2)/2)*BR199+(1-EXP(-LN(2)/2))/(LN(2)/2)*BL200*BO200*VLOOKUP('Données projet'!$B$11,Paramètres!$A$1:$I$89,3,0)*0.475*44/12</f>
        <v>2.0703546961562955E-24</v>
      </c>
      <c r="BS200" s="22">
        <f t="shared" si="169"/>
        <v>0.38262296712774374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-8.5265128291212022E-14</v>
      </c>
      <c r="BZ200" s="13">
        <f>BY200*VLOOKUP('Données projet'!$B$12,Paramètres!$A$1:$I$89,3,0)*VLOOKUP('Données projet'!$B$12,Paramètres!$A$1:$I$89,5,0)</f>
        <v>-6.2516392063116648E-14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124.15919323713428</v>
      </c>
      <c r="CE200" s="59">
        <f t="shared" si="207"/>
        <v>157.85954678210715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4.90202522825482E-2</v>
      </c>
      <c r="CM200" s="21">
        <f>EXP(-LN(2)/2)*CM199+(1-EXP(-LN(2)/2))/(LN(2)/2)*CG200*CJ200*VLOOKUP('Données projet'!$B$12,Paramètres!$A$1:$I$89,3,0)*0.475*44/12</f>
        <v>5.3937994322860234E-25</v>
      </c>
      <c r="CN200" s="22">
        <f t="shared" si="172"/>
        <v>4.90202522825482E-2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2.8421709430404007E-14</v>
      </c>
      <c r="O201" s="13">
        <f>N201*VLOOKUP('Données projet'!$B$9,Paramètres!$A$1:$I$89,3,0)*VLOOKUP('Données projet'!$B$9,Paramètres!$A$1:$I$89,5,0)</f>
        <v>2.5715962692629544E-14</v>
      </c>
      <c r="P201" s="13">
        <f t="shared" si="203"/>
        <v>4.5248818890525812E-13</v>
      </c>
      <c r="Q201" s="20">
        <f t="shared" si="162"/>
        <v>8.3287223069965432E-13</v>
      </c>
      <c r="R201" s="59">
        <f t="shared" si="191"/>
        <v>293.33333333333417</v>
      </c>
      <c r="S201" s="59">
        <f ca="1">AVERAGE(OFFSET($R$3,0,0,'Données projet'!$E$9+1,1))-AVERAGE(OFFSET($H$3,0,0,'Données projet'!$E$9+1,1))</f>
        <v>138.8931001150624</v>
      </c>
      <c r="T201" s="59">
        <f t="shared" si="204"/>
        <v>48.964659354096625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-8.5265128291212022E-14</v>
      </c>
      <c r="AJ201" s="13">
        <f>AI201*VLOOKUP('Données projet'!$B$10,Paramètres!$A$1:$I$89,3,0)*VLOOKUP('Données projet'!$B$10,Paramètres!$A$1:$I$89,5,0)</f>
        <v>-7.4487616075202836E-14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191.94797389630673</v>
      </c>
      <c r="AO201" s="59">
        <f t="shared" si="205"/>
        <v>273.52540822767878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9.2422114764311919E-2</v>
      </c>
      <c r="AV201" s="21">
        <f>EXP(-LN(2)/25)*AV200+(1-EXP(-LN(2)/25))/(LN(2)/25)*Calculateur!AQ201*Calculateur!AS201*VLOOKUP('Données projet'!$B$10,Paramètres!$A$1:$I$89,3,0)*0.475*44/12</f>
        <v>0.13325932139174085</v>
      </c>
      <c r="AW201" s="21">
        <f>EXP(-LN(2)/2)*AW200+(1-EXP(-LN(2)/2))/(LN(2)/2)*AQ201*AT201*VLOOKUP('Données projet'!$B$10,Paramètres!$A$1:$I$89,3,0)*0.475*44/12</f>
        <v>1.1995702374374097E-24</v>
      </c>
      <c r="AX201" s="21">
        <f t="shared" si="166"/>
        <v>0.22568143615605277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-3.4106051316484809E-13</v>
      </c>
      <c r="BE201" s="13">
        <f>BD201*VLOOKUP('Données projet'!$B$11,Paramètres!$A$1:$I$89,3,0)*VLOOKUP('Données projet'!$B$11,Paramètres!$A$1:$I$89,5,0)</f>
        <v>-1.9065282685915009E-13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279.98352834501759</v>
      </c>
      <c r="BJ201" s="59">
        <f t="shared" si="206"/>
        <v>281.30062655265488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0.14347787977524229</v>
      </c>
      <c r="BQ201" s="21">
        <f>EXP(-LN(2)/25)*BQ200+(1-EXP(-LN(2)/25))/(LN(2)/25)*Calculateur!BL201*Calculateur!BN201*VLOOKUP('Données projet'!$B$11,Paramètres!$A$1:$I$89,3,0)*0.475*44/12</f>
        <v>0.22981433836867962</v>
      </c>
      <c r="BR201" s="21">
        <f>EXP(-LN(2)/2)*BR200+(1-EXP(-LN(2)/2))/(LN(2)/2)*BL201*BO201*VLOOKUP('Données projet'!$B$11,Paramètres!$A$1:$I$89,3,0)*0.475*44/12</f>
        <v>1.4639618451135308E-24</v>
      </c>
      <c r="BS201" s="22">
        <f t="shared" si="169"/>
        <v>0.37329221814392188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-8.5265128291212022E-14</v>
      </c>
      <c r="BZ201" s="13">
        <f>BY201*VLOOKUP('Données projet'!$B$12,Paramètres!$A$1:$I$89,3,0)*VLOOKUP('Données projet'!$B$12,Paramètres!$A$1:$I$89,5,0)</f>
        <v>-6.2516392063116648E-14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124.15919323713428</v>
      </c>
      <c r="CE201" s="59">
        <f t="shared" si="207"/>
        <v>157.85954678210715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4.7679790906018892E-2</v>
      </c>
      <c r="CM201" s="21">
        <f>EXP(-LN(2)/2)*CM200+(1-EXP(-LN(2)/2))/(LN(2)/2)*CG201*CJ201*VLOOKUP('Données projet'!$B$12,Paramètres!$A$1:$I$89,3,0)*0.475*44/12</f>
        <v>3.8139921549295975E-25</v>
      </c>
      <c r="CN201" s="22">
        <f t="shared" si="172"/>
        <v>4.7679790906018892E-2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2.8421709430404007E-14</v>
      </c>
      <c r="O202" s="13">
        <f>N202*VLOOKUP('Données projet'!$B$9,Paramètres!$A$1:$I$89,3,0)*VLOOKUP('Données projet'!$B$9,Paramètres!$A$1:$I$89,5,0)</f>
        <v>2.5715962692629544E-14</v>
      </c>
      <c r="P202" s="13">
        <f t="shared" si="203"/>
        <v>4.5248818890525812E-13</v>
      </c>
      <c r="Q202" s="20">
        <f t="shared" si="162"/>
        <v>8.3287223069965432E-13</v>
      </c>
      <c r="R202" s="59">
        <f t="shared" si="191"/>
        <v>293.33333333333417</v>
      </c>
      <c r="S202" s="59">
        <f ca="1">AVERAGE(OFFSET($R$3,0,0,'Données projet'!$E$9+1,1))-AVERAGE(OFFSET($H$3,0,0,'Données projet'!$E$9+1,1))</f>
        <v>138.8931001150624</v>
      </c>
      <c r="T202" s="59">
        <f t="shared" si="204"/>
        <v>48.964659354096625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-8.5265128291212022E-14</v>
      </c>
      <c r="AJ202" s="13">
        <f>AI202*VLOOKUP('Données projet'!$B$10,Paramètres!$A$1:$I$89,3,0)*VLOOKUP('Données projet'!$B$10,Paramètres!$A$1:$I$89,5,0)</f>
        <v>-7.4487616075202836E-14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191.94797389630673</v>
      </c>
      <c r="AO202" s="59">
        <f t="shared" si="205"/>
        <v>273.52540822767878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9.0609773465707505E-2</v>
      </c>
      <c r="AV202" s="21">
        <f>EXP(-LN(2)/25)*AV201+(1-EXP(-LN(2)/25))/(LN(2)/25)*Calculateur!AQ202*Calculateur!AS202*VLOOKUP('Données projet'!$B$10,Paramètres!$A$1:$I$89,3,0)*0.475*44/12</f>
        <v>0.12961533824048055</v>
      </c>
      <c r="AW202" s="21">
        <f>EXP(-LN(2)/2)*AW201+(1-EXP(-LN(2)/2))/(LN(2)/2)*AQ202*AT202*VLOOKUP('Données projet'!$B$10,Paramètres!$A$1:$I$89,3,0)*0.475*44/12</f>
        <v>8.4822424940154932E-25</v>
      </c>
      <c r="AX202" s="21">
        <f t="shared" si="166"/>
        <v>0.22022511170618805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-3.4106051316484809E-13</v>
      </c>
      <c r="BE202" s="13">
        <f>BD202*VLOOKUP('Données projet'!$B$11,Paramètres!$A$1:$I$89,3,0)*VLOOKUP('Données projet'!$B$11,Paramètres!$A$1:$I$89,5,0)</f>
        <v>-1.9065282685915009E-13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279.98352834501759</v>
      </c>
      <c r="BJ202" s="59">
        <f t="shared" si="206"/>
        <v>281.30062655265488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0.14066436606571528</v>
      </c>
      <c r="BQ202" s="21">
        <f>EXP(-LN(2)/25)*BQ201+(1-EXP(-LN(2)/25))/(LN(2)/25)*Calculateur!BL202*Calculateur!BN202*VLOOKUP('Données projet'!$B$11,Paramètres!$A$1:$I$89,3,0)*0.475*44/12</f>
        <v>0.22353005320057728</v>
      </c>
      <c r="BR202" s="21">
        <f>EXP(-LN(2)/2)*BR201+(1-EXP(-LN(2)/2))/(LN(2)/2)*BL202*BO202*VLOOKUP('Données projet'!$B$11,Paramètres!$A$1:$I$89,3,0)*0.475*44/12</f>
        <v>1.0351773480781478E-24</v>
      </c>
      <c r="BS202" s="22">
        <f t="shared" si="169"/>
        <v>0.36419441926629259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-8.5265128291212022E-14</v>
      </c>
      <c r="BZ202" s="13">
        <f>BY202*VLOOKUP('Données projet'!$B$12,Paramètres!$A$1:$I$89,3,0)*VLOOKUP('Données projet'!$B$12,Paramètres!$A$1:$I$89,5,0)</f>
        <v>-6.2516392063116648E-14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124.15919323713428</v>
      </c>
      <c r="CE202" s="59">
        <f t="shared" si="207"/>
        <v>157.85954678210715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4.6375984516322577E-2</v>
      </c>
      <c r="CM202" s="21">
        <f>EXP(-LN(2)/2)*CM201+(1-EXP(-LN(2)/2))/(LN(2)/2)*CG202*CJ202*VLOOKUP('Données projet'!$B$12,Paramètres!$A$1:$I$89,3,0)*0.475*44/12</f>
        <v>2.6968997161430117E-25</v>
      </c>
      <c r="CN202" s="22">
        <f t="shared" si="172"/>
        <v>4.6375984516322577E-2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2.8421709430404007E-14</v>
      </c>
      <c r="O203" s="13">
        <f>N203*VLOOKUP('Données projet'!$B$9,Paramètres!$A$1:$I$89,3,0)*VLOOKUP('Données projet'!$B$9,Paramètres!$A$1:$I$89,5,0)</f>
        <v>2.5715962692629544E-14</v>
      </c>
      <c r="P203" s="13">
        <f t="shared" si="203"/>
        <v>4.5248818890525812E-13</v>
      </c>
      <c r="Q203" s="20">
        <f t="shared" si="162"/>
        <v>8.3287223069965432E-13</v>
      </c>
      <c r="R203" s="59">
        <f t="shared" si="191"/>
        <v>293.33333333333417</v>
      </c>
      <c r="S203" s="59">
        <f ca="1">AVERAGE(OFFSET($R$3,0,0,'Données projet'!$E$9+1,1))-AVERAGE(OFFSET($H$3,0,0,'Données projet'!$E$9+1,1))</f>
        <v>138.8931001150624</v>
      </c>
      <c r="T203" s="59">
        <f t="shared" si="204"/>
        <v>48.964659354096625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-8.5265128291212022E-14</v>
      </c>
      <c r="AJ203" s="13">
        <f>AI203*VLOOKUP('Données projet'!$B$10,Paramètres!$A$1:$I$89,3,0)*VLOOKUP('Données projet'!$B$10,Paramètres!$A$1:$I$89,5,0)</f>
        <v>-7.4487616075202836E-14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191.94797389630673</v>
      </c>
      <c r="AO203" s="59">
        <f t="shared" si="205"/>
        <v>273.52540822767878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8.8832971074549683E-2</v>
      </c>
      <c r="AV203" s="21">
        <f>EXP(-LN(2)/25)*AV202+(1-EXP(-LN(2)/25))/(LN(2)/25)*Calculateur!AQ203*Calculateur!AS203*VLOOKUP('Données projet'!$B$10,Paramètres!$A$1:$I$89,3,0)*0.475*44/12</f>
        <v>0.1260710000001202</v>
      </c>
      <c r="AW203" s="21">
        <f>EXP(-LN(2)/2)*AW202+(1-EXP(-LN(2)/2))/(LN(2)/2)*AQ203*AT203*VLOOKUP('Données projet'!$B$10,Paramètres!$A$1:$I$89,3,0)*0.475*44/12</f>
        <v>5.9978511871870487E-25</v>
      </c>
      <c r="AX203" s="21">
        <f t="shared" si="166"/>
        <v>0.21490397107466988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-3.4106051316484809E-13</v>
      </c>
      <c r="BE203" s="13">
        <f>BD203*VLOOKUP('Données projet'!$B$11,Paramètres!$A$1:$I$89,3,0)*VLOOKUP('Données projet'!$B$11,Paramètres!$A$1:$I$89,5,0)</f>
        <v>-1.9065282685915009E-13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279.98352834501759</v>
      </c>
      <c r="BJ203" s="59">
        <f t="shared" si="206"/>
        <v>281.30062655265488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0.13790602364395818</v>
      </c>
      <c r="BQ203" s="21">
        <f>EXP(-LN(2)/25)*BQ202+(1-EXP(-LN(2)/25))/(LN(2)/25)*Calculateur!BL203*Calculateur!BN203*VLOOKUP('Données projet'!$B$11,Paramètres!$A$1:$I$89,3,0)*0.475*44/12</f>
        <v>0.21741761214087288</v>
      </c>
      <c r="BR203" s="21">
        <f>EXP(-LN(2)/2)*BR202+(1-EXP(-LN(2)/2))/(LN(2)/2)*BL203*BO203*VLOOKUP('Données projet'!$B$11,Paramètres!$A$1:$I$89,3,0)*0.475*44/12</f>
        <v>7.3198092255676539E-25</v>
      </c>
      <c r="BS203" s="22">
        <f t="shared" si="169"/>
        <v>0.35532363578483106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-8.5265128291212022E-14</v>
      </c>
      <c r="BZ203" s="13">
        <f>BY203*VLOOKUP('Données projet'!$B$12,Paramètres!$A$1:$I$89,3,0)*VLOOKUP('Données projet'!$B$12,Paramètres!$A$1:$I$89,5,0)</f>
        <v>-6.2516392063116648E-14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124.15919323713428</v>
      </c>
      <c r="CE203" s="59">
        <f t="shared" si="207"/>
        <v>157.85954678210715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4.5107830780916701E-2</v>
      </c>
      <c r="CM203" s="21">
        <f>EXP(-LN(2)/2)*CM202+(1-EXP(-LN(2)/2))/(LN(2)/2)*CG203*CJ203*VLOOKUP('Données projet'!$B$12,Paramètres!$A$1:$I$89,3,0)*0.475*44/12</f>
        <v>1.9069960774647987E-25</v>
      </c>
      <c r="CN203" s="22">
        <f t="shared" si="172"/>
        <v>4.5107830780916701E-2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1.1457367676485573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1.2620003197767753</v>
      </c>
      <c r="BA205" s="82">
        <f>EXP(LN('Données projet'!B88)/'Données projet'!A88)</f>
        <v>1.3013682980565777</v>
      </c>
      <c r="BV205" s="82">
        <f>EXP(LN('Données projet'!B114)/'Données projet'!A114)</f>
        <v>1.2240347367580502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2.67</v>
      </c>
      <c r="C6" s="147">
        <f ca="1">IF(OR('Données projet'!B9="",'Données projet'!C9="",'Données projet'!C9=0%),0,Calculateur!S3)</f>
        <v>138.8931001150624</v>
      </c>
      <c r="D6" s="147">
        <f>IF(OR('Données projet'!B9="",'Données projet'!C9="",'Données projet'!C9=0%),0,Calculateur!T3)</f>
        <v>48.964659354096625</v>
      </c>
      <c r="E6" s="147">
        <f ca="1">MIN(C6,D6)</f>
        <v>48.964659354096625</v>
      </c>
      <c r="F6" s="147">
        <f ca="1">E6*B6</f>
        <v>130.73564047543798</v>
      </c>
      <c r="G6" s="147">
        <f ca="1">F6*(100%-'Données projet'!$C$24)*(100%-'Données projet'!$C$25)*(100%-'Données projet'!$C$26)*(100%-'Données projet'!$C$27)</f>
        <v>117.66207642789418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117.66207642789418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rouge d'Amérique</v>
      </c>
      <c r="B7" s="154">
        <f>'Données projet'!D10</f>
        <v>0.80099999999999993</v>
      </c>
      <c r="C7" s="147">
        <f ca="1">IF(OR('Données projet'!B10="",'Données projet'!C10="",'Données projet'!C10=0%),0,Calculateur!AN3)</f>
        <v>191.94797389630673</v>
      </c>
      <c r="D7" s="147">
        <f>IF(OR('Données projet'!B10="",'Données projet'!C10="",'Données projet'!C10=0%),0,Calculateur!AO3)</f>
        <v>273.52540822767878</v>
      </c>
      <c r="E7" s="147">
        <f t="shared" ref="E7:E15" ca="1" si="0">MIN(C7,D7)</f>
        <v>191.94797389630673</v>
      </c>
      <c r="F7" s="147">
        <f t="shared" ref="F7:F15" ca="1" si="1">E7*B7</f>
        <v>153.75032709094168</v>
      </c>
      <c r="G7" s="147">
        <f ca="1">F7*(100%-'Données projet'!$C$24)*(100%-'Données projet'!$C$25)*(100%-'Données projet'!$C$26)*(100%-'Données projet'!$C$27)</f>
        <v>138.37529438184751</v>
      </c>
      <c r="H7" s="155">
        <f>IF(OR('Données projet'!B10="",'Données projet'!C10="",'Données projet'!C10=0%),0,AVERAGE(Calculateur!$AX$3:$AX$33)*B7)</f>
        <v>2.3497192736806567</v>
      </c>
      <c r="I7" s="149">
        <f>H7*(100%-'Données projet'!$C$24)*(100%-'Données projet'!$C$25)*(100%-'Données projet'!$C$26)*(100%-'Données projet'!$C$27)</f>
        <v>2.114747346312591</v>
      </c>
      <c r="J7" s="150">
        <f>IF(OR('Données projet'!B10="",'Données projet'!C10="",'Données projet'!C10=0%),0,SUM(Calculateur!$AQ$3:$AQ$33)*VLOOKUP('Données projet'!$B$10,Paramètres!$A$1:$I$89,9,0)*B7)</f>
        <v>18.823499999999999</v>
      </c>
      <c r="K7" s="151">
        <f>J7*(100%-'Données projet'!$C$24)*(100%-'Données projet'!$C$25)*(100%-'Données projet'!$C$26)*(100%-'Données projet'!$C$27)</f>
        <v>16.94115</v>
      </c>
      <c r="L7" s="152">
        <f t="shared" ref="L7:L15" ca="1" si="2">G7+I7+K7</f>
        <v>157.43119172816009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Douglas</v>
      </c>
      <c r="B8" s="154">
        <f>'Données projet'!D11</f>
        <v>1.335</v>
      </c>
      <c r="C8" s="147">
        <f ca="1">IF(OR('Données projet'!B11="",'Données projet'!C11="",'Données projet'!C11=0%),0,Calculateur!BI3)</f>
        <v>279.98352834501759</v>
      </c>
      <c r="D8" s="147">
        <f>IF(OR('Données projet'!B11="",'Données projet'!C11="",'Données projet'!C11=0%),0,Calculateur!BJ3)</f>
        <v>281.30062655265488</v>
      </c>
      <c r="E8" s="147">
        <f t="shared" ca="1" si="0"/>
        <v>279.98352834501759</v>
      </c>
      <c r="F8" s="147">
        <f t="shared" ca="1" si="1"/>
        <v>373.77801034059848</v>
      </c>
      <c r="G8" s="147">
        <f ca="1">F8*(100%-'Données projet'!$C$24)*(100%-'Données projet'!$C$25)*(100%-'Données projet'!$C$26)*(100%-'Données projet'!$C$27)</f>
        <v>336.40020930653867</v>
      </c>
      <c r="H8" s="155">
        <f>IF(OR('Données projet'!B11="",'Données projet'!C11="",'Données projet'!C11=0%),0,AVERAGE(Calculateur!$BS$3:$BS$33)*B8)</f>
        <v>7.4588074390357031</v>
      </c>
      <c r="I8" s="149">
        <f>H8*(100%-'Données projet'!$C$24)*(100%-'Données projet'!$C$25)*(100%-'Données projet'!$C$26)*(100%-'Données projet'!$C$27)</f>
        <v>6.7129266951321327</v>
      </c>
      <c r="J8" s="150">
        <f>IF(OR('Données projet'!B11="",'Données projet'!C11="",'Données projet'!C11=0%),0,SUM(Calculateur!$BL$3:$BL$33)*VLOOKUP('Données projet'!$B$11,Paramètres!$A$1:$I$89,9,0)*B8)</f>
        <v>79.79294999999999</v>
      </c>
      <c r="K8" s="151">
        <f>J8*(100%-'Données projet'!$C$24)*(100%-'Données projet'!$C$25)*(100%-'Données projet'!$C$26)*(100%-'Données projet'!$C$27)</f>
        <v>71.813654999999997</v>
      </c>
      <c r="L8" s="152">
        <f t="shared" ca="1" si="2"/>
        <v>414.92679100167078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Châtaignier</v>
      </c>
      <c r="B9" s="154">
        <f>'Données projet'!D12</f>
        <v>0.53400000000000003</v>
      </c>
      <c r="C9" s="147">
        <f ca="1">IF(OR('Données projet'!B12="",'Données projet'!C12="",'Données projet'!C12=0%),0,Calculateur!CD3)</f>
        <v>124.15919323713428</v>
      </c>
      <c r="D9" s="147">
        <f>IF(OR('Données projet'!B12="",'Données projet'!C12="",'Données projet'!C12=0%),0,Calculateur!CE3)</f>
        <v>157.85954678210715</v>
      </c>
      <c r="E9" s="147">
        <f t="shared" ca="1" si="0"/>
        <v>124.15919323713428</v>
      </c>
      <c r="F9" s="147">
        <f t="shared" ca="1" si="1"/>
        <v>66.301009188629706</v>
      </c>
      <c r="G9" s="147">
        <f ca="1">F9*(100%-'Données projet'!$C$24)*(100%-'Données projet'!$C$25)*(100%-'Données projet'!$C$26)*(100%-'Données projet'!$C$27)</f>
        <v>59.670908269766734</v>
      </c>
      <c r="H9" s="155">
        <f>IF(OR('Données projet'!B12="",'Données projet'!C12="",'Données projet'!C12=0%),0,AVERAGE(Calculateur!$CN$3:$CN$33)*B9)</f>
        <v>0.69859763554905951</v>
      </c>
      <c r="I9" s="149">
        <f>H9*(100%-'Données projet'!$C$24)*(100%-'Données projet'!$C$25)*(100%-'Données projet'!$C$26)*(100%-'Données projet'!$C$27)</f>
        <v>0.62873787199415354</v>
      </c>
      <c r="J9" s="150">
        <f>IF(OR('Données projet'!B12="",'Données projet'!C12="",'Données projet'!C12=0%),0,SUM(Calculateur!$CG$3:$CG$33)*VLOOKUP('Données projet'!$B$12,Paramètres!$A$1:$I$89,9,0)*B9)</f>
        <v>8.4105000000000008</v>
      </c>
      <c r="K9" s="151">
        <f>J9*(100%-'Données projet'!$C$24)*(100%-'Données projet'!$C$25)*(100%-'Données projet'!$C$26)*(100%-'Données projet'!$C$27)</f>
        <v>7.5694500000000007</v>
      </c>
      <c r="L9" s="152">
        <f t="shared" ca="1" si="2"/>
        <v>67.869096141760892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724.56498709560788</v>
      </c>
      <c r="G16" s="166">
        <f t="shared" ca="1" si="3"/>
        <v>652.10848838604704</v>
      </c>
      <c r="H16" s="167">
        <f t="shared" si="3"/>
        <v>10.507124348265419</v>
      </c>
      <c r="I16" s="167">
        <f t="shared" si="3"/>
        <v>9.4564119134388775</v>
      </c>
      <c r="J16" s="168">
        <f t="shared" si="3"/>
        <v>107.02694999999999</v>
      </c>
      <c r="K16" s="168">
        <f t="shared" si="3"/>
        <v>96.324255000000008</v>
      </c>
      <c r="L16" s="169">
        <f t="shared" ca="1" si="3"/>
        <v>757.88915529948588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Châtaignier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0" zoomScaleNormal="80" workbookViewId="0">
      <selection activeCell="I24" sqref="I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-1939.6184971006489</v>
      </c>
      <c r="U10" s="178">
        <f>'Données projet'!D9</f>
        <v>2.67</v>
      </c>
      <c r="V10" s="177">
        <f>U10*T10</f>
        <v>-5178.7813872587321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-840.98501250416211</v>
      </c>
      <c r="U11" s="178">
        <f>'Données projet'!D10</f>
        <v>0.80099999999999993</v>
      </c>
      <c r="V11" s="177">
        <f t="shared" ref="V11" si="0">U11*T11</f>
        <v>-673.62899501583377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2385.4767341031056</v>
      </c>
      <c r="U12" s="178">
        <f>'Données projet'!D11</f>
        <v>1.335</v>
      </c>
      <c r="V12" s="177">
        <f t="shared" ref="V12:V19" si="1">U12*T12</f>
        <v>3184.611440027646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Châtaignier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-1094.0000790668964</v>
      </c>
      <c r="U13" s="178">
        <f>'Données projet'!D12</f>
        <v>0.53400000000000003</v>
      </c>
      <c r="V13" s="177">
        <f t="shared" si="1"/>
        <v>-584.19604222172268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2454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900+1007.87</f>
        <v>1907.87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430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430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25</v>
      </c>
      <c r="B23" s="181">
        <f>'Données projet'!D36</f>
        <v>0</v>
      </c>
      <c r="C23" s="193">
        <v>8</v>
      </c>
      <c r="D23" s="182">
        <f>B23*C23</f>
        <v>0</v>
      </c>
      <c r="E23" s="193"/>
      <c r="F23" s="230"/>
      <c r="H23" s="190">
        <v>3</v>
      </c>
      <c r="I23" s="191">
        <v>430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-19752.192734893473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0</v>
      </c>
      <c r="C24" s="193">
        <v>12</v>
      </c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378.83427334945344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27</v>
      </c>
      <c r="C25" s="193">
        <v>15</v>
      </c>
      <c r="D25" s="182">
        <f t="shared" si="2"/>
        <v>405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-20131.027008242927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28</v>
      </c>
      <c r="C26" s="193">
        <v>20</v>
      </c>
      <c r="D26" s="182">
        <f t="shared" si="2"/>
        <v>560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28</v>
      </c>
      <c r="C27" s="193">
        <v>25</v>
      </c>
      <c r="D27" s="182">
        <f t="shared" si="2"/>
        <v>700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28</v>
      </c>
      <c r="C28" s="193">
        <v>30</v>
      </c>
      <c r="D28" s="182">
        <f t="shared" si="2"/>
        <v>840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28</v>
      </c>
      <c r="C29" s="193">
        <v>35</v>
      </c>
      <c r="D29" s="182">
        <f t="shared" si="2"/>
        <v>980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28</v>
      </c>
      <c r="C30" s="193">
        <v>40</v>
      </c>
      <c r="D30" s="182">
        <f t="shared" si="2"/>
        <v>1120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28</v>
      </c>
      <c r="C31" s="193">
        <v>50</v>
      </c>
      <c r="D31" s="182">
        <f t="shared" si="2"/>
        <v>1400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110</v>
      </c>
      <c r="B32" s="181">
        <f>'Données projet'!D45</f>
        <v>27</v>
      </c>
      <c r="C32" s="193">
        <v>60</v>
      </c>
      <c r="D32" s="182">
        <f t="shared" si="2"/>
        <v>1620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120</v>
      </c>
      <c r="B33" s="181">
        <f>'Données projet'!D46</f>
        <v>234</v>
      </c>
      <c r="C33" s="193">
        <v>180</v>
      </c>
      <c r="D33" s="182">
        <f t="shared" si="2"/>
        <v>42120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1852.77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32</v>
      </c>
      <c r="C54" s="191">
        <v>8</v>
      </c>
      <c r="D54" s="179">
        <f>B54*C54</f>
        <v>256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62</v>
      </c>
      <c r="C55" s="191">
        <v>15</v>
      </c>
      <c r="D55" s="179">
        <f t="shared" ref="D55:D73" si="4">B55*C55</f>
        <v>930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58</v>
      </c>
      <c r="C56" s="191">
        <v>25</v>
      </c>
      <c r="D56" s="179">
        <f t="shared" si="4"/>
        <v>1450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50</v>
      </c>
      <c r="C57" s="191">
        <v>30</v>
      </c>
      <c r="D57" s="179">
        <f t="shared" si="4"/>
        <v>1500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40</v>
      </c>
      <c r="C58" s="191">
        <v>35</v>
      </c>
      <c r="D58" s="179">
        <f t="shared" si="4"/>
        <v>1400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32</v>
      </c>
      <c r="C59" s="191">
        <v>40</v>
      </c>
      <c r="D59" s="179">
        <f t="shared" si="4"/>
        <v>1280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24</v>
      </c>
      <c r="C60" s="191">
        <v>45</v>
      </c>
      <c r="D60" s="179">
        <f t="shared" si="4"/>
        <v>1080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225</v>
      </c>
      <c r="C61" s="191">
        <v>70</v>
      </c>
      <c r="D61" s="179">
        <f t="shared" si="4"/>
        <v>15750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1877.31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15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41</v>
      </c>
      <c r="C86" s="191">
        <v>12</v>
      </c>
      <c r="D86" s="179">
        <f t="shared" ref="D86:D104" si="6">B86*C86</f>
        <v>492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98</v>
      </c>
      <c r="C87" s="191">
        <v>35</v>
      </c>
      <c r="D87" s="179">
        <f t="shared" si="6"/>
        <v>3430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98</v>
      </c>
      <c r="C88" s="191">
        <v>45</v>
      </c>
      <c r="D88" s="179">
        <f t="shared" si="6"/>
        <v>4410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50</v>
      </c>
      <c r="B89" s="181">
        <f>'Données projet'!D92</f>
        <v>98</v>
      </c>
      <c r="C89" s="191">
        <v>50</v>
      </c>
      <c r="D89" s="179">
        <f t="shared" si="6"/>
        <v>4900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60</v>
      </c>
      <c r="B90" s="181">
        <f>'Données projet'!D93</f>
        <v>76</v>
      </c>
      <c r="C90" s="191">
        <v>55</v>
      </c>
      <c r="D90" s="179">
        <f t="shared" si="6"/>
        <v>4180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70</v>
      </c>
      <c r="B91" s="181">
        <f>'Données projet'!D94</f>
        <v>61</v>
      </c>
      <c r="C91" s="191">
        <v>60</v>
      </c>
      <c r="D91" s="179">
        <f t="shared" si="6"/>
        <v>3660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80</v>
      </c>
      <c r="B92" s="181">
        <f>'Données projet'!D95</f>
        <v>582</v>
      </c>
      <c r="C92" s="191">
        <v>80</v>
      </c>
      <c r="D92" s="179">
        <f t="shared" si="6"/>
        <v>46560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Châtaignier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2147.25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21</v>
      </c>
      <c r="C116" s="191">
        <v>10</v>
      </c>
      <c r="D116" s="179">
        <f>B116*C116</f>
        <v>210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42</v>
      </c>
      <c r="C117" s="191">
        <v>15</v>
      </c>
      <c r="D117" s="179">
        <f t="shared" ref="D117:D135" si="8">B117*C117</f>
        <v>630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42</v>
      </c>
      <c r="C118" s="191">
        <v>20</v>
      </c>
      <c r="D118" s="179">
        <f t="shared" si="8"/>
        <v>840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31</v>
      </c>
      <c r="C119" s="191">
        <v>30</v>
      </c>
      <c r="D119" s="179">
        <f t="shared" si="8"/>
        <v>930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20</v>
      </c>
      <c r="C120" s="191">
        <v>35</v>
      </c>
      <c r="D120" s="179">
        <f t="shared" si="8"/>
        <v>700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16</v>
      </c>
      <c r="C121" s="191">
        <v>45</v>
      </c>
      <c r="D121" s="179">
        <f t="shared" si="8"/>
        <v>720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226</v>
      </c>
      <c r="C122" s="191">
        <v>70</v>
      </c>
      <c r="D122" s="179">
        <f t="shared" si="8"/>
        <v>15820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2024-04-11T09:23:23Z</dcterms:modified>
</cp:coreProperties>
</file>