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Déposé\Potence R2\"/>
    </mc:Choice>
  </mc:AlternateContent>
  <xr:revisionPtr revIDLastSave="0" documentId="13_ncr:1_{C8817E9B-DC32-4FCE-8D5D-CA057D705F8E}" xr6:coauthVersionLast="47" xr6:coauthVersionMax="47" xr10:uidLastSave="{00000000-0000-0000-0000-000000000000}"/>
  <bookViews>
    <workbookView xWindow="570" yWindow="120" windowWidth="13830" windowHeight="1548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<sst xmlns="http://schemas.openxmlformats.org/spreadsheetml/2006/main" count="1172" uniqueCount="324">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</sst>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120.3398635014748</c:v>
                </c:pt>
                <c:pt idx="32">
                  <c:v>130.62330272297186</c:v>
                </c:pt>
                <c:pt idx="33">
                  <c:v>140.88717779906787</c:v>
                </c:pt>
                <c:pt idx="34">
                  <c:v>151.13311662743948</c:v>
                </c:pt>
                <c:pt idx="35">
                  <c:v>161.362507950626</c:v>
                </c:pt>
                <c:pt idx="36">
                  <c:v>171.57654976527132</c:v>
                </c:pt>
                <c:pt idx="37">
                  <c:v>181.77628557051801</c:v>
                </c:pt>
                <c:pt idx="38">
                  <c:v>191.96263203606017</c:v>
                </c:pt>
                <c:pt idx="39">
                  <c:v>202.13640047813922</c:v>
                </c:pt>
                <c:pt idx="40">
                  <c:v>212.29831377776441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225.18006429243292</c:v>
                </c:pt>
                <c:pt idx="47">
                  <c:v>236.09675414607656</c:v>
                </c:pt>
                <c:pt idx="48">
                  <c:v>247.00193510423426</c:v>
                </c:pt>
                <c:pt idx="49">
                  <c:v>257.89618723734606</c:v>
                </c:pt>
                <c:pt idx="50">
                  <c:v>268.78003756948306</c:v>
                </c:pt>
                <c:pt idx="51">
                  <c:v>224.98501498915437</c:v>
                </c:pt>
                <c:pt idx="52">
                  <c:v>235.707074164814</c:v>
                </c:pt>
                <c:pt idx="53">
                  <c:v>246.4180109567441</c:v>
                </c:pt>
                <c:pt idx="54">
                  <c:v>257.11837729187414</c:v>
                </c:pt>
                <c:pt idx="55">
                  <c:v>267.8086753716081</c:v>
                </c:pt>
                <c:pt idx="56">
                  <c:v>278.48936400091259</c:v>
                </c:pt>
                <c:pt idx="57">
                  <c:v>289.16086389484894</c:v>
                </c:pt>
                <c:pt idx="58">
                  <c:v>299.82356216018104</c:v>
                </c:pt>
                <c:pt idx="59">
                  <c:v>310.47781610568063</c:v>
                </c:pt>
                <c:pt idx="60">
                  <c:v>321.12395650175063</c:v>
                </c:pt>
                <c:pt idx="61">
                  <c:v>276.93638995381065</c:v>
                </c:pt>
                <c:pt idx="62">
                  <c:v>287.02727998230642</c:v>
                </c:pt>
                <c:pt idx="63">
                  <c:v>297.11023564036304</c:v>
                </c:pt>
                <c:pt idx="64">
                  <c:v>307.18556432776842</c:v>
                </c:pt>
                <c:pt idx="65">
                  <c:v>317.2535516203576</c:v>
                </c:pt>
                <c:pt idx="66">
                  <c:v>327.31446347781883</c:v>
                </c:pt>
                <c:pt idx="67">
                  <c:v>337.36854816571076</c:v>
                </c:pt>
                <c:pt idx="68">
                  <c:v>347.41603793627502</c:v>
                </c:pt>
                <c:pt idx="69">
                  <c:v>357.45715050456153</c:v>
                </c:pt>
                <c:pt idx="70">
                  <c:v>367.49209034995994</c:v>
                </c:pt>
                <c:pt idx="71">
                  <c:v>322.6718286822026</c:v>
                </c:pt>
                <c:pt idx="72">
                  <c:v>331.95564418847277</c:v>
                </c:pt>
                <c:pt idx="73">
                  <c:v>341.23373557401305</c:v>
                </c:pt>
                <c:pt idx="74">
                  <c:v>350.50628052053179</c:v>
                </c:pt>
                <c:pt idx="75">
                  <c:v>359.77344653568457</c:v>
                </c:pt>
                <c:pt idx="76">
                  <c:v>369.03539178839679</c:v>
                </c:pt>
                <c:pt idx="77">
                  <c:v>378.29226585591238</c:v>
                </c:pt>
                <c:pt idx="78">
                  <c:v>387.54421039387483</c:v>
                </c:pt>
                <c:pt idx="79">
                  <c:v>396.79135973905687</c:v>
                </c:pt>
                <c:pt idx="80">
                  <c:v>406.0338414529536</c:v>
                </c:pt>
                <c:pt idx="81">
                  <c:v>360.35246947227597</c:v>
                </c:pt>
                <c:pt idx="82">
                  <c:v>368.6495796596501</c:v>
                </c:pt>
                <c:pt idx="83">
                  <c:v>376.94261536659877</c:v>
                </c:pt>
                <c:pt idx="84">
                  <c:v>385.23167893646314</c:v>
                </c:pt>
                <c:pt idx="85">
                  <c:v>393.51686794613602</c:v>
                </c:pt>
                <c:pt idx="86">
                  <c:v>401.79827552592502</c:v>
                </c:pt>
                <c:pt idx="87">
                  <c:v>410.07599065165772</c:v>
                </c:pt>
                <c:pt idx="88">
                  <c:v>418.35009841196302</c:v>
                </c:pt>
                <c:pt idx="89">
                  <c:v>426.62068025329609</c:v>
                </c:pt>
                <c:pt idx="90">
                  <c:v>434.88781420496662</c:v>
                </c:pt>
                <c:pt idx="91">
                  <c:v>388.12229635555462</c:v>
                </c:pt>
                <c:pt idx="92">
                  <c:v>395.25049568724336</c:v>
                </c:pt>
                <c:pt idx="93">
                  <c:v>402.37590934902954</c:v>
                </c:pt>
                <c:pt idx="94">
                  <c:v>409.49859366550299</c:v>
                </c:pt>
                <c:pt idx="95">
                  <c:v>416.61860284059543</c:v>
                </c:pt>
                <c:pt idx="96">
                  <c:v>423.73598907310139</c:v>
                </c:pt>
                <c:pt idx="97">
                  <c:v>430.85080266402957</c:v>
                </c:pt>
                <c:pt idx="98">
                  <c:v>437.96309211649077</c:v>
                </c:pt>
                <c:pt idx="99">
                  <c:v>445.07290422875553</c:v>
                </c:pt>
                <c:pt idx="100">
                  <c:v>452.18028418105382</c:v>
                </c:pt>
                <c:pt idx="101">
                  <c:v>404.30122601025568</c:v>
                </c:pt>
                <c:pt idx="102">
                  <c:v>410.26845241067684</c:v>
                </c:pt>
                <c:pt idx="103">
                  <c:v>416.23380499861554</c:v>
                </c:pt>
                <c:pt idx="104">
                  <c:v>422.19731444089211</c:v>
                </c:pt>
                <c:pt idx="105">
                  <c:v>428.15901046658496</c:v>
                </c:pt>
                <c:pt idx="106">
                  <c:v>434.1189219086545</c:v>
                </c:pt>
                <c:pt idx="107">
                  <c:v>440.0770767431606</c:v>
                </c:pt>
                <c:pt idx="108">
                  <c:v>446.03350212624281</c:v>
                </c:pt>
                <c:pt idx="109">
                  <c:v>451.98822442902389</c:v>
                </c:pt>
                <c:pt idx="110">
                  <c:v>457.94126927057465</c:v>
                </c:pt>
                <c:pt idx="111">
                  <c:v>411.42318205611986</c:v>
                </c:pt>
                <c:pt idx="112">
                  <c:v>416.81099888731961</c:v>
                </c:pt>
                <c:pt idx="113">
                  <c:v>422.19731444089211</c:v>
                </c:pt>
                <c:pt idx="114">
                  <c:v>427.58215058986383</c:v>
                </c:pt>
                <c:pt idx="115">
                  <c:v>432.96552861089225</c:v>
                </c:pt>
                <c:pt idx="116">
                  <c:v>438.34746920790485</c:v>
                </c:pt>
                <c:pt idx="117">
                  <c:v>443.72799253451632</c:v>
                </c:pt>
                <c:pt idx="118">
                  <c:v>449.10711821530072</c:v>
                </c:pt>
                <c:pt idx="119">
                  <c:v>454.4848653659904</c:v>
                </c:pt>
                <c:pt idx="120">
                  <c:v>459.86125261266926</c:v>
                </c:pt>
                <c:pt idx="121">
                  <c:v>8.3287223069965432E-13</c:v>
                </c:pt>
                <c:pt idx="122">
                  <c:v>8.3287223069965432E-13</c:v>
                </c:pt>
                <c:pt idx="123">
                  <c:v>8.3287223069965432E-13</c:v>
                </c:pt>
                <c:pt idx="124">
                  <c:v>8.3287223069965432E-13</c:v>
                </c:pt>
                <c:pt idx="125">
                  <c:v>8.3287223069965432E-13</c:v>
                </c:pt>
                <c:pt idx="126">
                  <c:v>8.3287223069965432E-13</c:v>
                </c:pt>
                <c:pt idx="127">
                  <c:v>8.3287223069965432E-13</c:v>
                </c:pt>
                <c:pt idx="128">
                  <c:v>8.3287223069965432E-13</c:v>
                </c:pt>
                <c:pt idx="129">
                  <c:v>8.3287223069965432E-13</c:v>
                </c:pt>
                <c:pt idx="130">
                  <c:v>8.3287223069965432E-13</c:v>
                </c:pt>
                <c:pt idx="131">
                  <c:v>8.3287223069965432E-13</c:v>
                </c:pt>
                <c:pt idx="132">
                  <c:v>8.3287223069965432E-13</c:v>
                </c:pt>
                <c:pt idx="133">
                  <c:v>8.3287223069965432E-13</c:v>
                </c:pt>
                <c:pt idx="134">
                  <c:v>8.3287223069965432E-13</c:v>
                </c:pt>
                <c:pt idx="135">
                  <c:v>8.3287223069965432E-13</c:v>
                </c:pt>
                <c:pt idx="136">
                  <c:v>8.3287223069965432E-13</c:v>
                </c:pt>
                <c:pt idx="137">
                  <c:v>8.3287223069965432E-13</c:v>
                </c:pt>
                <c:pt idx="138">
                  <c:v>8.3287223069965432E-13</c:v>
                </c:pt>
                <c:pt idx="139">
                  <c:v>8.3287223069965432E-13</c:v>
                </c:pt>
                <c:pt idx="140">
                  <c:v>8.3287223069965432E-13</c:v>
                </c:pt>
                <c:pt idx="141">
                  <c:v>8.3287223069965432E-13</c:v>
                </c:pt>
                <c:pt idx="142">
                  <c:v>8.3287223069965432E-13</c:v>
                </c:pt>
                <c:pt idx="143">
                  <c:v>8.3287223069965432E-13</c:v>
                </c:pt>
                <c:pt idx="144">
                  <c:v>8.3287223069965432E-13</c:v>
                </c:pt>
                <c:pt idx="145">
                  <c:v>8.3287223069965432E-13</c:v>
                </c:pt>
                <c:pt idx="146">
                  <c:v>8.3287223069965432E-13</c:v>
                </c:pt>
                <c:pt idx="147">
                  <c:v>8.3287223069965432E-13</c:v>
                </c:pt>
                <c:pt idx="148">
                  <c:v>8.3287223069965432E-13</c:v>
                </c:pt>
                <c:pt idx="149">
                  <c:v>8.3287223069965432E-13</c:v>
                </c:pt>
                <c:pt idx="150">
                  <c:v>8.3287223069965432E-13</c:v>
                </c:pt>
                <c:pt idx="151">
                  <c:v>8.3287223069965432E-13</c:v>
                </c:pt>
                <c:pt idx="152">
                  <c:v>8.3287223069965432E-13</c:v>
                </c:pt>
                <c:pt idx="153">
                  <c:v>8.3287223069965432E-13</c:v>
                </c:pt>
                <c:pt idx="154">
                  <c:v>8.3287223069965432E-13</c:v>
                </c:pt>
                <c:pt idx="155">
                  <c:v>8.3287223069965432E-13</c:v>
                </c:pt>
                <c:pt idx="156">
                  <c:v>8.3287223069965432E-13</c:v>
                </c:pt>
                <c:pt idx="157">
                  <c:v>8.3287223069965432E-13</c:v>
                </c:pt>
                <c:pt idx="158">
                  <c:v>8.3287223069965432E-13</c:v>
                </c:pt>
                <c:pt idx="159">
                  <c:v>8.3287223069965432E-13</c:v>
                </c:pt>
                <c:pt idx="160">
                  <c:v>8.3287223069965432E-13</c:v>
                </c:pt>
                <c:pt idx="161">
                  <c:v>8.3287223069965432E-13</c:v>
                </c:pt>
                <c:pt idx="162">
                  <c:v>8.3287223069965432E-13</c:v>
                </c:pt>
                <c:pt idx="163">
                  <c:v>8.3287223069965432E-13</c:v>
                </c:pt>
                <c:pt idx="164">
                  <c:v>8.3287223069965432E-13</c:v>
                </c:pt>
                <c:pt idx="165">
                  <c:v>8.3287223069965432E-13</c:v>
                </c:pt>
                <c:pt idx="166">
                  <c:v>8.3287223069965432E-13</c:v>
                </c:pt>
                <c:pt idx="167">
                  <c:v>8.3287223069965432E-13</c:v>
                </c:pt>
                <c:pt idx="168">
                  <c:v>8.3287223069965432E-13</c:v>
                </c:pt>
                <c:pt idx="169">
                  <c:v>8.3287223069965432E-13</c:v>
                </c:pt>
                <c:pt idx="170">
                  <c:v>8.3287223069965432E-13</c:v>
                </c:pt>
                <c:pt idx="171">
                  <c:v>8.3287223069965432E-13</c:v>
                </c:pt>
                <c:pt idx="172">
                  <c:v>8.3287223069965432E-13</c:v>
                </c:pt>
                <c:pt idx="173">
                  <c:v>8.3287223069965432E-13</c:v>
                </c:pt>
                <c:pt idx="174">
                  <c:v>8.3287223069965432E-13</c:v>
                </c:pt>
                <c:pt idx="175">
                  <c:v>8.3287223069965432E-13</c:v>
                </c:pt>
                <c:pt idx="176">
                  <c:v>8.3287223069965432E-13</c:v>
                </c:pt>
                <c:pt idx="177">
                  <c:v>8.3287223069965432E-13</c:v>
                </c:pt>
                <c:pt idx="178">
                  <c:v>8.3287223069965432E-13</c:v>
                </c:pt>
                <c:pt idx="179">
                  <c:v>8.3287223069965432E-13</c:v>
                </c:pt>
                <c:pt idx="180">
                  <c:v>8.3287223069965432E-13</c:v>
                </c:pt>
                <c:pt idx="181">
                  <c:v>8.3287223069965432E-13</c:v>
                </c:pt>
                <c:pt idx="182">
                  <c:v>8.3287223069965432E-13</c:v>
                </c:pt>
                <c:pt idx="183">
                  <c:v>8.3287223069965432E-13</c:v>
                </c:pt>
                <c:pt idx="184">
                  <c:v>8.3287223069965432E-13</c:v>
                </c:pt>
                <c:pt idx="185">
                  <c:v>8.3287223069965432E-13</c:v>
                </c:pt>
                <c:pt idx="186">
                  <c:v>8.3287223069965432E-13</c:v>
                </c:pt>
                <c:pt idx="187">
                  <c:v>8.3287223069965432E-13</c:v>
                </c:pt>
                <c:pt idx="188">
                  <c:v>8.3287223069965432E-13</c:v>
                </c:pt>
                <c:pt idx="189">
                  <c:v>8.3287223069965432E-13</c:v>
                </c:pt>
                <c:pt idx="190">
                  <c:v>8.3287223069965432E-13</c:v>
                </c:pt>
                <c:pt idx="191">
                  <c:v>8.3287223069965432E-13</c:v>
                </c:pt>
                <c:pt idx="192">
                  <c:v>8.3287223069965432E-13</c:v>
                </c:pt>
                <c:pt idx="193">
                  <c:v>8.3287223069965432E-13</c:v>
                </c:pt>
                <c:pt idx="194">
                  <c:v>8.3287223069965432E-13</c:v>
                </c:pt>
                <c:pt idx="195">
                  <c:v>8.3287223069965432E-13</c:v>
                </c:pt>
                <c:pt idx="196">
                  <c:v>8.3287223069965432E-13</c:v>
                </c:pt>
                <c:pt idx="197">
                  <c:v>8.3287223069965432E-13</c:v>
                </c:pt>
                <c:pt idx="198">
                  <c:v>8.3287223069965432E-13</c:v>
                </c:pt>
                <c:pt idx="199">
                  <c:v>8.3287223069965432E-13</c:v>
                </c:pt>
                <c:pt idx="200">
                  <c:v>8.3287223069965432E-13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120.49003654699459</c:v>
                </c:pt>
                <c:pt idx="22">
                  <c:v>127.1409435652896</c:v>
                </c:pt>
                <c:pt idx="23">
                  <c:v>133.78342099832221</c:v>
                </c:pt>
                <c:pt idx="24">
                  <c:v>140.41794724133206</c:v>
                </c:pt>
                <c:pt idx="25">
                  <c:v>147.04495169244021</c:v>
                </c:pt>
                <c:pt idx="26">
                  <c:v>153.66482180332244</c:v>
                </c:pt>
                <c:pt idx="27">
                  <c:v>160.27790884848659</c:v>
                </c:pt>
                <c:pt idx="28">
                  <c:v>166.88453269044854</c:v>
                </c:pt>
                <c:pt idx="29">
                  <c:v>173.48498574926046</c:v>
                </c:pt>
                <c:pt idx="30">
                  <c:v>180.07953633511514</c:v>
                </c:pt>
                <c:pt idx="31">
                  <c:v>161.3963988836461</c:v>
                </c:pt>
                <c:pt idx="32">
                  <c:v>168.50982140403696</c:v>
                </c:pt>
                <c:pt idx="33">
                  <c:v>175.61616597279638</c:v>
                </c:pt>
                <c:pt idx="34">
                  <c:v>182.71575986748618</c:v>
                </c:pt>
                <c:pt idx="35">
                  <c:v>189.8089028116103</c:v>
                </c:pt>
                <c:pt idx="36">
                  <c:v>196.89587026062091</c:v>
                </c:pt>
                <c:pt idx="37">
                  <c:v>203.97691618927138</c:v>
                </c:pt>
                <c:pt idx="38">
                  <c:v>211.05227547104286</c:v>
                </c:pt>
                <c:pt idx="39">
                  <c:v>218.12216592131372</c:v>
                </c:pt>
                <c:pt idx="40">
                  <c:v>225.18679006138439</c:v>
                </c:pt>
                <c:pt idx="41">
                  <c:v>185.45243509395621</c:v>
                </c:pt>
                <c:pt idx="42">
                  <c:v>192.54316466070131</c:v>
                </c:pt>
                <c:pt idx="43">
                  <c:v>199.62781910044532</c:v>
                </c:pt>
                <c:pt idx="44">
                  <c:v>206.70664475823108</c:v>
                </c:pt>
                <c:pt idx="45">
                  <c:v>213.77986970233792</c:v>
                </c:pt>
                <c:pt idx="46">
                  <c:v>220.8477056536926</c:v>
                </c:pt>
                <c:pt idx="47">
                  <c:v>227.91034965501251</c:v>
                </c:pt>
                <c:pt idx="48">
                  <c:v>234.96798552194124</c:v>
                </c:pt>
                <c:pt idx="49">
                  <c:v>242.02078511048447</c:v>
                </c:pt>
                <c:pt idx="50">
                  <c:v>249.06890942879204</c:v>
                </c:pt>
                <c:pt idx="51">
                  <c:v>210.44603337328724</c:v>
                </c:pt>
                <c:pt idx="52">
                  <c:v>218.52599874468254</c:v>
                </c:pt>
                <c:pt idx="53">
                  <c:v>226.59909976948109</c:v>
                </c:pt>
                <c:pt idx="54">
                  <c:v>234.6656157923758</c:v>
                </c:pt>
                <c:pt idx="55">
                  <c:v>242.72580536134669</c:v>
                </c:pt>
                <c:pt idx="56">
                  <c:v>250.77990843042718</c:v>
                </c:pt>
                <c:pt idx="57">
                  <c:v>258.82814826436976</c:v>
                </c:pt>
                <c:pt idx="58">
                  <c:v>266.87073309376296</c:v>
                </c:pt>
                <c:pt idx="59">
                  <c:v>274.90785755999178</c:v>
                </c:pt>
                <c:pt idx="60">
                  <c:v>282.93970398221973</c:v>
                </c:pt>
                <c:pt idx="61">
                  <c:v>243.93430319999138</c:v>
                </c:pt>
                <c:pt idx="62">
                  <c:v>251.48436037421268</c:v>
                </c:pt>
                <c:pt idx="63">
                  <c:v>259.02928096815748</c:v>
                </c:pt>
                <c:pt idx="64">
                  <c:v>266.56923588073721</c:v>
                </c:pt>
                <c:pt idx="65">
                  <c:v>274.10438554233065</c:v>
                </c:pt>
                <c:pt idx="66">
                  <c:v>281.63488083258886</c:v>
                </c:pt>
                <c:pt idx="67">
                  <c:v>289.160863894849</c:v>
                </c:pt>
                <c:pt idx="68">
                  <c:v>296.68246886125024</c:v>
                </c:pt>
                <c:pt idx="69">
                  <c:v>304.19982250040647</c:v>
                </c:pt>
                <c:pt idx="70">
                  <c:v>311.71304479765791</c:v>
                </c:pt>
                <c:pt idx="71">
                  <c:v>272.99952502719981</c:v>
                </c:pt>
                <c:pt idx="72">
                  <c:v>280.73146236841148</c:v>
                </c:pt>
                <c:pt idx="73">
                  <c:v>288.45862606345253</c:v>
                </c:pt>
                <c:pt idx="74">
                  <c:v>296.18116215846925</c:v>
                </c:pt>
                <c:pt idx="75">
                  <c:v>303.89920845414628</c:v>
                </c:pt>
                <c:pt idx="76">
                  <c:v>311.6128951734467</c:v>
                </c:pt>
                <c:pt idx="77">
                  <c:v>319.3223455597273</c:v>
                </c:pt>
                <c:pt idx="78">
                  <c:v>327.02767641403034</c:v>
                </c:pt>
                <c:pt idx="79">
                  <c:v>334.72899857905378</c:v>
                </c:pt>
                <c:pt idx="80">
                  <c:v>342.42641737622415</c:v>
                </c:pt>
                <c:pt idx="81">
                  <c:v>304.40022819227744</c:v>
                </c:pt>
                <c:pt idx="82">
                  <c:v>312.71450180432913</c:v>
                </c:pt>
                <c:pt idx="83">
                  <c:v>321.02387288556099</c:v>
                </c:pt>
                <c:pt idx="84">
                  <c:v>329.32848633594546</c:v>
                </c:pt>
                <c:pt idx="85">
                  <c:v>337.62847914518375</c:v>
                </c:pt>
                <c:pt idx="86">
                  <c:v>345.92398101265036</c:v>
                </c:pt>
                <c:pt idx="87">
                  <c:v>354.21511490472858</c:v>
                </c:pt>
                <c:pt idx="88">
                  <c:v>362.50199755720956</c:v>
                </c:pt>
                <c:pt idx="89">
                  <c:v>370.78473992932794</c:v>
                </c:pt>
                <c:pt idx="90">
                  <c:v>379.06344761508905</c:v>
                </c:pt>
                <c:pt idx="91">
                  <c:v>341.12712268545346</c:v>
                </c:pt>
                <c:pt idx="92">
                  <c:v>349.42076801278273</c:v>
                </c:pt>
                <c:pt idx="93">
                  <c:v>357.71009532310563</c:v>
                </c:pt>
                <c:pt idx="94">
                  <c:v>365.99521886354137</c:v>
                </c:pt>
                <c:pt idx="95">
                  <c:v>374.27624728301316</c:v>
                </c:pt>
                <c:pt idx="96">
                  <c:v>382.55328402706982</c:v>
                </c:pt>
                <c:pt idx="97">
                  <c:v>390.82642769673799</c:v>
                </c:pt>
                <c:pt idx="98">
                  <c:v>399.09577237538946</c:v>
                </c:pt>
                <c:pt idx="99">
                  <c:v>407.36140792709375</c:v>
                </c:pt>
                <c:pt idx="100">
                  <c:v>415.62342026948232</c:v>
                </c:pt>
                <c:pt idx="101">
                  <c:v>378.1659483420201</c:v>
                </c:pt>
                <c:pt idx="102">
                  <c:v>386.83985045971798</c:v>
                </c:pt>
                <c:pt idx="103">
                  <c:v>395.50952933718435</c:v>
                </c:pt>
                <c:pt idx="104">
                  <c:v>404.17509065511155</c:v>
                </c:pt>
                <c:pt idx="105">
                  <c:v>412.83663519043193</c:v>
                </c:pt>
                <c:pt idx="106">
                  <c:v>421.49425914421028</c:v>
                </c:pt>
                <c:pt idx="107">
                  <c:v>430.14805444118133</c:v>
                </c:pt>
                <c:pt idx="108">
                  <c:v>438.7981090039205</c:v>
                </c:pt>
                <c:pt idx="109">
                  <c:v>447.44450700426086</c:v>
                </c:pt>
                <c:pt idx="110">
                  <c:v>456.08732909426044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1.543209846573063</c:v>
                </c:pt>
                <c:pt idx="2">
                  <c:v>1.8931270034990766</c:v>
                </c:pt>
                <c:pt idx="3">
                  <c:v>2.3226972068244187</c:v>
                </c:pt>
                <c:pt idx="4">
                  <c:v>2.8501191400066332</c:v>
                </c:pt>
                <c:pt idx="5">
                  <c:v>3.4977637902213932</c:v>
                </c:pt>
                <c:pt idx="6">
                  <c:v>4.2931340810336343</c:v>
                </c:pt>
                <c:pt idx="7">
                  <c:v>5.2700458763142404</c:v>
                </c:pt>
                <c:pt idx="8">
                  <c:v>6.4700815612336875</c:v>
                </c:pt>
                <c:pt idx="9">
                  <c:v>7.9443792801710416</c:v>
                </c:pt>
                <c:pt idx="10">
                  <c:v>9.7558355450491874</c:v>
                </c:pt>
                <c:pt idx="11">
                  <c:v>11.981816963637812</c:v>
                </c:pt>
                <c:pt idx="12">
                  <c:v>14.717499068398817</c:v>
                </c:pt>
                <c:pt idx="13">
                  <c:v>18.07997763012369</c:v>
                </c:pt>
                <c:pt idx="14">
                  <c:v>22.213331622810383</c:v>
                </c:pt>
                <c:pt idx="15">
                  <c:v>27.294858654442084</c:v>
                </c:pt>
                <c:pt idx="16">
                  <c:v>33.542755027534618</c:v>
                </c:pt>
                <c:pt idx="17">
                  <c:v>41.225575907264208</c:v>
                </c:pt>
                <c:pt idx="18">
                  <c:v>50.673889146538166</c:v>
                </c:pt>
                <c:pt idx="19">
                  <c:v>62.29463259236838</c:v>
                </c:pt>
                <c:pt idx="20">
                  <c:v>76.588803428045381</c:v>
                </c:pt>
                <c:pt idx="21">
                  <c:v>96.748201162142621</c:v>
                </c:pt>
                <c:pt idx="22">
                  <c:v>116.8026363404107</c:v>
                </c:pt>
                <c:pt idx="23">
                  <c:v>136.77275046012139</c:v>
                </c:pt>
                <c:pt idx="24">
                  <c:v>156.67261914934736</c:v>
                </c:pt>
                <c:pt idx="25">
                  <c:v>176.51243283769338</c:v>
                </c:pt>
                <c:pt idx="26">
                  <c:v>196.29989659034709</c:v>
                </c:pt>
                <c:pt idx="27">
                  <c:v>216.04103178653338</c:v>
                </c:pt>
                <c:pt idx="28">
                  <c:v>235.74066784528793</c:v>
                </c:pt>
                <c:pt idx="29">
                  <c:v>255.40276031425742</c:v>
                </c:pt>
                <c:pt idx="30">
                  <c:v>275.03060557796795</c:v>
                </c:pt>
                <c:pt idx="31">
                  <c:v>227.65819966268168</c:v>
                </c:pt>
                <c:pt idx="32">
                  <c:v>248.5768081265179</c:v>
                </c:pt>
                <c:pt idx="33">
                  <c:v>269.45547844836511</c:v>
                </c:pt>
                <c:pt idx="34">
                  <c:v>290.29773958159905</c:v>
                </c:pt>
                <c:pt idx="35">
                  <c:v>311.10657224324092</c:v>
                </c:pt>
                <c:pt idx="36">
                  <c:v>331.88452583698489</c:v>
                </c:pt>
                <c:pt idx="37">
                  <c:v>352.63380452820792</c:v>
                </c:pt>
                <c:pt idx="38">
                  <c:v>373.35633198287354</c:v>
                </c:pt>
                <c:pt idx="39">
                  <c:v>394.05380097365111</c:v>
                </c:pt>
                <c:pt idx="40">
                  <c:v>414.72771201550307</c:v>
                </c:pt>
                <c:pt idx="41">
                  <c:v>333.94015543739573</c:v>
                </c:pt>
                <c:pt idx="42">
                  <c:v>353.66028681516491</c:v>
                </c:pt>
                <c:pt idx="43">
                  <c:v>373.35633198287337</c:v>
                </c:pt>
                <c:pt idx="44">
                  <c:v>393.02973970258654</c:v>
                </c:pt>
                <c:pt idx="45">
                  <c:v>412.68180191993201</c:v>
                </c:pt>
                <c:pt idx="46">
                  <c:v>432.31367755114564</c:v>
                </c:pt>
                <c:pt idx="47">
                  <c:v>451.92641172379848</c:v>
                </c:pt>
                <c:pt idx="48">
                  <c:v>471.5209515036068</c:v>
                </c:pt>
                <c:pt idx="49">
                  <c:v>491.09815887130026</c:v>
                </c:pt>
                <c:pt idx="50">
                  <c:v>510.65882152300293</c:v>
                </c:pt>
                <c:pt idx="51">
                  <c:v>428.32753438228252</c:v>
                </c:pt>
                <c:pt idx="52">
                  <c:v>446.00369113404878</c:v>
                </c:pt>
                <c:pt idx="53">
                  <c:v>463.66485287394136</c:v>
                </c:pt>
                <c:pt idx="54">
                  <c:v>481.31167088067355</c:v>
                </c:pt>
                <c:pt idx="55">
                  <c:v>498.94474480501361</c:v>
                </c:pt>
                <c:pt idx="56">
                  <c:v>516.56462847980106</c:v>
                </c:pt>
                <c:pt idx="57">
                  <c:v>534.17183489626336</c:v>
                </c:pt>
                <c:pt idx="58">
                  <c:v>551.7668404903385</c:v>
                </c:pt>
                <c:pt idx="59">
                  <c:v>569.35008885406353</c:v>
                </c:pt>
                <c:pt idx="60">
                  <c:v>586.92199396486865</c:v>
                </c:pt>
                <c:pt idx="61">
                  <c:v>505.87202351750028</c:v>
                </c:pt>
                <c:pt idx="62">
                  <c:v>521.45111470089739</c:v>
                </c:pt>
                <c:pt idx="63">
                  <c:v>537.02039698297347</c:v>
                </c:pt>
                <c:pt idx="64">
                  <c:v>552.5801946628734</c:v>
                </c:pt>
                <c:pt idx="65">
                  <c:v>568.13081229593536</c:v>
                </c:pt>
                <c:pt idx="66">
                  <c:v>583.67253641440209</c:v>
                </c:pt>
                <c:pt idx="67">
                  <c:v>599.2056370554144</c:v>
                </c:pt>
                <c:pt idx="68">
                  <c:v>614.73036912240661</c:v>
                </c:pt>
                <c:pt idx="69">
                  <c:v>630.24697360189998</c:v>
                </c:pt>
                <c:pt idx="70">
                  <c:v>645.75567865431015</c:v>
                </c:pt>
                <c:pt idx="71">
                  <c:v>580.11801026374542</c:v>
                </c:pt>
                <c:pt idx="72">
                  <c:v>593.62281914234006</c:v>
                </c:pt>
                <c:pt idx="73">
                  <c:v>607.1212365471323</c:v>
                </c:pt>
                <c:pt idx="74">
                  <c:v>620.61342454410953</c:v>
                </c:pt>
                <c:pt idx="75">
                  <c:v>634.09953758126471</c:v>
                </c:pt>
                <c:pt idx="76">
                  <c:v>647.5797230044642</c:v>
                </c:pt>
                <c:pt idx="77">
                  <c:v>661.05412152814836</c:v>
                </c:pt>
                <c:pt idx="78">
                  <c:v>674.52286766568147</c:v>
                </c:pt>
                <c:pt idx="79">
                  <c:v>687.98609012356519</c:v>
                </c:pt>
                <c:pt idx="80">
                  <c:v>701.44391216320446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B11" sqref="B1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23.01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0.55000000000000004</v>
      </c>
      <c r="D9" s="33">
        <f t="shared" ref="D9:D18" si="0">C9*$C$5</f>
        <v>12.655500000000002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164</v>
      </c>
      <c r="C10" s="32">
        <v>0.18</v>
      </c>
      <c r="D10" s="33">
        <f t="shared" si="0"/>
        <v>4.1417999999999999</v>
      </c>
      <c r="E10" s="34">
        <v>110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45</v>
      </c>
      <c r="C11" s="32">
        <v>0.27</v>
      </c>
      <c r="D11" s="33">
        <f t="shared" si="0"/>
        <v>6.2127000000000008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23.01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25</v>
      </c>
      <c r="B36" s="60">
        <v>30</v>
      </c>
      <c r="C36" s="60">
        <v>0</v>
      </c>
      <c r="D36" s="60">
        <v>0</v>
      </c>
      <c r="E36" s="51"/>
      <c r="F36" s="51"/>
      <c r="G36" s="51"/>
      <c r="H36" s="51"/>
      <c r="I36" s="49">
        <f>IFERROR(B36/A36,"")</f>
        <v>1.2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54</v>
      </c>
      <c r="C37" s="60">
        <v>0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4.8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106</v>
      </c>
      <c r="C38" s="60">
        <v>1</v>
      </c>
      <c r="D38" s="60">
        <v>27</v>
      </c>
      <c r="E38" s="51"/>
      <c r="F38" s="51"/>
      <c r="G38" s="51"/>
      <c r="H38" s="51"/>
      <c r="I38" s="53">
        <f t="shared" si="1"/>
        <v>5.2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135</v>
      </c>
      <c r="C39" s="60">
        <v>2</v>
      </c>
      <c r="D39" s="60">
        <v>28</v>
      </c>
      <c r="E39" s="51"/>
      <c r="F39" s="51"/>
      <c r="G39" s="51"/>
      <c r="H39" s="51"/>
      <c r="I39" s="49">
        <f t="shared" si="1"/>
        <v>5.6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162</v>
      </c>
      <c r="C40" s="60">
        <v>3</v>
      </c>
      <c r="D40" s="60">
        <v>28</v>
      </c>
      <c r="E40" s="51"/>
      <c r="F40" s="51"/>
      <c r="G40" s="51"/>
      <c r="H40" s="51"/>
      <c r="I40" s="49">
        <f t="shared" si="1"/>
        <v>5.5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186</v>
      </c>
      <c r="C41" s="60">
        <v>4</v>
      </c>
      <c r="D41" s="60">
        <v>28</v>
      </c>
      <c r="E41" s="51"/>
      <c r="F41" s="51"/>
      <c r="G41" s="51"/>
      <c r="H41" s="51"/>
      <c r="I41" s="53">
        <f t="shared" si="1"/>
        <v>5.2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206</v>
      </c>
      <c r="C42" s="60">
        <v>5</v>
      </c>
      <c r="D42" s="60">
        <v>28</v>
      </c>
      <c r="E42" s="51"/>
      <c r="F42" s="51"/>
      <c r="G42" s="51"/>
      <c r="H42" s="51"/>
      <c r="I42" s="53">
        <f t="shared" si="1"/>
        <v>4.8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221</v>
      </c>
      <c r="C43" s="60">
        <v>6</v>
      </c>
      <c r="D43" s="60">
        <v>28</v>
      </c>
      <c r="E43" s="51"/>
      <c r="F43" s="51"/>
      <c r="G43" s="51"/>
      <c r="H43" s="51"/>
      <c r="I43" s="49">
        <f t="shared" si="1"/>
        <v>4.3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230</v>
      </c>
      <c r="C44" s="60">
        <v>7</v>
      </c>
      <c r="D44" s="60">
        <v>28</v>
      </c>
      <c r="E44" s="51"/>
      <c r="F44" s="51"/>
      <c r="G44" s="51"/>
      <c r="H44" s="51"/>
      <c r="I44" s="49">
        <f t="shared" si="1"/>
        <v>3.7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v>233</v>
      </c>
      <c r="C45" s="60">
        <v>8</v>
      </c>
      <c r="D45" s="60">
        <v>27</v>
      </c>
      <c r="E45" s="51"/>
      <c r="F45" s="51"/>
      <c r="G45" s="51"/>
      <c r="H45" s="51"/>
      <c r="I45" s="49">
        <f t="shared" si="1"/>
        <v>3.1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v>234</v>
      </c>
      <c r="C46" s="60">
        <v>9</v>
      </c>
      <c r="D46" s="60">
        <v>234</v>
      </c>
      <c r="E46" s="51"/>
      <c r="F46" s="51"/>
      <c r="G46" s="51"/>
      <c r="H46" s="51"/>
      <c r="I46" s="49">
        <f t="shared" si="1"/>
        <v>2.8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115</v>
      </c>
      <c r="C62" s="60">
        <v>1</v>
      </c>
      <c r="D62" s="60">
        <v>6.9</v>
      </c>
      <c r="E62" s="51"/>
      <c r="F62" s="51">
        <v>0.5</v>
      </c>
      <c r="G62" s="51">
        <v>0.5</v>
      </c>
      <c r="H62" s="51"/>
      <c r="I62" s="53">
        <f>IFERROR(B62/A62,"")</f>
        <v>5.75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173.1</v>
      </c>
      <c r="C63" s="60">
        <v>2</v>
      </c>
      <c r="D63" s="60">
        <v>25.4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217.7</v>
      </c>
      <c r="C64" s="60">
        <v>3</v>
      </c>
      <c r="D64" s="60">
        <v>46.3</v>
      </c>
      <c r="E64" s="51"/>
      <c r="F64" s="51"/>
      <c r="G64" s="51"/>
      <c r="H64" s="51"/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241.4</v>
      </c>
      <c r="C65" s="60">
        <v>4</v>
      </c>
      <c r="D65" s="60">
        <v>46.3</v>
      </c>
      <c r="E65" s="51"/>
      <c r="F65" s="51"/>
      <c r="G65" s="51"/>
      <c r="H65" s="51"/>
      <c r="I65" s="49">
        <f>IF(A65&lt;&gt;0,(B65-(B64-D64))/(A65-A64),"")</f>
        <v>7.0000000000000027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275.10000000000002</v>
      </c>
      <c r="C66" s="60">
        <v>5</v>
      </c>
      <c r="D66" s="60">
        <v>46.3</v>
      </c>
      <c r="E66" s="51"/>
      <c r="F66" s="51"/>
      <c r="G66" s="51"/>
      <c r="H66" s="51"/>
      <c r="I66" s="49">
        <f t="shared" ref="I66:I81" si="2">IF(A66&lt;&gt;0,(B66-(B65-D65))/(A66-A65),"")</f>
        <v>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303.8</v>
      </c>
      <c r="C67" s="60">
        <v>6</v>
      </c>
      <c r="D67" s="60">
        <v>46.3</v>
      </c>
      <c r="E67" s="51"/>
      <c r="F67" s="51"/>
      <c r="G67" s="51"/>
      <c r="H67" s="51"/>
      <c r="I67" s="49">
        <f t="shared" si="2"/>
        <v>7.5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334.5</v>
      </c>
      <c r="C68" s="60">
        <v>7</v>
      </c>
      <c r="D68" s="60">
        <v>46.3</v>
      </c>
      <c r="E68" s="51"/>
      <c r="F68" s="51"/>
      <c r="G68" s="51"/>
      <c r="H68" s="51"/>
      <c r="I68" s="49">
        <f t="shared" si="2"/>
        <v>7.7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371.2</v>
      </c>
      <c r="C69" s="50">
        <v>8</v>
      </c>
      <c r="D69" s="50">
        <v>46.3</v>
      </c>
      <c r="E69" s="51"/>
      <c r="F69" s="51"/>
      <c r="G69" s="51"/>
      <c r="H69" s="51"/>
      <c r="I69" s="49">
        <f t="shared" si="2"/>
        <v>8.3000000000000007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v>407.9</v>
      </c>
      <c r="C70" s="50">
        <v>9</v>
      </c>
      <c r="D70" s="50">
        <v>46.3</v>
      </c>
      <c r="E70" s="51"/>
      <c r="F70" s="51"/>
      <c r="G70" s="51"/>
      <c r="H70" s="51"/>
      <c r="I70" s="49">
        <f t="shared" si="2"/>
        <v>8.3000000000000007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v>448.59999999999997</v>
      </c>
      <c r="C71" s="50">
        <v>10</v>
      </c>
      <c r="D71" s="50">
        <v>448.6</v>
      </c>
      <c r="E71" s="51"/>
      <c r="F71" s="51"/>
      <c r="G71" s="51"/>
      <c r="H71" s="51"/>
      <c r="I71" s="49">
        <f t="shared" si="2"/>
        <v>8.6999999999999993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Sapin de Nordmann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70</v>
      </c>
      <c r="C88" s="60"/>
      <c r="D88" s="60">
        <v>0</v>
      </c>
      <c r="E88" s="51"/>
      <c r="F88" s="51">
        <v>0.5</v>
      </c>
      <c r="G88" s="51">
        <v>0.5</v>
      </c>
      <c r="H88" s="87"/>
      <c r="I88" s="53">
        <f>IFERROR(B88/A88,"")</f>
        <v>3.5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260</v>
      </c>
      <c r="C89" s="60">
        <v>1</v>
      </c>
      <c r="D89" s="60">
        <v>66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19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396</v>
      </c>
      <c r="C90" s="60">
        <v>2</v>
      </c>
      <c r="D90" s="60">
        <v>98</v>
      </c>
      <c r="E90" s="87"/>
      <c r="F90" s="87"/>
      <c r="G90" s="87"/>
      <c r="H90" s="87"/>
      <c r="I90" s="53">
        <f t="shared" si="3"/>
        <v>20.2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490</v>
      </c>
      <c r="C91" s="60">
        <v>3</v>
      </c>
      <c r="D91" s="60">
        <v>98</v>
      </c>
      <c r="E91" s="87"/>
      <c r="F91" s="87"/>
      <c r="G91" s="87"/>
      <c r="H91" s="87"/>
      <c r="I91" s="53">
        <f t="shared" si="3"/>
        <v>19.2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565</v>
      </c>
      <c r="C92" s="60">
        <v>4</v>
      </c>
      <c r="D92" s="60">
        <v>95</v>
      </c>
      <c r="E92" s="87"/>
      <c r="F92" s="87"/>
      <c r="G92" s="87"/>
      <c r="H92" s="87"/>
      <c r="I92" s="53">
        <f t="shared" si="3"/>
        <v>17.3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623</v>
      </c>
      <c r="C93" s="60">
        <v>5</v>
      </c>
      <c r="D93" s="60">
        <v>78</v>
      </c>
      <c r="E93" s="87"/>
      <c r="F93" s="87"/>
      <c r="G93" s="87"/>
      <c r="H93" s="87"/>
      <c r="I93" s="53">
        <f t="shared" si="3"/>
        <v>15.3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678</v>
      </c>
      <c r="C94" s="60">
        <v>6</v>
      </c>
      <c r="D94" s="60">
        <v>678</v>
      </c>
      <c r="E94" s="87"/>
      <c r="F94" s="87"/>
      <c r="G94" s="87"/>
      <c r="H94" s="87"/>
      <c r="I94" s="53">
        <f t="shared" si="3"/>
        <v>13.3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4" sqref="F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Sapin de Nordmann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138.8931001150624</v>
      </c>
      <c r="T3" s="59">
        <f>IF('Données projet'!E9&gt;30,$R$33-$H$33,LOOKUP('Données projet'!$E$9,$A$3:$A$203,R3:R203)-LOOKUP('Données projet'!$E$9,$A$3:$A$203,$H$3:$H$203))</f>
        <v>48.964659354096625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123.60520571614535</v>
      </c>
      <c r="AO3" s="59">
        <f>IF('Données projet'!E10&gt;30,$AM$33-$H$33,LOOKUP('Données projet'!$E$10,$A$3:$A$203,AM3:AM203)-LOOKUP('Données projet'!$E$10,$A$3:$A$203,$H$3:$H$203))</f>
        <v>119.00926870519527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252.30925789500111</v>
      </c>
      <c r="BJ3" s="59">
        <f>IF('Données projet'!E11&gt;30,$BH$33-$H$33,LOOKUP('Données projet'!$E$11,$A$3:$A$203,BH3:BH203)-LOOKUP('Données projet'!$E$11,$A$3:$A$203,$H$3:$H$203))</f>
        <v>213.96033794804805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1.2</v>
      </c>
      <c r="N4" s="13">
        <f>IF('Données projet'!$A$36&gt;35,N3+M4-V3,IF(A4&lt;'Données projet'!$A$36,$K$205^A4,IF(A4='Données projet'!$A$36,'Données projet'!$B$36,N3+M4-V3)))</f>
        <v>1.1457367676485573</v>
      </c>
      <c r="O4" s="13">
        <f>N4*VLOOKUP('Données projet'!$B$9,Paramètres!$A$1:$I$89,3,0)*VLOOKUP('Données projet'!$B$9,Paramètres!$A$1:$I$89,5,0)</f>
        <v>1.0366626273684145</v>
      </c>
      <c r="P4" s="13">
        <f>EXP(-1.0587+0.8836*LN(O4)+0.284)</f>
        <v>0.47573960617002853</v>
      </c>
      <c r="Q4" s="20">
        <f t="shared" ref="Q4:Q34" si="2">(O4+P4)*0.475*44/12</f>
        <v>2.6341005567461218</v>
      </c>
      <c r="R4" s="59">
        <f t="shared" si="0"/>
        <v>295.96743389007946</v>
      </c>
      <c r="S4" s="59">
        <f ca="1">AVERAGE(OFFSET($R$3,0,0,'Données projet'!$E$9+1,1))-AVERAGE(OFFSET($H$3,0,0,'Données projet'!$E$9+1,1))</f>
        <v>138.8931001150624</v>
      </c>
      <c r="T4" s="59">
        <f>$T$3</f>
        <v>48.964659354096625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5.75</v>
      </c>
      <c r="AI4" s="13">
        <f>IF('Données projet'!$A$62&gt;35,AI3+AH4-AQ3,IF(A4&lt;'Données projet'!$A$62,$AF$205^A4,IF(A4='Données projet'!$A$62,'Données projet'!$B$62,AI3+AH4-AQ3)))</f>
        <v>1.2677537154322802</v>
      </c>
      <c r="AJ4" s="13">
        <f>AI4*VLOOKUP('Données projet'!$B$10,Paramètres!$A$1:$I$89,3,0)*VLOOKUP('Données projet'!$B$10,Paramètres!$A$1:$I$89,5,0)</f>
        <v>0.59330873882230706</v>
      </c>
      <c r="AK4" s="13">
        <f>EXP(-1.0587+0.8836*LN(AJ4)+0.284)</f>
        <v>0.29055137246158741</v>
      </c>
      <c r="AL4" s="20">
        <f t="shared" ref="AL4:AL67" si="4">(AJ4+AK4)*0.475*44/12</f>
        <v>1.5393896938194491</v>
      </c>
      <c r="AM4" s="59">
        <f t="shared" ref="AM4:AM67" si="5">AL4+(AD4+AE4)*44/12</f>
        <v>294.87272302715274</v>
      </c>
      <c r="AN4" s="59">
        <f ca="1">AVERAGE(OFFSET($AM$3,0,0,'Données projet'!$E$10+1,1))-AVERAGE(OFFSET($H$3,0,0,'Données projet'!$E$10+1,1))</f>
        <v>123.60520571614535</v>
      </c>
      <c r="AO4" s="59">
        <f>$AO$3</f>
        <v>119.00926870519527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3.5</v>
      </c>
      <c r="BD4" s="12">
        <f>IF('Données projet'!$A$88&gt;35,BD3+BC4-BL3,IF(A4&lt;'Données projet'!$A$88,$BA$205^A4,IF(A4='Données projet'!$A$88,'Données projet'!$B$88,BD3+BC4-BL3)))</f>
        <v>1.2366730653835798</v>
      </c>
      <c r="BE4" s="13">
        <f>BD4*VLOOKUP('Données projet'!$B$11,Paramètres!$A$1:$I$89,3,0)*VLOOKUP('Données projet'!$B$11,Paramètres!$A$1:$I$89,5,0)</f>
        <v>0.59483974444950194</v>
      </c>
      <c r="BF4" s="13">
        <f>EXP(-1.0587+0.8836*LN(BE4)+0.284)</f>
        <v>0.29121375597522325</v>
      </c>
      <c r="BG4" s="20">
        <f t="shared" ref="BG4:BG67" si="7">(BE4+BF4)*0.475*44/12</f>
        <v>1.543209846573063</v>
      </c>
      <c r="BH4" s="59">
        <f t="shared" ref="BH4:BH67" si="8">BG4+(AY4+AZ4)*44/12</f>
        <v>294.87654317990638</v>
      </c>
      <c r="BI4" s="59">
        <f ca="1">AVERAGE(OFFSET($BH$3,0,0,'Données projet'!$E$11+1,1))-AVERAGE(OFFSET($H$3,0,0,'Données projet'!$E$11+1,1))</f>
        <v>252.30925789500111</v>
      </c>
      <c r="BJ4" s="59">
        <f>$BJ$3</f>
        <v>213.96033794804805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1.2</v>
      </c>
      <c r="N5" s="13">
        <f>IF('Données projet'!$A$36&gt;35,N4+M5-V4,IF(A5&lt;'Données projet'!$A$36,$K$205^A5,IF(A5='Données projet'!$A$36,'Données projet'!$B$36,N4+M5-V4)))</f>
        <v>1.312712740741764</v>
      </c>
      <c r="O5" s="13">
        <f>N5*VLOOKUP('Données projet'!$B$9,Paramètres!$A$1:$I$89,3,0)*VLOOKUP('Données projet'!$B$9,Paramètres!$A$1:$I$89,5,0)</f>
        <v>1.187742487823148</v>
      </c>
      <c r="P5" s="13">
        <f t="shared" ref="P5:P68" si="33">EXP(-1.0587+0.8836*LN(O5)+0.284)</f>
        <v>0.53650859312100496</v>
      </c>
      <c r="Q5" s="20">
        <f t="shared" si="2"/>
        <v>3.0030706326443997</v>
      </c>
      <c r="R5" s="59">
        <f t="shared" si="0"/>
        <v>296.33640396597769</v>
      </c>
      <c r="S5" s="59">
        <f ca="1">AVERAGE(OFFSET($R$3,0,0,'Données projet'!$E$9+1,1))-AVERAGE(OFFSET($H$3,0,0,'Données projet'!$E$9+1,1))</f>
        <v>138.8931001150624</v>
      </c>
      <c r="T5" s="59">
        <f t="shared" ref="T5:T68" si="34">$T$3</f>
        <v>48.964659354096625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5.75</v>
      </c>
      <c r="AI5" s="13">
        <f>IF('Données projet'!$A$62&gt;35,AI4+AH5-AQ4,IF(A5&lt;'Données projet'!$A$62,$AF$205^A5,IF(A5='Données projet'!$A$62,'Données projet'!$B$62,AI4+AH5-AQ4)))</f>
        <v>1.6071994829923508</v>
      </c>
      <c r="AJ5" s="13">
        <f>AI5*VLOOKUP('Données projet'!$B$10,Paramètres!$A$1:$I$89,3,0)*VLOOKUP('Données projet'!$B$10,Paramètres!$A$1:$I$89,5,0)</f>
        <v>0.75216935804042018</v>
      </c>
      <c r="AK5" s="13">
        <f t="shared" ref="AK5:AK68" si="35">EXP(-1.0587+0.8836*LN(AJ5)+0.284)</f>
        <v>0.35831464735172275</v>
      </c>
      <c r="AL5" s="20">
        <f t="shared" si="4"/>
        <v>1.9340929760579824</v>
      </c>
      <c r="AM5" s="59">
        <f t="shared" si="5"/>
        <v>295.26742630939128</v>
      </c>
      <c r="AN5" s="59">
        <f ca="1">AVERAGE(OFFSET($AM$3,0,0,'Données projet'!$E$10+1,1))-AVERAGE(OFFSET($H$3,0,0,'Données projet'!$E$10+1,1))</f>
        <v>123.60520571614535</v>
      </c>
      <c r="AO5" s="59">
        <f t="shared" ref="AO5:AO68" si="36">$AO$3</f>
        <v>119.00926870519527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3.5</v>
      </c>
      <c r="BD5" s="12">
        <f>IF('Données projet'!$A$88&gt;35,BD4+BC5-BL4,IF(A5&lt;'Données projet'!$A$88,$BA$205^A5,IF(A5='Données projet'!$A$88,'Données projet'!$B$88,BD4+BC5-BL4)))</f>
        <v>1.5293602706452198</v>
      </c>
      <c r="BE5" s="13">
        <f>BD5*VLOOKUP('Données projet'!$B$11,Paramètres!$A$1:$I$89,3,0)*VLOOKUP('Données projet'!$B$11,Paramètres!$A$1:$I$89,5,0)</f>
        <v>0.73562229018035075</v>
      </c>
      <c r="BF5" s="13">
        <f t="shared" ref="BF5:BF68" si="37">EXP(-1.0587+0.8836*LN(BE5)+0.284)</f>
        <v>0.35134058264208584</v>
      </c>
      <c r="BG5" s="20">
        <f t="shared" si="7"/>
        <v>1.8931270034990766</v>
      </c>
      <c r="BH5" s="59">
        <f t="shared" si="8"/>
        <v>295.22646033683242</v>
      </c>
      <c r="BI5" s="59">
        <f ca="1">AVERAGE(OFFSET($BH$3,0,0,'Données projet'!$E$11+1,1))-AVERAGE(OFFSET($H$3,0,0,'Données projet'!$E$11+1,1))</f>
        <v>252.30925789500111</v>
      </c>
      <c r="BJ5" s="59">
        <f t="shared" ref="BJ5:BJ68" si="38">$BJ$3</f>
        <v>213.96033794804805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1.2</v>
      </c>
      <c r="N6" s="13">
        <f>IF('Données projet'!$A$36&gt;35,N5+M6-V5,IF(A6&lt;'Données projet'!$A$36,$K$205^A6,IF(A6='Données projet'!$A$36,'Données projet'!$B$36,N5+M6-V5)))</f>
        <v>1.5040232524285473</v>
      </c>
      <c r="O6" s="13">
        <f>N6*VLOOKUP('Données projet'!$B$9,Paramètres!$A$1:$I$89,3,0)*VLOOKUP('Données projet'!$B$9,Paramètres!$A$1:$I$89,5,0)</f>
        <v>1.3608402387973495</v>
      </c>
      <c r="P6" s="13">
        <f t="shared" si="33"/>
        <v>0.60503995622724338</v>
      </c>
      <c r="Q6" s="20">
        <f t="shared" si="2"/>
        <v>3.4239080063344987</v>
      </c>
      <c r="R6" s="59">
        <f t="shared" si="0"/>
        <v>296.75724133966781</v>
      </c>
      <c r="S6" s="59">
        <f ca="1">AVERAGE(OFFSET($R$3,0,0,'Données projet'!$E$9+1,1))-AVERAGE(OFFSET($H$3,0,0,'Données projet'!$E$9+1,1))</f>
        <v>138.8931001150624</v>
      </c>
      <c r="T6" s="59">
        <f t="shared" si="34"/>
        <v>48.964659354096625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5.75</v>
      </c>
      <c r="AI6" s="13">
        <f>IF('Données projet'!$A$62&gt;35,AI5+AH6-AQ5,IF(A6&lt;'Données projet'!$A$62,$AF$205^A6,IF(A6='Données projet'!$A$62,'Données projet'!$B$62,AI5+AH6-AQ5)))</f>
        <v>2.0375331160043926</v>
      </c>
      <c r="AJ6" s="13">
        <f>AI6*VLOOKUP('Données projet'!$B$10,Paramètres!$A$1:$I$89,3,0)*VLOOKUP('Données projet'!$B$10,Paramètres!$A$1:$I$89,5,0)</f>
        <v>0.95356549829005577</v>
      </c>
      <c r="AK6" s="13">
        <f t="shared" si="35"/>
        <v>0.44188187933534279</v>
      </c>
      <c r="AL6" s="20">
        <f t="shared" si="4"/>
        <v>2.4304041826975693</v>
      </c>
      <c r="AM6" s="59">
        <f t="shared" si="5"/>
        <v>295.76373751603086</v>
      </c>
      <c r="AN6" s="59">
        <f ca="1">AVERAGE(OFFSET($AM$3,0,0,'Données projet'!$E$10+1,1))-AVERAGE(OFFSET($H$3,0,0,'Données projet'!$E$10+1,1))</f>
        <v>123.60520571614535</v>
      </c>
      <c r="AO6" s="59">
        <f t="shared" si="36"/>
        <v>119.00926870519527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3.5</v>
      </c>
      <c r="BD6" s="12">
        <f>IF('Données projet'!$A$88&gt;35,BD5+BC6-BL5,IF(A6&lt;'Données projet'!$A$88,$BA$205^A6,IF(A6='Données projet'!$A$88,'Données projet'!$B$88,BD5+BC6-BL5)))</f>
        <v>1.8913186539746853</v>
      </c>
      <c r="BE6" s="13">
        <f>BD6*VLOOKUP('Données projet'!$B$11,Paramètres!$A$1:$I$89,3,0)*VLOOKUP('Données projet'!$B$11,Paramètres!$A$1:$I$89,5,0)</f>
        <v>0.90972427256182364</v>
      </c>
      <c r="BF6" s="13">
        <f t="shared" si="37"/>
        <v>0.42388177920339304</v>
      </c>
      <c r="BG6" s="20">
        <f t="shared" si="7"/>
        <v>2.3226972068244187</v>
      </c>
      <c r="BH6" s="59">
        <f t="shared" si="8"/>
        <v>295.65603054015776</v>
      </c>
      <c r="BI6" s="59">
        <f ca="1">AVERAGE(OFFSET($BH$3,0,0,'Données projet'!$E$11+1,1))-AVERAGE(OFFSET($H$3,0,0,'Données projet'!$E$11+1,1))</f>
        <v>252.30925789500111</v>
      </c>
      <c r="BJ6" s="59">
        <f t="shared" si="38"/>
        <v>213.96033794804805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1.2</v>
      </c>
      <c r="N7" s="13">
        <f>IF('Données projet'!$A$36&gt;35,N6+M7-V6,IF(A7&lt;'Données projet'!$A$36,$K$205^A7,IF(A7='Données projet'!$A$36,'Données projet'!$B$36,N6+M7-V6)))</f>
        <v>1.7232147397057538</v>
      </c>
      <c r="O7" s="13">
        <f>N7*VLOOKUP('Données projet'!$B$9,Paramètres!$A$1:$I$89,3,0)*VLOOKUP('Données projet'!$B$9,Paramètres!$A$1:$I$89,5,0)</f>
        <v>1.5591646964857659</v>
      </c>
      <c r="P7" s="13">
        <f t="shared" si="33"/>
        <v>0.68232522894353675</v>
      </c>
      <c r="Q7" s="20">
        <f t="shared" si="2"/>
        <v>3.9039282867893692</v>
      </c>
      <c r="R7" s="59">
        <f t="shared" si="0"/>
        <v>297.23726162012269</v>
      </c>
      <c r="S7" s="59">
        <f ca="1">AVERAGE(OFFSET($R$3,0,0,'Données projet'!$E$9+1,1))-AVERAGE(OFFSET($H$3,0,0,'Données projet'!$E$9+1,1))</f>
        <v>138.8931001150624</v>
      </c>
      <c r="T7" s="59">
        <f t="shared" si="34"/>
        <v>48.964659354096625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5.75</v>
      </c>
      <c r="AI7" s="13">
        <f>IF('Données projet'!$A$62&gt;35,AI6+AH7-AQ6,IF(A7&lt;'Données projet'!$A$62,$AF$205^A7,IF(A7='Données projet'!$A$62,'Données projet'!$B$62,AI6+AH7-AQ6)))</f>
        <v>2.5830901781308797</v>
      </c>
      <c r="AJ7" s="13">
        <f>AI7*VLOOKUP('Données projet'!$B$10,Paramètres!$A$1:$I$89,3,0)*VLOOKUP('Données projet'!$B$10,Paramètres!$A$1:$I$89,5,0)</f>
        <v>1.2088862033652517</v>
      </c>
      <c r="AK7" s="13">
        <f t="shared" si="35"/>
        <v>0.54493891535856476</v>
      </c>
      <c r="AL7" s="20">
        <f t="shared" si="4"/>
        <v>3.0545787484439804</v>
      </c>
      <c r="AM7" s="59">
        <f t="shared" si="5"/>
        <v>296.3879120817773</v>
      </c>
      <c r="AN7" s="59">
        <f ca="1">AVERAGE(OFFSET($AM$3,0,0,'Données projet'!$E$10+1,1))-AVERAGE(OFFSET($H$3,0,0,'Données projet'!$E$10+1,1))</f>
        <v>123.60520571614535</v>
      </c>
      <c r="AO7" s="59">
        <f t="shared" si="36"/>
        <v>119.00926870519527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3.5</v>
      </c>
      <c r="BD7" s="12">
        <f>IF('Données projet'!$A$88&gt;35,BD6+BC7-BL6,IF(A7&lt;'Données projet'!$A$88,$BA$205^A7,IF(A7='Données projet'!$A$88,'Données projet'!$B$88,BD6+BC7-BL6)))</f>
        <v>2.3389428374280201</v>
      </c>
      <c r="BE7" s="13">
        <f>BD7*VLOOKUP('Données projet'!$B$11,Paramètres!$A$1:$I$89,3,0)*VLOOKUP('Données projet'!$B$11,Paramètres!$A$1:$I$89,5,0)</f>
        <v>1.1250315048028776</v>
      </c>
      <c r="BF7" s="13">
        <f t="shared" si="37"/>
        <v>0.51140053730619417</v>
      </c>
      <c r="BG7" s="20">
        <f t="shared" si="7"/>
        <v>2.8501191400066332</v>
      </c>
      <c r="BH7" s="59">
        <f t="shared" si="8"/>
        <v>296.18345247333997</v>
      </c>
      <c r="BI7" s="59">
        <f ca="1">AVERAGE(OFFSET($BH$3,0,0,'Données projet'!$E$11+1,1))-AVERAGE(OFFSET($H$3,0,0,'Données projet'!$E$11+1,1))</f>
        <v>252.30925789500111</v>
      </c>
      <c r="BJ7" s="59">
        <f t="shared" si="38"/>
        <v>213.96033794804805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1.2</v>
      </c>
      <c r="N8" s="13">
        <f>IF('Données projet'!$A$36&gt;35,N7+M8-V7,IF(A8&lt;'Données projet'!$A$36,$K$205^A8,IF(A8='Données projet'!$A$36,'Données projet'!$B$36,N7+M8-V7)))</f>
        <v>1.9743504858348202</v>
      </c>
      <c r="O8" s="13">
        <f>N8*VLOOKUP('Données projet'!$B$9,Paramètres!$A$1:$I$89,3,0)*VLOOKUP('Données projet'!$B$9,Paramètres!$A$1:$I$89,5,0)</f>
        <v>1.7863923195833453</v>
      </c>
      <c r="P8" s="13">
        <f t="shared" si="33"/>
        <v>0.76948259905993732</v>
      </c>
      <c r="Q8" s="20">
        <f t="shared" si="2"/>
        <v>4.4514821499703841</v>
      </c>
      <c r="R8" s="59">
        <f t="shared" si="0"/>
        <v>297.7848154833037</v>
      </c>
      <c r="S8" s="59">
        <f ca="1">AVERAGE(OFFSET($R$3,0,0,'Données projet'!$E$9+1,1))-AVERAGE(OFFSET($H$3,0,0,'Données projet'!$E$9+1,1))</f>
        <v>138.8931001150624</v>
      </c>
      <c r="T8" s="59">
        <f t="shared" si="34"/>
        <v>48.964659354096625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5.75</v>
      </c>
      <c r="AI8" s="13">
        <f>IF('Données projet'!$A$62&gt;35,AI7+AH8-AQ7,IF(A8&lt;'Données projet'!$A$62,$AF$205^A8,IF(A8='Données projet'!$A$62,'Données projet'!$B$62,AI7+AH8-AQ7)))</f>
        <v>3.2747221706220535</v>
      </c>
      <c r="AJ8" s="13">
        <f>AI8*VLOOKUP('Données projet'!$B$10,Paramètres!$A$1:$I$89,3,0)*VLOOKUP('Données projet'!$B$10,Paramètres!$A$1:$I$89,5,0)</f>
        <v>1.5325699758511209</v>
      </c>
      <c r="AK8" s="13">
        <f t="shared" si="35"/>
        <v>0.67203122680395833</v>
      </c>
      <c r="AL8" s="20">
        <f t="shared" si="4"/>
        <v>3.839680427957596</v>
      </c>
      <c r="AM8" s="59">
        <f t="shared" si="5"/>
        <v>297.17301376129092</v>
      </c>
      <c r="AN8" s="59">
        <f ca="1">AVERAGE(OFFSET($AM$3,0,0,'Données projet'!$E$10+1,1))-AVERAGE(OFFSET($H$3,0,0,'Données projet'!$E$10+1,1))</f>
        <v>123.60520571614535</v>
      </c>
      <c r="AO8" s="59">
        <f t="shared" si="36"/>
        <v>119.00926870519527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3.5</v>
      </c>
      <c r="BD8" s="12">
        <f>IF('Données projet'!$A$88&gt;35,BD7+BC8-BL7,IF(A8&lt;'Données projet'!$A$88,$BA$205^A8,IF(A8='Données projet'!$A$88,'Données projet'!$B$88,BD7+BC8-BL7)))</f>
        <v>2.8925076085190775</v>
      </c>
      <c r="BE8" s="13">
        <f>BD8*VLOOKUP('Données projet'!$B$11,Paramètres!$A$1:$I$89,3,0)*VLOOKUP('Données projet'!$B$11,Paramètres!$A$1:$I$89,5,0)</f>
        <v>1.3912961596976763</v>
      </c>
      <c r="BF8" s="13">
        <f t="shared" si="37"/>
        <v>0.61698927009451099</v>
      </c>
      <c r="BG8" s="20">
        <f t="shared" si="7"/>
        <v>3.4977637902213932</v>
      </c>
      <c r="BH8" s="59">
        <f t="shared" si="8"/>
        <v>296.83109712355468</v>
      </c>
      <c r="BI8" s="59">
        <f ca="1">AVERAGE(OFFSET($BH$3,0,0,'Données projet'!$E$11+1,1))-AVERAGE(OFFSET($H$3,0,0,'Données projet'!$E$11+1,1))</f>
        <v>252.30925789500111</v>
      </c>
      <c r="BJ8" s="59">
        <f t="shared" si="38"/>
        <v>213.96033794804805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1.2</v>
      </c>
      <c r="N9" s="13">
        <f>IF('Données projet'!$A$36&gt;35,N8+M9-V8,IF(A9&lt;'Données projet'!$A$36,$K$205^A9,IF(A9='Données projet'!$A$36,'Données projet'!$B$36,N8+M9-V8)))</f>
        <v>2.2620859438457455</v>
      </c>
      <c r="O9" s="13">
        <f>N9*VLOOKUP('Données projet'!$B$9,Paramètres!$A$1:$I$89,3,0)*VLOOKUP('Données projet'!$B$9,Paramètres!$A$1:$I$89,5,0)</f>
        <v>2.0467353619916304</v>
      </c>
      <c r="P9" s="13">
        <f t="shared" si="33"/>
        <v>0.86777308699666067</v>
      </c>
      <c r="Q9" s="20">
        <f t="shared" si="2"/>
        <v>5.0761022153212734</v>
      </c>
      <c r="R9" s="59">
        <f t="shared" si="0"/>
        <v>298.40943554865459</v>
      </c>
      <c r="S9" s="59">
        <f ca="1">AVERAGE(OFFSET($R$3,0,0,'Données projet'!$E$9+1,1))-AVERAGE(OFFSET($H$3,0,0,'Données projet'!$E$9+1,1))</f>
        <v>138.8931001150624</v>
      </c>
      <c r="T9" s="59">
        <f t="shared" si="34"/>
        <v>48.964659354096625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5.75</v>
      </c>
      <c r="AI9" s="13">
        <f>IF('Données projet'!$A$62&gt;35,AI8+AH9-AQ8,IF(A9&lt;'Données projet'!$A$62,$AF$205^A9,IF(A9='Données projet'!$A$62,'Données projet'!$B$62,AI8+AH9-AQ8)))</f>
        <v>4.1515411988145692</v>
      </c>
      <c r="AJ9" s="13">
        <f>AI9*VLOOKUP('Données projet'!$B$10,Paramètres!$A$1:$I$89,3,0)*VLOOKUP('Données projet'!$B$10,Paramètres!$A$1:$I$89,5,0)</f>
        <v>1.9429212810452183</v>
      </c>
      <c r="AK9" s="13">
        <f t="shared" si="35"/>
        <v>0.82876439371643607</v>
      </c>
      <c r="AL9" s="20">
        <f t="shared" si="4"/>
        <v>4.8273525502098815</v>
      </c>
      <c r="AM9" s="59">
        <f t="shared" si="5"/>
        <v>298.16068588354318</v>
      </c>
      <c r="AN9" s="59">
        <f ca="1">AVERAGE(OFFSET($AM$3,0,0,'Données projet'!$E$10+1,1))-AVERAGE(OFFSET($H$3,0,0,'Données projet'!$E$10+1,1))</f>
        <v>123.60520571614535</v>
      </c>
      <c r="AO9" s="59">
        <f t="shared" si="36"/>
        <v>119.00926870519527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3.5</v>
      </c>
      <c r="BD9" s="12">
        <f>IF('Données projet'!$A$88&gt;35,BD8+BC9-BL8,IF(A9&lt;'Données projet'!$A$88,$BA$205^A9,IF(A9='Données projet'!$A$88,'Données projet'!$B$88,BD8+BC9-BL8)))</f>
        <v>3.5770862508726151</v>
      </c>
      <c r="BE9" s="13">
        <f>BD9*VLOOKUP('Données projet'!$B$11,Paramètres!$A$1:$I$89,3,0)*VLOOKUP('Données projet'!$B$11,Paramètres!$A$1:$I$89,5,0)</f>
        <v>1.720578486669728</v>
      </c>
      <c r="BF9" s="13">
        <f t="shared" si="37"/>
        <v>0.74437888043092337</v>
      </c>
      <c r="BG9" s="20">
        <f t="shared" si="7"/>
        <v>4.2931340810336343</v>
      </c>
      <c r="BH9" s="59">
        <f t="shared" si="8"/>
        <v>297.62646741436697</v>
      </c>
      <c r="BI9" s="59">
        <f ca="1">AVERAGE(OFFSET($BH$3,0,0,'Données projet'!$E$11+1,1))-AVERAGE(OFFSET($H$3,0,0,'Données projet'!$E$11+1,1))</f>
        <v>252.30925789500111</v>
      </c>
      <c r="BJ9" s="59">
        <f t="shared" si="38"/>
        <v>213.96033794804805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1.2</v>
      </c>
      <c r="N10" s="13">
        <f>IF('Données projet'!$A$36&gt;35,N9+M10-V9,IF(A10&lt;'Données projet'!$A$36,$K$205^A10,IF(A10='Données projet'!$A$36,'Données projet'!$B$36,N9+M10-V9)))</f>
        <v>2.5917550374450604</v>
      </c>
      <c r="O10" s="13">
        <f>N10*VLOOKUP('Données projet'!$B$9,Paramètres!$A$1:$I$89,3,0)*VLOOKUP('Données projet'!$B$9,Paramètres!$A$1:$I$89,5,0)</f>
        <v>2.3450199578802908</v>
      </c>
      <c r="P10" s="13">
        <f t="shared" si="33"/>
        <v>0.97861879064669866</v>
      </c>
      <c r="Q10" s="20">
        <f t="shared" si="2"/>
        <v>5.7886708203511725</v>
      </c>
      <c r="R10" s="59">
        <f t="shared" si="0"/>
        <v>299.12200415368449</v>
      </c>
      <c r="S10" s="59">
        <f ca="1">AVERAGE(OFFSET($R$3,0,0,'Données projet'!$E$9+1,1))-AVERAGE(OFFSET($H$3,0,0,'Données projet'!$E$9+1,1))</f>
        <v>138.8931001150624</v>
      </c>
      <c r="T10" s="59">
        <f t="shared" si="34"/>
        <v>48.964659354096625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5.75</v>
      </c>
      <c r="AI10" s="13">
        <f>IF('Données projet'!$A$62&gt;35,AI9+AH10-AQ9,IF(A10&lt;'Données projet'!$A$62,$AF$205^A10,IF(A10='Données projet'!$A$62,'Données projet'!$B$62,AI9+AH10-AQ9)))</f>
        <v>5.2631317795673525</v>
      </c>
      <c r="AJ10" s="13">
        <f>AI10*VLOOKUP('Données projet'!$B$10,Paramètres!$A$1:$I$89,3,0)*VLOOKUP('Données projet'!$B$10,Paramètres!$A$1:$I$89,5,0)</f>
        <v>2.4631456728375212</v>
      </c>
      <c r="AK10" s="13">
        <f t="shared" si="35"/>
        <v>1.0220513465701448</v>
      </c>
      <c r="AL10" s="20">
        <f t="shared" si="4"/>
        <v>6.0700514754683512</v>
      </c>
      <c r="AM10" s="59">
        <f t="shared" si="5"/>
        <v>299.40338480880166</v>
      </c>
      <c r="AN10" s="59">
        <f ca="1">AVERAGE(OFFSET($AM$3,0,0,'Données projet'!$E$10+1,1))-AVERAGE(OFFSET($H$3,0,0,'Données projet'!$E$10+1,1))</f>
        <v>123.60520571614535</v>
      </c>
      <c r="AO10" s="59">
        <f t="shared" si="36"/>
        <v>119.00926870519527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3.5</v>
      </c>
      <c r="BD10" s="12">
        <f>IF('Données projet'!$A$88&gt;35,BD9+BC10-BL9,IF(A10&lt;'Données projet'!$A$88,$BA$205^A10,IF(A10='Données projet'!$A$88,'Données projet'!$B$88,BD9+BC10-BL9)))</f>
        <v>4.4236862190080943</v>
      </c>
      <c r="BE10" s="13">
        <f>BD10*VLOOKUP('Données projet'!$B$11,Paramètres!$A$1:$I$89,3,0)*VLOOKUP('Données projet'!$B$11,Paramètres!$A$1:$I$89,5,0)</f>
        <v>2.1277930713428934</v>
      </c>
      <c r="BF10" s="13">
        <f t="shared" si="37"/>
        <v>0.89807058969877585</v>
      </c>
      <c r="BG10" s="20">
        <f t="shared" si="7"/>
        <v>5.2700458763142404</v>
      </c>
      <c r="BH10" s="59">
        <f t="shared" si="8"/>
        <v>298.60337920964753</v>
      </c>
      <c r="BI10" s="59">
        <f ca="1">AVERAGE(OFFSET($BH$3,0,0,'Données projet'!$E$11+1,1))-AVERAGE(OFFSET($H$3,0,0,'Données projet'!$E$11+1,1))</f>
        <v>252.30925789500111</v>
      </c>
      <c r="BJ10" s="59">
        <f t="shared" si="38"/>
        <v>213.96033794804805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1.2</v>
      </c>
      <c r="N11" s="13">
        <f>IF('Données projet'!$A$36&gt;35,N10+M11-V10,IF(A11&lt;'Données projet'!$A$36,$K$205^A11,IF(A11='Données projet'!$A$36,'Données projet'!$B$36,N10+M11-V10)))</f>
        <v>2.9694690391391689</v>
      </c>
      <c r="O11" s="13">
        <f>N11*VLOOKUP('Données projet'!$B$9,Paramètres!$A$1:$I$89,3,0)*VLOOKUP('Données projet'!$B$9,Paramètres!$A$1:$I$89,5,0)</f>
        <v>2.6867755866131198</v>
      </c>
      <c r="P11" s="13">
        <f t="shared" si="33"/>
        <v>1.1036234607382931</v>
      </c>
      <c r="Q11" s="20">
        <f t="shared" si="2"/>
        <v>6.6016116741370441</v>
      </c>
      <c r="R11" s="59">
        <f t="shared" si="0"/>
        <v>299.93494500747033</v>
      </c>
      <c r="S11" s="59">
        <f ca="1">AVERAGE(OFFSET($R$3,0,0,'Données projet'!$E$9+1,1))-AVERAGE(OFFSET($H$3,0,0,'Données projet'!$E$9+1,1))</f>
        <v>138.8931001150624</v>
      </c>
      <c r="T11" s="59">
        <f t="shared" si="34"/>
        <v>48.964659354096625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5.75</v>
      </c>
      <c r="AI11" s="13">
        <f>IF('Données projet'!$A$62&gt;35,AI10+AH11-AQ10,IF(A11&lt;'Données projet'!$A$62,$AF$205^A11,IF(A11='Données projet'!$A$62,'Données projet'!$B$62,AI10+AH11-AQ10)))</f>
        <v>6.6723548683562202</v>
      </c>
      <c r="AJ11" s="13">
        <f>AI11*VLOOKUP('Données projet'!$B$10,Paramètres!$A$1:$I$89,3,0)*VLOOKUP('Données projet'!$B$10,Paramètres!$A$1:$I$89,5,0)</f>
        <v>3.1226620783907113</v>
      </c>
      <c r="AK11" s="13">
        <f t="shared" si="35"/>
        <v>1.2604172705122936</v>
      </c>
      <c r="AL11" s="20">
        <f t="shared" si="4"/>
        <v>7.6338631993393991</v>
      </c>
      <c r="AM11" s="59">
        <f t="shared" si="5"/>
        <v>300.96719653267269</v>
      </c>
      <c r="AN11" s="59">
        <f ca="1">AVERAGE(OFFSET($AM$3,0,0,'Données projet'!$E$10+1,1))-AVERAGE(OFFSET($H$3,0,0,'Données projet'!$E$10+1,1))</f>
        <v>123.60520571614535</v>
      </c>
      <c r="AO11" s="59">
        <f t="shared" si="36"/>
        <v>119.00926870519527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3.5</v>
      </c>
      <c r="BD11" s="12">
        <f>IF('Données projet'!$A$88&gt;35,BD10+BC11-BL10,IF(A11&lt;'Données projet'!$A$88,$BA$205^A11,IF(A11='Données projet'!$A$88,'Données projet'!$B$88,BD10+BC11-BL10)))</f>
        <v>5.4706535967558381</v>
      </c>
      <c r="BE11" s="13">
        <f>BD11*VLOOKUP('Données projet'!$B$11,Paramètres!$A$1:$I$89,3,0)*VLOOKUP('Données projet'!$B$11,Paramètres!$A$1:$I$89,5,0)</f>
        <v>2.6313843800395582</v>
      </c>
      <c r="BF11" s="13">
        <f t="shared" si="37"/>
        <v>1.0834949852620803</v>
      </c>
      <c r="BG11" s="20">
        <f t="shared" si="7"/>
        <v>6.4700815612336875</v>
      </c>
      <c r="BH11" s="59">
        <f t="shared" si="8"/>
        <v>299.80341489456703</v>
      </c>
      <c r="BI11" s="59">
        <f ca="1">AVERAGE(OFFSET($BH$3,0,0,'Données projet'!$E$11+1,1))-AVERAGE(OFFSET($H$3,0,0,'Données projet'!$E$11+1,1))</f>
        <v>252.30925789500111</v>
      </c>
      <c r="BJ11" s="59">
        <f t="shared" si="38"/>
        <v>213.96033794804805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1.2</v>
      </c>
      <c r="N12" s="13">
        <f>IF('Données projet'!$A$36&gt;35,N11+M12-V11,IF(A12&lt;'Données projet'!$A$36,$K$205^A12,IF(A12='Données projet'!$A$36,'Données projet'!$B$36,N11+M12-V11)))</f>
        <v>3.4022298585357786</v>
      </c>
      <c r="O12" s="13">
        <f>N12*VLOOKUP('Données projet'!$B$9,Paramètres!$A$1:$I$89,3,0)*VLOOKUP('Données projet'!$B$9,Paramètres!$A$1:$I$89,5,0)</f>
        <v>3.0783375760031726</v>
      </c>
      <c r="P12" s="13">
        <f t="shared" si="33"/>
        <v>1.2445957044081368</v>
      </c>
      <c r="Q12" s="20">
        <f t="shared" si="2"/>
        <v>7.5291087967163621</v>
      </c>
      <c r="R12" s="59">
        <f t="shared" si="0"/>
        <v>300.86244213004966</v>
      </c>
      <c r="S12" s="59">
        <f ca="1">AVERAGE(OFFSET($R$3,0,0,'Données projet'!$E$9+1,1))-AVERAGE(OFFSET($H$3,0,0,'Données projet'!$E$9+1,1))</f>
        <v>138.8931001150624</v>
      </c>
      <c r="T12" s="59">
        <f t="shared" si="34"/>
        <v>48.964659354096625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5.75</v>
      </c>
      <c r="AI12" s="13">
        <f>IF('Données projet'!$A$62&gt;35,AI11+AH12-AQ11,IF(A12&lt;'Données projet'!$A$62,$AF$205^A12,IF(A12='Données projet'!$A$62,'Données projet'!$B$62,AI11+AH12-AQ11)))</f>
        <v>8.4589026750412604</v>
      </c>
      <c r="AJ12" s="13">
        <f>AI12*VLOOKUP('Données projet'!$B$10,Paramètres!$A$1:$I$89,3,0)*VLOOKUP('Données projet'!$B$10,Paramètres!$A$1:$I$89,5,0)</f>
        <v>3.9587664519193098</v>
      </c>
      <c r="AK12" s="13">
        <f t="shared" si="35"/>
        <v>1.5543756203021926</v>
      </c>
      <c r="AL12" s="20">
        <f t="shared" si="4"/>
        <v>9.6020557757857823</v>
      </c>
      <c r="AM12" s="59">
        <f t="shared" si="5"/>
        <v>302.93538910911911</v>
      </c>
      <c r="AN12" s="59">
        <f ca="1">AVERAGE(OFFSET($AM$3,0,0,'Données projet'!$E$10+1,1))-AVERAGE(OFFSET($H$3,0,0,'Données projet'!$E$10+1,1))</f>
        <v>123.60520571614535</v>
      </c>
      <c r="AO12" s="59">
        <f t="shared" si="36"/>
        <v>119.00926870519527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3.5</v>
      </c>
      <c r="BD12" s="12">
        <f>IF('Données projet'!$A$88&gt;35,BD11+BC12-BL11,IF(A12&lt;'Données projet'!$A$88,$BA$205^A12,IF(A12='Données projet'!$A$88,'Données projet'!$B$88,BD11+BC12-BL11)))</f>
        <v>6.7654099531517486</v>
      </c>
      <c r="BE12" s="13">
        <f>BD12*VLOOKUP('Données projet'!$B$11,Paramètres!$A$1:$I$89,3,0)*VLOOKUP('Données projet'!$B$11,Paramètres!$A$1:$I$89,5,0)</f>
        <v>3.2541621874659912</v>
      </c>
      <c r="BF12" s="13">
        <f t="shared" si="37"/>
        <v>1.3072039064121193</v>
      </c>
      <c r="BG12" s="20">
        <f t="shared" si="7"/>
        <v>7.9443792801710416</v>
      </c>
      <c r="BH12" s="59">
        <f t="shared" si="8"/>
        <v>301.27771261350438</v>
      </c>
      <c r="BI12" s="59">
        <f ca="1">AVERAGE(OFFSET($BH$3,0,0,'Données projet'!$E$11+1,1))-AVERAGE(OFFSET($H$3,0,0,'Données projet'!$E$11+1,1))</f>
        <v>252.30925789500111</v>
      </c>
      <c r="BJ12" s="59">
        <f t="shared" si="38"/>
        <v>213.96033794804805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1.2</v>
      </c>
      <c r="N13" s="13">
        <f>IF('Données projet'!$A$36&gt;35,N12+M13-V12,IF(A13&lt;'Données projet'!$A$36,$K$205^A13,IF(A13='Données projet'!$A$36,'Données projet'!$B$36,N12+M13-V12)))</f>
        <v>3.8980598409161908</v>
      </c>
      <c r="O13" s="13">
        <f>N13*VLOOKUP('Données projet'!$B$9,Paramètres!$A$1:$I$89,3,0)*VLOOKUP('Données projet'!$B$9,Paramètres!$A$1:$I$89,5,0)</f>
        <v>3.5269645440609696</v>
      </c>
      <c r="P13" s="13">
        <f t="shared" si="33"/>
        <v>1.403575152701934</v>
      </c>
      <c r="Q13" s="20">
        <f t="shared" si="2"/>
        <v>8.587356638528723</v>
      </c>
      <c r="R13" s="59">
        <f t="shared" si="0"/>
        <v>301.92068997186203</v>
      </c>
      <c r="S13" s="59">
        <f ca="1">AVERAGE(OFFSET($R$3,0,0,'Données projet'!$E$9+1,1))-AVERAGE(OFFSET($H$3,0,0,'Données projet'!$E$9+1,1))</f>
        <v>138.8931001150624</v>
      </c>
      <c r="T13" s="59">
        <f t="shared" si="34"/>
        <v>48.964659354096625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5.75</v>
      </c>
      <c r="AI13" s="13">
        <f>IF('Données projet'!$A$62&gt;35,AI12+AH13-AQ12,IF(A13&lt;'Données projet'!$A$62,$AF$205^A13,IF(A13='Données projet'!$A$62,'Données projet'!$B$62,AI12+AH13-AQ12)))</f>
        <v>10.723805294763611</v>
      </c>
      <c r="AJ13" s="13">
        <f>AI13*VLOOKUP('Données projet'!$B$10,Paramètres!$A$1:$I$89,3,0)*VLOOKUP('Données projet'!$B$10,Paramètres!$A$1:$I$89,5,0)</f>
        <v>5.0187408779493703</v>
      </c>
      <c r="AK13" s="13">
        <f t="shared" si="35"/>
        <v>1.9168918305981435</v>
      </c>
      <c r="AL13" s="20">
        <f t="shared" si="4"/>
        <v>12.079560300720253</v>
      </c>
      <c r="AM13" s="59">
        <f t="shared" si="5"/>
        <v>305.41289363405355</v>
      </c>
      <c r="AN13" s="59">
        <f ca="1">AVERAGE(OFFSET($AM$3,0,0,'Données projet'!$E$10+1,1))-AVERAGE(OFFSET($H$3,0,0,'Données projet'!$E$10+1,1))</f>
        <v>123.60520571614535</v>
      </c>
      <c r="AO13" s="59">
        <f t="shared" si="36"/>
        <v>119.00926870519527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3.5</v>
      </c>
      <c r="BD13" s="12">
        <f>IF('Données projet'!$A$88&gt;35,BD12+BC13-BL12,IF(A13&lt;'Données projet'!$A$88,$BA$205^A13,IF(A13='Données projet'!$A$88,'Données projet'!$B$88,BD12+BC13-BL12)))</f>
        <v>8.3666002653407539</v>
      </c>
      <c r="BE13" s="13">
        <f>BD13*VLOOKUP('Données projet'!$B$11,Paramètres!$A$1:$I$89,3,0)*VLOOKUP('Données projet'!$B$11,Paramètres!$A$1:$I$89,5,0)</f>
        <v>4.0243347276289025</v>
      </c>
      <c r="BF13" s="13">
        <f t="shared" si="37"/>
        <v>1.5771019489543625</v>
      </c>
      <c r="BG13" s="20">
        <f t="shared" si="7"/>
        <v>9.7558355450491874</v>
      </c>
      <c r="BH13" s="59">
        <f t="shared" si="8"/>
        <v>303.08916887838251</v>
      </c>
      <c r="BI13" s="59">
        <f ca="1">AVERAGE(OFFSET($BH$3,0,0,'Données projet'!$E$11+1,1))-AVERAGE(OFFSET($H$3,0,0,'Données projet'!$E$11+1,1))</f>
        <v>252.30925789500111</v>
      </c>
      <c r="BJ13" s="59">
        <f t="shared" si="38"/>
        <v>213.96033794804805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1.2</v>
      </c>
      <c r="N14" s="13">
        <f>IF('Données projet'!$A$36&gt;35,N13+M14-V13,IF(A14&lt;'Données projet'!$A$36,$K$205^A14,IF(A14='Données projet'!$A$36,'Données projet'!$B$36,N13+M14-V13)))</f>
        <v>4.4661504822319662</v>
      </c>
      <c r="O14" s="13">
        <f>N14*VLOOKUP('Données projet'!$B$9,Paramètres!$A$1:$I$89,3,0)*VLOOKUP('Données projet'!$B$9,Paramètres!$A$1:$I$89,5,0)</f>
        <v>4.0409729563234826</v>
      </c>
      <c r="P14" s="13">
        <f t="shared" si="33"/>
        <v>1.5828619706020071</v>
      </c>
      <c r="Q14" s="20">
        <f t="shared" si="2"/>
        <v>9.7948458310618953</v>
      </c>
      <c r="R14" s="59">
        <f t="shared" si="0"/>
        <v>303.12817916439519</v>
      </c>
      <c r="S14" s="59">
        <f ca="1">AVERAGE(OFFSET($R$3,0,0,'Données projet'!$E$9+1,1))-AVERAGE(OFFSET($H$3,0,0,'Données projet'!$E$9+1,1))</f>
        <v>138.8931001150624</v>
      </c>
      <c r="T14" s="59">
        <f t="shared" si="34"/>
        <v>48.964659354096625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5.75</v>
      </c>
      <c r="AI14" s="13">
        <f>IF('Données projet'!$A$62&gt;35,AI13+AH14-AQ13,IF(A14&lt;'Données projet'!$A$62,$AF$205^A14,IF(A14='Données projet'!$A$62,'Données projet'!$B$62,AI13+AH14-AQ13)))</f>
        <v>13.595144006008928</v>
      </c>
      <c r="AJ14" s="13">
        <f>AI14*VLOOKUP('Données projet'!$B$10,Paramètres!$A$1:$I$89,3,0)*VLOOKUP('Données projet'!$B$10,Paramètres!$A$1:$I$89,5,0)</f>
        <v>6.3625273948121777</v>
      </c>
      <c r="AK14" s="13">
        <f t="shared" si="35"/>
        <v>2.3639551741679612</v>
      </c>
      <c r="AL14" s="20">
        <f t="shared" si="4"/>
        <v>15.198623807640407</v>
      </c>
      <c r="AM14" s="59">
        <f t="shared" si="5"/>
        <v>308.5319571409737</v>
      </c>
      <c r="AN14" s="59">
        <f ca="1">AVERAGE(OFFSET($AM$3,0,0,'Données projet'!$E$10+1,1))-AVERAGE(OFFSET($H$3,0,0,'Données projet'!$E$10+1,1))</f>
        <v>123.60520571614535</v>
      </c>
      <c r="AO14" s="59">
        <f t="shared" si="36"/>
        <v>119.00926870519527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3.5</v>
      </c>
      <c r="BD14" s="12">
        <f>IF('Données projet'!$A$88&gt;35,BD13+BC14-BL13,IF(A14&lt;'Données projet'!$A$88,$BA$205^A14,IF(A14='Données projet'!$A$88,'Données projet'!$B$88,BD13+BC14-BL13)))</f>
        <v>10.346749196978022</v>
      </c>
      <c r="BE14" s="13">
        <f>BD14*VLOOKUP('Données projet'!$B$11,Paramètres!$A$1:$I$89,3,0)*VLOOKUP('Données projet'!$B$11,Paramètres!$A$1:$I$89,5,0)</f>
        <v>4.9767863637464291</v>
      </c>
      <c r="BF14" s="13">
        <f t="shared" si="37"/>
        <v>1.9027257684858068</v>
      </c>
      <c r="BG14" s="20">
        <f t="shared" si="7"/>
        <v>11.981816963637812</v>
      </c>
      <c r="BH14" s="59">
        <f t="shared" si="8"/>
        <v>305.31515029697113</v>
      </c>
      <c r="BI14" s="59">
        <f ca="1">AVERAGE(OFFSET($BH$3,0,0,'Données projet'!$E$11+1,1))-AVERAGE(OFFSET($H$3,0,0,'Données projet'!$E$11+1,1))</f>
        <v>252.30925789500111</v>
      </c>
      <c r="BJ14" s="59">
        <f t="shared" si="38"/>
        <v>213.96033794804805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1.2</v>
      </c>
      <c r="N15" s="13">
        <f>IF('Données projet'!$A$36&gt;35,N14+M15-V14,IF(A15&lt;'Données projet'!$A$36,$K$205^A15,IF(A15='Données projet'!$A$36,'Données projet'!$B$36,N14+M15-V14)))</f>
        <v>5.1170328173444979</v>
      </c>
      <c r="O15" s="13">
        <f>N15*VLOOKUP('Données projet'!$B$9,Paramètres!$A$1:$I$89,3,0)*VLOOKUP('Données projet'!$B$9,Paramètres!$A$1:$I$89,5,0)</f>
        <v>4.6298912931333014</v>
      </c>
      <c r="P15" s="13">
        <f t="shared" si="33"/>
        <v>1.7850501365423737</v>
      </c>
      <c r="Q15" s="20">
        <f t="shared" si="2"/>
        <v>11.172689656685135</v>
      </c>
      <c r="R15" s="59">
        <f t="shared" si="0"/>
        <v>304.50602299001844</v>
      </c>
      <c r="S15" s="59">
        <f ca="1">AVERAGE(OFFSET($R$3,0,0,'Données projet'!$E$9+1,1))-AVERAGE(OFFSET($H$3,0,0,'Données projet'!$E$9+1,1))</f>
        <v>138.8931001150624</v>
      </c>
      <c r="T15" s="59">
        <f t="shared" si="34"/>
        <v>48.964659354096625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5.75</v>
      </c>
      <c r="AI15" s="13">
        <f>IF('Données projet'!$A$62&gt;35,AI14+AH15-AQ14,IF(A15&lt;'Données projet'!$A$62,$AF$205^A15,IF(A15='Données projet'!$A$62,'Données projet'!$B$62,AI14+AH15-AQ14)))</f>
        <v>17.23529432545471</v>
      </c>
      <c r="AJ15" s="13">
        <f>AI15*VLOOKUP('Données projet'!$B$10,Paramètres!$A$1:$I$89,3,0)*VLOOKUP('Données projet'!$B$10,Paramètres!$A$1:$I$89,5,0)</f>
        <v>8.0661177443128054</v>
      </c>
      <c r="AK15" s="13">
        <f t="shared" si="35"/>
        <v>2.915283990610841</v>
      </c>
      <c r="AL15" s="20">
        <f t="shared" si="4"/>
        <v>19.125941354992019</v>
      </c>
      <c r="AM15" s="59">
        <f t="shared" si="5"/>
        <v>312.45927468832531</v>
      </c>
      <c r="AN15" s="59">
        <f ca="1">AVERAGE(OFFSET($AM$3,0,0,'Données projet'!$E$10+1,1))-AVERAGE(OFFSET($H$3,0,0,'Données projet'!$E$10+1,1))</f>
        <v>123.60520571614535</v>
      </c>
      <c r="AO15" s="59">
        <f t="shared" si="36"/>
        <v>119.00926870519527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3.5</v>
      </c>
      <c r="BD15" s="12">
        <f>IF('Données projet'!$A$88&gt;35,BD14+BC15-BL14,IF(A15&lt;'Données projet'!$A$88,$BA$205^A15,IF(A15='Données projet'!$A$88,'Données projet'!$B$88,BD14+BC15-BL14)))</f>
        <v>12.795546046181904</v>
      </c>
      <c r="BE15" s="13">
        <f>BD15*VLOOKUP('Données projet'!$B$11,Paramètres!$A$1:$I$89,3,0)*VLOOKUP('Données projet'!$B$11,Paramètres!$A$1:$I$89,5,0)</f>
        <v>6.1546576482134956</v>
      </c>
      <c r="BF15" s="13">
        <f t="shared" si="37"/>
        <v>2.2955810513456334</v>
      </c>
      <c r="BG15" s="20">
        <f t="shared" si="7"/>
        <v>14.717499068398817</v>
      </c>
      <c r="BH15" s="59">
        <f t="shared" si="8"/>
        <v>308.05083240173212</v>
      </c>
      <c r="BI15" s="59">
        <f ca="1">AVERAGE(OFFSET($BH$3,0,0,'Données projet'!$E$11+1,1))-AVERAGE(OFFSET($H$3,0,0,'Données projet'!$E$11+1,1))</f>
        <v>252.30925789500111</v>
      </c>
      <c r="BJ15" s="59">
        <f t="shared" si="38"/>
        <v>213.96033794804805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1.2</v>
      </c>
      <c r="N16" s="13">
        <f>IF('Données projet'!$A$36&gt;35,N15+M16-V15,IF(A16&lt;'Données projet'!$A$36,$K$205^A16,IF(A16='Données projet'!$A$36,'Données projet'!$B$36,N15+M16-V15)))</f>
        <v>5.8627726400958746</v>
      </c>
      <c r="O16" s="13">
        <f>N16*VLOOKUP('Données projet'!$B$9,Paramètres!$A$1:$I$89,3,0)*VLOOKUP('Données projet'!$B$9,Paramètres!$A$1:$I$89,5,0)</f>
        <v>5.3046366847587469</v>
      </c>
      <c r="P16" s="13">
        <f t="shared" si="33"/>
        <v>2.0130649729098407</v>
      </c>
      <c r="Q16" s="20">
        <f t="shared" si="2"/>
        <v>12.74499705377279</v>
      </c>
      <c r="R16" s="59">
        <f t="shared" si="0"/>
        <v>306.07833038710612</v>
      </c>
      <c r="S16" s="59">
        <f ca="1">AVERAGE(OFFSET($R$3,0,0,'Données projet'!$E$9+1,1))-AVERAGE(OFFSET($H$3,0,0,'Données projet'!$E$9+1,1))</f>
        <v>138.8931001150624</v>
      </c>
      <c r="T16" s="59">
        <f t="shared" si="34"/>
        <v>48.964659354096625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5.75</v>
      </c>
      <c r="AI16" s="13">
        <f>IF('Données projet'!$A$62&gt;35,AI15+AH16-AQ15,IF(A16&lt;'Données projet'!$A$62,$AF$205^A16,IF(A16='Données projet'!$A$62,'Données projet'!$B$62,AI15+AH16-AQ15)))</f>
        <v>21.850108417664106</v>
      </c>
      <c r="AJ16" s="13">
        <f>AI16*VLOOKUP('Données projet'!$B$10,Paramètres!$A$1:$I$89,3,0)*VLOOKUP('Données projet'!$B$10,Paramètres!$A$1:$I$89,5,0)</f>
        <v>10.225850739466802</v>
      </c>
      <c r="AK16" s="13">
        <f t="shared" si="35"/>
        <v>3.5951953906669201</v>
      </c>
      <c r="AL16" s="20">
        <f t="shared" si="4"/>
        <v>24.071655343316234</v>
      </c>
      <c r="AM16" s="59">
        <f t="shared" si="5"/>
        <v>317.40498867664957</v>
      </c>
      <c r="AN16" s="59">
        <f ca="1">AVERAGE(OFFSET($AM$3,0,0,'Données projet'!$E$10+1,1))-AVERAGE(OFFSET($H$3,0,0,'Données projet'!$E$10+1,1))</f>
        <v>123.60520571614535</v>
      </c>
      <c r="AO16" s="59">
        <f t="shared" si="36"/>
        <v>119.00926870519527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3.5</v>
      </c>
      <c r="BD16" s="12">
        <f>IF('Données projet'!$A$88&gt;35,BD15+BC16-BL15,IF(A16&lt;'Données projet'!$A$88,$BA$205^A16,IF(A16='Données projet'!$A$88,'Données projet'!$B$88,BD15+BC16-BL15)))</f>
        <v>15.82390715218852</v>
      </c>
      <c r="BE16" s="13">
        <f>BD16*VLOOKUP('Données projet'!$B$11,Paramètres!$A$1:$I$89,3,0)*VLOOKUP('Données projet'!$B$11,Paramètres!$A$1:$I$89,5,0)</f>
        <v>7.6112993402026783</v>
      </c>
      <c r="BF16" s="13">
        <f t="shared" si="37"/>
        <v>2.7695490598683374</v>
      </c>
      <c r="BG16" s="20">
        <f t="shared" si="7"/>
        <v>18.07997763012369</v>
      </c>
      <c r="BH16" s="59">
        <f t="shared" si="8"/>
        <v>311.41331096345698</v>
      </c>
      <c r="BI16" s="59">
        <f ca="1">AVERAGE(OFFSET($BH$3,0,0,'Données projet'!$E$11+1,1))-AVERAGE(OFFSET($H$3,0,0,'Données projet'!$E$11+1,1))</f>
        <v>252.30925789500111</v>
      </c>
      <c r="BJ16" s="59">
        <f t="shared" si="38"/>
        <v>213.96033794804805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1.2</v>
      </c>
      <c r="N17" s="13">
        <f>IF('Données projet'!$A$36&gt;35,N16+M17-V16,IF(A17&lt;'Données projet'!$A$36,$K$205^A17,IF(A17='Données projet'!$A$36,'Données projet'!$B$36,N16+M17-V16)))</f>
        <v>6.7171941741218459</v>
      </c>
      <c r="O17" s="13">
        <f>N17*VLOOKUP('Données projet'!$B$9,Paramètres!$A$1:$I$89,3,0)*VLOOKUP('Données projet'!$B$9,Paramètres!$A$1:$I$89,5,0)</f>
        <v>6.077717288745446</v>
      </c>
      <c r="P17" s="13">
        <f t="shared" si="33"/>
        <v>2.2702054705343011</v>
      </c>
      <c r="Q17" s="20">
        <f t="shared" si="2"/>
        <v>14.53929880574556</v>
      </c>
      <c r="R17" s="59">
        <f t="shared" si="0"/>
        <v>307.87263213907886</v>
      </c>
      <c r="S17" s="59">
        <f ca="1">AVERAGE(OFFSET($R$3,0,0,'Données projet'!$E$9+1,1))-AVERAGE(OFFSET($H$3,0,0,'Données projet'!$E$9+1,1))</f>
        <v>138.8931001150624</v>
      </c>
      <c r="T17" s="59">
        <f t="shared" si="34"/>
        <v>48.964659354096625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5.75</v>
      </c>
      <c r="AI17" s="13">
        <f>IF('Données projet'!$A$62&gt;35,AI16+AH17-AQ16,IF(A17&lt;'Données projet'!$A$62,$AF$205^A17,IF(A17='Données projet'!$A$62,'Données projet'!$B$62,AI16+AH17-AQ16)))</f>
        <v>27.700556129091808</v>
      </c>
      <c r="AJ17" s="13">
        <f>AI17*VLOOKUP('Données projet'!$B$10,Paramètres!$A$1:$I$89,3,0)*VLOOKUP('Données projet'!$B$10,Paramètres!$A$1:$I$89,5,0)</f>
        <v>12.963860268414967</v>
      </c>
      <c r="AK17" s="13">
        <f t="shared" si="35"/>
        <v>4.4336777956113931</v>
      </c>
      <c r="AL17" s="20">
        <f t="shared" si="4"/>
        <v>30.300712128179242</v>
      </c>
      <c r="AM17" s="59">
        <f t="shared" si="5"/>
        <v>323.63404546151253</v>
      </c>
      <c r="AN17" s="59">
        <f ca="1">AVERAGE(OFFSET($AM$3,0,0,'Données projet'!$E$10+1,1))-AVERAGE(OFFSET($H$3,0,0,'Données projet'!$E$10+1,1))</f>
        <v>123.60520571614535</v>
      </c>
      <c r="AO17" s="59">
        <f t="shared" si="36"/>
        <v>119.00926870519527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3.5</v>
      </c>
      <c r="BD17" s="12">
        <f>IF('Données projet'!$A$88&gt;35,BD16+BC17-BL16,IF(A17&lt;'Données projet'!$A$88,$BA$205^A17,IF(A17='Données projet'!$A$88,'Données projet'!$B$88,BD16+BC17-BL16)))</f>
        <v>19.568999764242129</v>
      </c>
      <c r="BE17" s="13">
        <f>BD17*VLOOKUP('Données projet'!$B$11,Paramètres!$A$1:$I$89,3,0)*VLOOKUP('Données projet'!$B$11,Paramètres!$A$1:$I$89,5,0)</f>
        <v>9.4126888866004634</v>
      </c>
      <c r="BF17" s="13">
        <f t="shared" si="37"/>
        <v>3.3413771169270281</v>
      </c>
      <c r="BG17" s="20">
        <f t="shared" si="7"/>
        <v>22.213331622810383</v>
      </c>
      <c r="BH17" s="59">
        <f t="shared" si="8"/>
        <v>315.54666495614367</v>
      </c>
      <c r="BI17" s="59">
        <f ca="1">AVERAGE(OFFSET($BH$3,0,0,'Données projet'!$E$11+1,1))-AVERAGE(OFFSET($H$3,0,0,'Données projet'!$E$11+1,1))</f>
        <v>252.30925789500111</v>
      </c>
      <c r="BJ17" s="59">
        <f t="shared" si="38"/>
        <v>213.96033794804805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1.2</v>
      </c>
      <c r="N18" s="13">
        <f>IF('Données projet'!$A$36&gt;35,N17+M18-V17,IF(A18&lt;'Données projet'!$A$36,$K$205^A18,IF(A18='Données projet'!$A$36,'Données projet'!$B$36,N17+M18-V17)))</f>
        <v>7.6961363407260848</v>
      </c>
      <c r="O18" s="13">
        <f>N18*VLOOKUP('Données projet'!$B$9,Paramètres!$A$1:$I$89,3,0)*VLOOKUP('Données projet'!$B$9,Paramètres!$A$1:$I$89,5,0)</f>
        <v>6.9634641610889609</v>
      </c>
      <c r="P18" s="13">
        <f t="shared" si="33"/>
        <v>2.5601920195323435</v>
      </c>
      <c r="Q18" s="20">
        <f t="shared" si="2"/>
        <v>16.587034514582104</v>
      </c>
      <c r="R18" s="59">
        <f t="shared" si="0"/>
        <v>309.92036784791543</v>
      </c>
      <c r="S18" s="59">
        <f ca="1">AVERAGE(OFFSET($R$3,0,0,'Données projet'!$E$9+1,1))-AVERAGE(OFFSET($H$3,0,0,'Données projet'!$E$9+1,1))</f>
        <v>138.8931001150624</v>
      </c>
      <c r="T18" s="59">
        <f t="shared" si="34"/>
        <v>48.964659354096625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5.75</v>
      </c>
      <c r="AI18" s="13">
        <f>IF('Données projet'!$A$62&gt;35,AI17+AH18-AQ17,IF(A18&lt;'Données projet'!$A$62,$AF$205^A18,IF(A18='Données projet'!$A$62,'Données projet'!$B$62,AI17+AH18-AQ17)))</f>
        <v>35.117482952196561</v>
      </c>
      <c r="AJ18" s="13">
        <f>AI18*VLOOKUP('Données projet'!$B$10,Paramètres!$A$1:$I$89,3,0)*VLOOKUP('Données projet'!$B$10,Paramètres!$A$1:$I$89,5,0)</f>
        <v>16.434982021627992</v>
      </c>
      <c r="AK18" s="13">
        <f t="shared" si="35"/>
        <v>5.4677136175486121</v>
      </c>
      <c r="AL18" s="20">
        <f t="shared" si="4"/>
        <v>38.147194904899251</v>
      </c>
      <c r="AM18" s="59">
        <f t="shared" si="5"/>
        <v>331.48052823823258</v>
      </c>
      <c r="AN18" s="59">
        <f ca="1">AVERAGE(OFFSET($AM$3,0,0,'Données projet'!$E$10+1,1))-AVERAGE(OFFSET($H$3,0,0,'Données projet'!$E$10+1,1))</f>
        <v>123.60520571614535</v>
      </c>
      <c r="AO18" s="59">
        <f t="shared" si="36"/>
        <v>119.00926870519527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3.5</v>
      </c>
      <c r="BD18" s="12">
        <f>IF('Données projet'!$A$88&gt;35,BD17+BC18-BL17,IF(A18&lt;'Données projet'!$A$88,$BA$205^A18,IF(A18='Données projet'!$A$88,'Données projet'!$B$88,BD17+BC18-BL17)))</f>
        <v>24.200454924935865</v>
      </c>
      <c r="BE18" s="13">
        <f>BD18*VLOOKUP('Données projet'!$B$11,Paramètres!$A$1:$I$89,3,0)*VLOOKUP('Données projet'!$B$11,Paramètres!$A$1:$I$89,5,0)</f>
        <v>11.640418818894151</v>
      </c>
      <c r="BF18" s="13">
        <f t="shared" si="37"/>
        <v>4.0312703606898195</v>
      </c>
      <c r="BG18" s="20">
        <f t="shared" si="7"/>
        <v>27.294858654442084</v>
      </c>
      <c r="BH18" s="59">
        <f t="shared" si="8"/>
        <v>320.62819198777538</v>
      </c>
      <c r="BI18" s="59">
        <f ca="1">AVERAGE(OFFSET($BH$3,0,0,'Données projet'!$E$11+1,1))-AVERAGE(OFFSET($H$3,0,0,'Données projet'!$E$11+1,1))</f>
        <v>252.30925789500111</v>
      </c>
      <c r="BJ18" s="59">
        <f t="shared" si="38"/>
        <v>213.96033794804805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1.2</v>
      </c>
      <c r="N19" s="13">
        <f>IF('Données projet'!$A$36&gt;35,N18+M19-V18,IF(A19&lt;'Données projet'!$A$36,$K$205^A19,IF(A19='Données projet'!$A$36,'Données projet'!$B$36,N18+M19-V18)))</f>
        <v>8.8177463744060987</v>
      </c>
      <c r="O19" s="13">
        <f>N19*VLOOKUP('Données projet'!$B$9,Paramètres!$A$1:$I$89,3,0)*VLOOKUP('Données projet'!$B$9,Paramètres!$A$1:$I$89,5,0)</f>
        <v>7.9782969195626388</v>
      </c>
      <c r="P19" s="13">
        <f t="shared" si="33"/>
        <v>2.887220237089136</v>
      </c>
      <c r="Q19" s="20">
        <f t="shared" si="2"/>
        <v>18.924109047835174</v>
      </c>
      <c r="R19" s="59">
        <f t="shared" si="0"/>
        <v>312.25744238116852</v>
      </c>
      <c r="S19" s="59">
        <f ca="1">AVERAGE(OFFSET($R$3,0,0,'Données projet'!$E$9+1,1))-AVERAGE(OFFSET($H$3,0,0,'Données projet'!$E$9+1,1))</f>
        <v>138.8931001150624</v>
      </c>
      <c r="T19" s="59">
        <f t="shared" si="34"/>
        <v>48.964659354096625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5.75</v>
      </c>
      <c r="AI19" s="13">
        <f>IF('Données projet'!$A$62&gt;35,AI18+AH19-AQ18,IF(A19&lt;'Données projet'!$A$62,$AF$205^A19,IF(A19='Données projet'!$A$62,'Données projet'!$B$62,AI18+AH19-AQ18)))</f>
        <v>44.52031948927695</v>
      </c>
      <c r="AJ19" s="13">
        <f>AI19*VLOOKUP('Données projet'!$B$10,Paramètres!$A$1:$I$89,3,0)*VLOOKUP('Données projet'!$B$10,Paramètres!$A$1:$I$89,5,0)</f>
        <v>20.835509520981613</v>
      </c>
      <c r="AK19" s="13">
        <f t="shared" si="35"/>
        <v>6.7429104192276883</v>
      </c>
      <c r="AL19" s="20">
        <f t="shared" si="4"/>
        <v>48.03241472919786</v>
      </c>
      <c r="AM19" s="59">
        <f t="shared" si="5"/>
        <v>341.36574806253117</v>
      </c>
      <c r="AN19" s="59">
        <f ca="1">AVERAGE(OFFSET($AM$3,0,0,'Données projet'!$E$10+1,1))-AVERAGE(OFFSET($H$3,0,0,'Données projet'!$E$10+1,1))</f>
        <v>123.60520571614535</v>
      </c>
      <c r="AO19" s="59">
        <f t="shared" si="36"/>
        <v>119.00926870519527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3.5</v>
      </c>
      <c r="BD19" s="12">
        <f>IF('Données projet'!$A$88&gt;35,BD18+BC19-BL18,IF(A19&lt;'Données projet'!$A$88,$BA$205^A19,IF(A19='Données projet'!$A$88,'Données projet'!$B$88,BD18+BC19-BL18)))</f>
        <v>29.928050775697589</v>
      </c>
      <c r="BE19" s="13">
        <f>BD19*VLOOKUP('Données projet'!$B$11,Paramètres!$A$1:$I$89,3,0)*VLOOKUP('Données projet'!$B$11,Paramètres!$A$1:$I$89,5,0)</f>
        <v>14.395392423110541</v>
      </c>
      <c r="BF19" s="13">
        <f t="shared" si="37"/>
        <v>4.8636056788232134</v>
      </c>
      <c r="BG19" s="20">
        <f t="shared" si="7"/>
        <v>33.542755027534618</v>
      </c>
      <c r="BH19" s="59">
        <f t="shared" si="8"/>
        <v>326.87608836086793</v>
      </c>
      <c r="BI19" s="59">
        <f ca="1">AVERAGE(OFFSET($BH$3,0,0,'Données projet'!$E$11+1,1))-AVERAGE(OFFSET($H$3,0,0,'Données projet'!$E$11+1,1))</f>
        <v>252.30925789500111</v>
      </c>
      <c r="BJ19" s="59">
        <f t="shared" si="38"/>
        <v>213.96033794804805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1.2</v>
      </c>
      <c r="N20" s="13">
        <f>IF('Données projet'!$A$36&gt;35,N19+M20-V19,IF(A20&lt;'Données projet'!$A$36,$K$205^A20,IF(A20='Données projet'!$A$36,'Données projet'!$B$36,N19+M20-V19)))</f>
        <v>10.102816228956828</v>
      </c>
      <c r="O20" s="13">
        <f>N20*VLOOKUP('Données projet'!$B$9,Paramètres!$A$1:$I$89,3,0)*VLOOKUP('Données projet'!$B$9,Paramètres!$A$1:$I$89,5,0)</f>
        <v>9.1410281239601368</v>
      </c>
      <c r="P20" s="13">
        <f t="shared" si="33"/>
        <v>3.2560216709759704</v>
      </c>
      <c r="Q20" s="20">
        <f t="shared" si="2"/>
        <v>21.591528392847053</v>
      </c>
      <c r="R20" s="59">
        <f t="shared" si="0"/>
        <v>314.92486172618038</v>
      </c>
      <c r="S20" s="59">
        <f ca="1">AVERAGE(OFFSET($R$3,0,0,'Données projet'!$E$9+1,1))-AVERAGE(OFFSET($H$3,0,0,'Données projet'!$E$9+1,1))</f>
        <v>138.8931001150624</v>
      </c>
      <c r="T20" s="59">
        <f t="shared" si="34"/>
        <v>48.964659354096625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5.75</v>
      </c>
      <c r="AI20" s="13">
        <f>IF('Données projet'!$A$62&gt;35,AI19+AH20-AQ19,IF(A20&lt;'Données projet'!$A$62,$AF$205^A20,IF(A20='Données projet'!$A$62,'Données projet'!$B$62,AI19+AH20-AQ19)))</f>
        <v>56.440800444763006</v>
      </c>
      <c r="AJ20" s="13">
        <f>AI20*VLOOKUP('Données projet'!$B$10,Paramètres!$A$1:$I$89,3,0)*VLOOKUP('Données projet'!$B$10,Paramètres!$A$1:$I$89,5,0)</f>
        <v>26.414294608149088</v>
      </c>
      <c r="AK20" s="13">
        <f t="shared" si="35"/>
        <v>8.3155124979120405</v>
      </c>
      <c r="AL20" s="20">
        <f t="shared" si="4"/>
        <v>60.487747376389791</v>
      </c>
      <c r="AM20" s="59">
        <f t="shared" si="5"/>
        <v>353.82108070972311</v>
      </c>
      <c r="AN20" s="59">
        <f ca="1">AVERAGE(OFFSET($AM$3,0,0,'Données projet'!$E$10+1,1))-AVERAGE(OFFSET($H$3,0,0,'Données projet'!$E$10+1,1))</f>
        <v>123.60520571614535</v>
      </c>
      <c r="AO20" s="59">
        <f t="shared" si="36"/>
        <v>119.00926870519527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3.5</v>
      </c>
      <c r="BD20" s="12">
        <f>IF('Données projet'!$A$88&gt;35,BD19+BC20-BL19,IF(A20&lt;'Données projet'!$A$88,$BA$205^A20,IF(A20='Données projet'!$A$88,'Données projet'!$B$88,BD19+BC20-BL19)))</f>
        <v>37.01121429373736</v>
      </c>
      <c r="BE20" s="13">
        <f>BD20*VLOOKUP('Données projet'!$B$11,Paramètres!$A$1:$I$89,3,0)*VLOOKUP('Données projet'!$B$11,Paramètres!$A$1:$I$89,5,0)</f>
        <v>17.802394075287669</v>
      </c>
      <c r="BF20" s="13">
        <f t="shared" si="37"/>
        <v>5.867793048500392</v>
      </c>
      <c r="BG20" s="20">
        <f t="shared" si="7"/>
        <v>41.225575907264208</v>
      </c>
      <c r="BH20" s="59">
        <f t="shared" si="8"/>
        <v>334.55890924059753</v>
      </c>
      <c r="BI20" s="59">
        <f ca="1">AVERAGE(OFFSET($BH$3,0,0,'Données projet'!$E$11+1,1))-AVERAGE(OFFSET($H$3,0,0,'Données projet'!$E$11+1,1))</f>
        <v>252.30925789500111</v>
      </c>
      <c r="BJ20" s="59">
        <f t="shared" si="38"/>
        <v>213.96033794804805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1.2</v>
      </c>
      <c r="N21" s="13">
        <f>IF('Données projet'!$A$36&gt;35,N20+M21-V20,IF(A21&lt;'Données projet'!$A$36,$K$205^A21,IF(A21='Données projet'!$A$36,'Données projet'!$B$36,N20+M21-V20)))</f>
        <v>11.575168010312384</v>
      </c>
      <c r="O21" s="13">
        <f>N21*VLOOKUP('Données projet'!$B$9,Paramètres!$A$1:$I$89,3,0)*VLOOKUP('Données projet'!$B$9,Paramètres!$A$1:$I$89,5,0)</f>
        <v>10.473212015730644</v>
      </c>
      <c r="P21" s="13">
        <f t="shared" si="33"/>
        <v>3.6719322570811741</v>
      </c>
      <c r="Q21" s="20">
        <f t="shared" si="2"/>
        <v>24.636126275147248</v>
      </c>
      <c r="R21" s="59">
        <f t="shared" si="0"/>
        <v>317.96945960848058</v>
      </c>
      <c r="S21" s="59">
        <f ca="1">AVERAGE(OFFSET($R$3,0,0,'Données projet'!$E$9+1,1))-AVERAGE(OFFSET($H$3,0,0,'Données projet'!$E$9+1,1))</f>
        <v>138.8931001150624</v>
      </c>
      <c r="T21" s="59">
        <f t="shared" si="34"/>
        <v>48.964659354096625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5.75</v>
      </c>
      <c r="AI21" s="13">
        <f>IF('Données projet'!$A$62&gt;35,AI20+AH21-AQ20,IF(A21&lt;'Données projet'!$A$62,$AF$205^A21,IF(A21='Données projet'!$A$62,'Données projet'!$B$62,AI20+AH21-AQ20)))</f>
        <v>71.55303446582019</v>
      </c>
      <c r="AJ21" s="13">
        <f>AI21*VLOOKUP('Données projet'!$B$10,Paramètres!$A$1:$I$89,3,0)*VLOOKUP('Données projet'!$B$10,Paramètres!$A$1:$I$89,5,0)</f>
        <v>33.486820130003849</v>
      </c>
      <c r="AK21" s="13">
        <f t="shared" si="35"/>
        <v>10.254881616957807</v>
      </c>
      <c r="AL21" s="20">
        <f t="shared" si="4"/>
        <v>76.183463875958196</v>
      </c>
      <c r="AM21" s="59">
        <f t="shared" si="5"/>
        <v>369.5167972092915</v>
      </c>
      <c r="AN21" s="59">
        <f ca="1">AVERAGE(OFFSET($AM$3,0,0,'Données projet'!$E$10+1,1))-AVERAGE(OFFSET($H$3,0,0,'Données projet'!$E$10+1,1))</f>
        <v>123.60520571614535</v>
      </c>
      <c r="AO21" s="59">
        <f t="shared" si="36"/>
        <v>119.00926870519527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3.5</v>
      </c>
      <c r="BD21" s="12">
        <f>IF('Données projet'!$A$88&gt;35,BD20+BC21-BL20,IF(A21&lt;'Données projet'!$A$88,$BA$205^A21,IF(A21='Données projet'!$A$88,'Données projet'!$B$88,BD20+BC21-BL20)))</f>
        <v>45.770771834204744</v>
      </c>
      <c r="BE21" s="13">
        <f>BD21*VLOOKUP('Données projet'!$B$11,Paramètres!$A$1:$I$89,3,0)*VLOOKUP('Données projet'!$B$11,Paramètres!$A$1:$I$89,5,0)</f>
        <v>22.015741252252482</v>
      </c>
      <c r="BF21" s="13">
        <f t="shared" si="37"/>
        <v>7.0793147170517283</v>
      </c>
      <c r="BG21" s="20">
        <f t="shared" si="7"/>
        <v>50.673889146538166</v>
      </c>
      <c r="BH21" s="59">
        <f t="shared" si="8"/>
        <v>344.00722247987147</v>
      </c>
      <c r="BI21" s="59">
        <f ca="1">AVERAGE(OFFSET($BH$3,0,0,'Données projet'!$E$11+1,1))-AVERAGE(OFFSET($H$3,0,0,'Données projet'!$E$11+1,1))</f>
        <v>252.30925789500111</v>
      </c>
      <c r="BJ21" s="59">
        <f t="shared" si="38"/>
        <v>213.96033794804805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1.2</v>
      </c>
      <c r="N22" s="13">
        <f>IF('Données projet'!$A$36&gt;35,N21+M22-V21,IF(A22&lt;'Données projet'!$A$36,$K$205^A22,IF(A22='Données projet'!$A$36,'Données projet'!$B$36,N21+M22-V21)))</f>
        <v>13.262095581124292</v>
      </c>
      <c r="O22" s="13">
        <f>N22*VLOOKUP('Données projet'!$B$9,Paramètres!$A$1:$I$89,3,0)*VLOOKUP('Données projet'!$B$9,Paramètres!$A$1:$I$89,5,0)</f>
        <v>11.999544081801259</v>
      </c>
      <c r="P22" s="13">
        <f t="shared" si="33"/>
        <v>4.1409695214196116</v>
      </c>
      <c r="Q22" s="20">
        <f t="shared" si="2"/>
        <v>28.111394525609683</v>
      </c>
      <c r="R22" s="59">
        <f t="shared" si="0"/>
        <v>321.444727858943</v>
      </c>
      <c r="S22" s="59">
        <f ca="1">AVERAGE(OFFSET($R$3,0,0,'Données projet'!$E$9+1,1))-AVERAGE(OFFSET($H$3,0,0,'Données projet'!$E$9+1,1))</f>
        <v>138.8931001150624</v>
      </c>
      <c r="T22" s="59">
        <f t="shared" si="34"/>
        <v>48.964659354096625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5.75</v>
      </c>
      <c r="AI22" s="13">
        <f>IF('Données projet'!$A$62&gt;35,AI21+AH22-AQ21,IF(A22&lt;'Données projet'!$A$62,$AF$205^A22,IF(A22='Données projet'!$A$62,'Données projet'!$B$62,AI21+AH22-AQ21)))</f>
        <v>90.711625294497551</v>
      </c>
      <c r="AJ22" s="13">
        <f>AI22*VLOOKUP('Données projet'!$B$10,Paramètres!$A$1:$I$89,3,0)*VLOOKUP('Données projet'!$B$10,Paramètres!$A$1:$I$89,5,0)</f>
        <v>42.453040637824856</v>
      </c>
      <c r="AK22" s="13">
        <f t="shared" si="35"/>
        <v>12.646556301156998</v>
      </c>
      <c r="AL22" s="20">
        <f t="shared" si="4"/>
        <v>95.96513133539338</v>
      </c>
      <c r="AM22" s="59">
        <f t="shared" si="5"/>
        <v>389.29846466872669</v>
      </c>
      <c r="AN22" s="59">
        <f ca="1">AVERAGE(OFFSET($AM$3,0,0,'Données projet'!$E$10+1,1))-AVERAGE(OFFSET($H$3,0,0,'Données projet'!$E$10+1,1))</f>
        <v>123.60520571614535</v>
      </c>
      <c r="AO22" s="59">
        <f t="shared" si="36"/>
        <v>119.00926870519527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3.5</v>
      </c>
      <c r="BD22" s="12">
        <f>IF('Données projet'!$A$88&gt;35,BD21+BC22-BL21,IF(A22&lt;'Données projet'!$A$88,$BA$205^A22,IF(A22='Données projet'!$A$88,'Données projet'!$B$88,BD21+BC22-BL21)))</f>
        <v>56.603480709178399</v>
      </c>
      <c r="BE22" s="13">
        <f>BD22*VLOOKUP('Données projet'!$B$11,Paramètres!$A$1:$I$89,3,0)*VLOOKUP('Données projet'!$B$11,Paramètres!$A$1:$I$89,5,0)</f>
        <v>27.226274221114814</v>
      </c>
      <c r="BF22" s="13">
        <f t="shared" si="37"/>
        <v>8.5409789419675128</v>
      </c>
      <c r="BG22" s="20">
        <f t="shared" si="7"/>
        <v>62.29463259236838</v>
      </c>
      <c r="BH22" s="59">
        <f t="shared" si="8"/>
        <v>355.62796592570169</v>
      </c>
      <c r="BI22" s="59">
        <f ca="1">AVERAGE(OFFSET($BH$3,0,0,'Données projet'!$E$11+1,1))-AVERAGE(OFFSET($H$3,0,0,'Données projet'!$E$11+1,1))</f>
        <v>252.30925789500111</v>
      </c>
      <c r="BJ22" s="59">
        <f t="shared" si="38"/>
        <v>213.96033794804805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1.2</v>
      </c>
      <c r="N23" s="13">
        <f>IF('Données projet'!$A$36&gt;35,N22+M23-V22,IF(A23&lt;'Données projet'!$A$36,$K$205^A23,IF(A23='Données projet'!$A$36,'Données projet'!$B$36,N22+M23-V22)))</f>
        <v>15.194870523363559</v>
      </c>
      <c r="O23" s="13">
        <f>N23*VLOOKUP('Données projet'!$B$9,Paramètres!$A$1:$I$89,3,0)*VLOOKUP('Données projet'!$B$9,Paramètres!$A$1:$I$89,5,0)</f>
        <v>13.748318849539347</v>
      </c>
      <c r="P23" s="13">
        <f t="shared" si="33"/>
        <v>4.6699196436038939</v>
      </c>
      <c r="Q23" s="20">
        <f t="shared" si="2"/>
        <v>32.078432042224485</v>
      </c>
      <c r="R23" s="59">
        <f t="shared" si="0"/>
        <v>325.41176537555782</v>
      </c>
      <c r="S23" s="59">
        <f ca="1">AVERAGE(OFFSET($R$3,0,0,'Données projet'!$E$9+1,1))-AVERAGE(OFFSET($H$3,0,0,'Données projet'!$E$9+1,1))</f>
        <v>138.8931001150624</v>
      </c>
      <c r="T23" s="59">
        <f t="shared" si="34"/>
        <v>48.964659354096625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115</v>
      </c>
      <c r="AG23" s="12">
        <f>VLOOKUP(A23,'Données projet'!$A$61:$I$81,9,0)</f>
        <v>5.75</v>
      </c>
      <c r="AH23" s="12">
        <f t="array" ref="AH23">INDEX(AG:AG,MIN(IF(ISNUMBER(AG23:AG219),ROW(AG23:AG219),"")))</f>
        <v>5.75</v>
      </c>
      <c r="AI23" s="13">
        <f>IF('Données projet'!$A$62&gt;35,AI22+AH23-AQ22,IF(A23&lt;'Données projet'!$A$62,$AF$205^A23,IF(A23='Données projet'!$A$62,'Données projet'!$B$62,AI22+AH23-AQ22)))</f>
        <v>115</v>
      </c>
      <c r="AJ23" s="13">
        <f>AI23*VLOOKUP('Données projet'!$B$10,Paramètres!$A$1:$I$89,3,0)*VLOOKUP('Données projet'!$B$10,Paramètres!$A$1:$I$89,5,0)</f>
        <v>53.82</v>
      </c>
      <c r="AK23" s="13">
        <f t="shared" si="35"/>
        <v>15.596024630246266</v>
      </c>
      <c r="AL23" s="20">
        <f t="shared" si="4"/>
        <v>120.89957623101225</v>
      </c>
      <c r="AM23" s="59">
        <f t="shared" si="5"/>
        <v>414.23290956434556</v>
      </c>
      <c r="AN23" s="59">
        <f ca="1">AVERAGE(OFFSET($AM$3,0,0,'Données projet'!$E$10+1,1))-AVERAGE(OFFSET($H$3,0,0,'Données projet'!$E$10+1,1))</f>
        <v>123.60520571614535</v>
      </c>
      <c r="AO23" s="59">
        <f t="shared" si="36"/>
        <v>119.00926870519527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6.9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1.173390684195369</v>
      </c>
      <c r="AW23" s="21">
        <f>EXP(-LN(2)/2)*AW22+(1-EXP(-LN(2)/2))/(LN(2)/2)*AQ23*AT23*VLOOKUP('Données projet'!$B$10,Paramètres!$A$1:$I$89,3,0)*0.475*44/12</f>
        <v>1.8281022675862317</v>
      </c>
      <c r="AX23" s="21">
        <f t="shared" si="6"/>
        <v>3.0014929517816009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70</v>
      </c>
      <c r="BB23" s="12">
        <f>VLOOKUP(A23,'Données projet'!$A$87:$I$107,9,0)</f>
        <v>3.5</v>
      </c>
      <c r="BC23" s="12">
        <f t="array" ref="BC23">INDEX(BB:BB,MIN(IF(ISNUMBER(BB23:BB219),ROW(BB23:BB219),"")))</f>
        <v>3.5</v>
      </c>
      <c r="BD23" s="12">
        <f>IF('Données projet'!$A$88&gt;35,BD22+BC23-BL22,IF(A23&lt;'Données projet'!$A$88,$BA$205^A23,IF(A23='Données projet'!$A$88,'Données projet'!$B$88,BD22+BC23-BL22)))</f>
        <v>70</v>
      </c>
      <c r="BE23" s="13">
        <f>BD23*VLOOKUP('Données projet'!$B$11,Paramètres!$A$1:$I$89,3,0)*VLOOKUP('Données projet'!$B$11,Paramètres!$A$1:$I$89,5,0)</f>
        <v>33.67</v>
      </c>
      <c r="BF23" s="13">
        <f t="shared" si="37"/>
        <v>10.304432590265284</v>
      </c>
      <c r="BG23" s="20">
        <f t="shared" si="7"/>
        <v>76.588803428045381</v>
      </c>
      <c r="BH23" s="59">
        <f t="shared" si="8"/>
        <v>369.92213676137868</v>
      </c>
      <c r="BI23" s="59">
        <f ca="1">AVERAGE(OFFSET($BH$3,0,0,'Données projet'!$E$11+1,1))-AVERAGE(OFFSET($H$3,0,0,'Données projet'!$E$11+1,1))</f>
        <v>252.30925789500111</v>
      </c>
      <c r="BJ23" s="59">
        <f t="shared" si="38"/>
        <v>213.96033794804805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1.2</v>
      </c>
      <c r="N24" s="13">
        <f>IF('Données projet'!$A$36&gt;35,N23+M24-V23,IF(A24&lt;'Données projet'!$A$36,$K$205^A24,IF(A24='Données projet'!$A$36,'Données projet'!$B$36,N23+M24-V23)))</f>
        <v>17.409321838276906</v>
      </c>
      <c r="O24" s="13">
        <f>N24*VLOOKUP('Données projet'!$B$9,Paramètres!$A$1:$I$89,3,0)*VLOOKUP('Données projet'!$B$9,Paramètres!$A$1:$I$89,5,0)</f>
        <v>15.751954399272945</v>
      </c>
      <c r="P24" s="13">
        <f t="shared" si="33"/>
        <v>5.2664356414391653</v>
      </c>
      <c r="Q24" s="20">
        <f t="shared" si="2"/>
        <v>36.607029320906918</v>
      </c>
      <c r="R24" s="59">
        <f t="shared" si="0"/>
        <v>329.94036265424023</v>
      </c>
      <c r="S24" s="59">
        <f ca="1">AVERAGE(OFFSET($R$3,0,0,'Données projet'!$E$9+1,1))-AVERAGE(OFFSET($H$3,0,0,'Données projet'!$E$9+1,1))</f>
        <v>138.8931001150624</v>
      </c>
      <c r="T24" s="59">
        <f t="shared" si="34"/>
        <v>48.964659354096625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6.5</v>
      </c>
      <c r="AI24" s="13">
        <f>IF('Données projet'!$A$62&gt;35,AI23+AH24-AQ23,IF(A24&lt;'Données projet'!$A$62,$AF$205^A24,IF(A24='Données projet'!$A$62,'Données projet'!$B$62,AI23+AH24-AQ23)))</f>
        <v>114.6</v>
      </c>
      <c r="AJ24" s="13">
        <f>AI24*VLOOKUP('Données projet'!$B$10,Paramètres!$A$1:$I$89,3,0)*VLOOKUP('Données projet'!$B$10,Paramètres!$A$1:$I$89,5,0)</f>
        <v>53.632799999999996</v>
      </c>
      <c r="AK24" s="13">
        <f t="shared" si="35"/>
        <v>15.548082227939483</v>
      </c>
      <c r="AL24" s="20">
        <f t="shared" si="4"/>
        <v>120.49003654699459</v>
      </c>
      <c r="AM24" s="59">
        <f t="shared" si="5"/>
        <v>413.8233698803279</v>
      </c>
      <c r="AN24" s="59">
        <f ca="1">AVERAGE(OFFSET($AM$3,0,0,'Données projet'!$E$10+1,1))-AVERAGE(OFFSET($H$3,0,0,'Données projet'!$E$10+1,1))</f>
        <v>123.60520571614535</v>
      </c>
      <c r="AO24" s="59">
        <f t="shared" si="36"/>
        <v>119.00926870519527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1.1413042542301124</v>
      </c>
      <c r="AW24" s="21">
        <f>EXP(-LN(2)/2)*AW23+(1-EXP(-LN(2)/2))/(LN(2)/2)*AQ24*AT24*VLOOKUP('Données projet'!$B$10,Paramètres!$A$1:$I$89,3,0)*0.475*44/12</f>
        <v>1.2926635101127291</v>
      </c>
      <c r="AX24" s="21">
        <f t="shared" si="6"/>
        <v>2.4339677643428415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19</v>
      </c>
      <c r="BD24" s="12">
        <f>IF('Données projet'!$A$88&gt;35,BD23+BC24-BL23,IF(A24&lt;'Données projet'!$A$88,$BA$205^A24,IF(A24='Données projet'!$A$88,'Données projet'!$B$88,BD23+BC24-BL23)))</f>
        <v>89</v>
      </c>
      <c r="BE24" s="13">
        <f>BD24*VLOOKUP('Données projet'!$B$11,Paramètres!$A$1:$I$89,3,0)*VLOOKUP('Données projet'!$B$11,Paramètres!$A$1:$I$89,5,0)</f>
        <v>42.809000000000005</v>
      </c>
      <c r="BF24" s="13">
        <f t="shared" si="37"/>
        <v>12.740206408885715</v>
      </c>
      <c r="BG24" s="20">
        <f t="shared" si="7"/>
        <v>96.748201162142621</v>
      </c>
      <c r="BH24" s="59">
        <f t="shared" si="8"/>
        <v>390.08153449547592</v>
      </c>
      <c r="BI24" s="59">
        <f ca="1">AVERAGE(OFFSET($BH$3,0,0,'Données projet'!$E$11+1,1))-AVERAGE(OFFSET($H$3,0,0,'Données projet'!$E$11+1,1))</f>
        <v>252.30925789500111</v>
      </c>
      <c r="BJ24" s="59">
        <f t="shared" si="38"/>
        <v>213.96033794804805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1.2</v>
      </c>
      <c r="N25" s="13">
        <f>IF('Données projet'!$A$36&gt;35,N24+M25-V24,IF(A25&lt;'Données projet'!$A$36,$K$205^A25,IF(A25='Données projet'!$A$36,'Données projet'!$B$36,N24+M25-V24)))</f>
        <v>19.946500129940819</v>
      </c>
      <c r="O25" s="13">
        <f>N25*VLOOKUP('Données projet'!$B$9,Paramètres!$A$1:$I$89,3,0)*VLOOKUP('Données projet'!$B$9,Paramètres!$A$1:$I$89,5,0)</f>
        <v>18.047593317570453</v>
      </c>
      <c r="P25" s="13">
        <f t="shared" si="33"/>
        <v>5.9391480972072355</v>
      </c>
      <c r="Q25" s="20">
        <f t="shared" si="2"/>
        <v>41.776907964071142</v>
      </c>
      <c r="R25" s="59">
        <f t="shared" si="0"/>
        <v>335.11024129740446</v>
      </c>
      <c r="S25" s="59">
        <f ca="1">AVERAGE(OFFSET($R$3,0,0,'Données projet'!$E$9+1,1))-AVERAGE(OFFSET($H$3,0,0,'Données projet'!$E$9+1,1))</f>
        <v>138.8931001150624</v>
      </c>
      <c r="T25" s="59">
        <f t="shared" si="34"/>
        <v>48.964659354096625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6.5</v>
      </c>
      <c r="AI25" s="13">
        <f>IF('Données projet'!$A$62&gt;35,AI24+AH25-AQ24,IF(A25&lt;'Données projet'!$A$62,$AF$205^A25,IF(A25='Données projet'!$A$62,'Données projet'!$B$62,AI24+AH25-AQ24)))</f>
        <v>121.1</v>
      </c>
      <c r="AJ25" s="13">
        <f>AI25*VLOOKUP('Données projet'!$B$10,Paramètres!$A$1:$I$89,3,0)*VLOOKUP('Données projet'!$B$10,Paramètres!$A$1:$I$89,5,0)</f>
        <v>56.674799999999998</v>
      </c>
      <c r="AK25" s="13">
        <f t="shared" si="35"/>
        <v>16.32478482217585</v>
      </c>
      <c r="AL25" s="20">
        <f t="shared" si="4"/>
        <v>127.1409435652896</v>
      </c>
      <c r="AM25" s="59">
        <f t="shared" si="5"/>
        <v>420.47427689862292</v>
      </c>
      <c r="AN25" s="59">
        <f ca="1">AVERAGE(OFFSET($AM$3,0,0,'Données projet'!$E$10+1,1))-AVERAGE(OFFSET($H$3,0,0,'Données projet'!$E$10+1,1))</f>
        <v>123.60520571614535</v>
      </c>
      <c r="AO25" s="59">
        <f t="shared" si="36"/>
        <v>119.00926870519527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1.1100952293796078</v>
      </c>
      <c r="AW25" s="21">
        <f>EXP(-LN(2)/2)*AW24+(1-EXP(-LN(2)/2))/(LN(2)/2)*AQ25*AT25*VLOOKUP('Données projet'!$B$10,Paramètres!$A$1:$I$89,3,0)*0.475*44/12</f>
        <v>0.91405113379311609</v>
      </c>
      <c r="AX25" s="21">
        <f t="shared" si="6"/>
        <v>2.0241463631727239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19</v>
      </c>
      <c r="BD25" s="12">
        <f>IF('Données projet'!$A$88&gt;35,BD24+BC25-BL24,IF(A25&lt;'Données projet'!$A$88,$BA$205^A25,IF(A25='Données projet'!$A$88,'Données projet'!$B$88,BD24+BC25-BL24)))</f>
        <v>108</v>
      </c>
      <c r="BE25" s="13">
        <f>BD25*VLOOKUP('Données projet'!$B$11,Paramètres!$A$1:$I$89,3,0)*VLOOKUP('Données projet'!$B$11,Paramètres!$A$1:$I$89,5,0)</f>
        <v>51.948</v>
      </c>
      <c r="BF25" s="13">
        <f t="shared" si="37"/>
        <v>15.115714645211892</v>
      </c>
      <c r="BG25" s="20">
        <f t="shared" si="7"/>
        <v>116.8026363404107</v>
      </c>
      <c r="BH25" s="59">
        <f t="shared" si="8"/>
        <v>410.135969673744</v>
      </c>
      <c r="BI25" s="59">
        <f ca="1">AVERAGE(OFFSET($BH$3,0,0,'Données projet'!$E$11+1,1))-AVERAGE(OFFSET($H$3,0,0,'Données projet'!$E$11+1,1))</f>
        <v>252.30925789500111</v>
      </c>
      <c r="BJ25" s="59">
        <f t="shared" si="38"/>
        <v>213.96033794804805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1.2</v>
      </c>
      <c r="N26" s="13">
        <f>IF('Données projet'!$A$36&gt;35,N25+M26-V25,IF(A26&lt;'Données projet'!$A$36,$K$205^A26,IF(A26='Données projet'!$A$36,'Données projet'!$B$36,N25+M26-V25)))</f>
        <v>22.853438584779923</v>
      </c>
      <c r="O26" s="13">
        <f>N26*VLOOKUP('Données projet'!$B$9,Paramètres!$A$1:$I$89,3,0)*VLOOKUP('Données projet'!$B$9,Paramètres!$A$1:$I$89,5,0)</f>
        <v>20.677791231508873</v>
      </c>
      <c r="P26" s="13">
        <f t="shared" si="33"/>
        <v>6.6977900276630162</v>
      </c>
      <c r="Q26" s="20">
        <f t="shared" si="2"/>
        <v>47.679137359724372</v>
      </c>
      <c r="R26" s="59">
        <f t="shared" si="0"/>
        <v>341.01247069305771</v>
      </c>
      <c r="S26" s="59">
        <f ca="1">AVERAGE(OFFSET($R$3,0,0,'Données projet'!$E$9+1,1))-AVERAGE(OFFSET($H$3,0,0,'Données projet'!$E$9+1,1))</f>
        <v>138.8931001150624</v>
      </c>
      <c r="T26" s="59">
        <f t="shared" si="34"/>
        <v>48.964659354096625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6.5</v>
      </c>
      <c r="AI26" s="13">
        <f>IF('Données projet'!$A$62&gt;35,AI25+AH26-AQ25,IF(A26&lt;'Données projet'!$A$62,$AF$205^A26,IF(A26='Données projet'!$A$62,'Données projet'!$B$62,AI25+AH26-AQ25)))</f>
        <v>127.6</v>
      </c>
      <c r="AJ26" s="13">
        <f>AI26*VLOOKUP('Données projet'!$B$10,Paramètres!$A$1:$I$89,3,0)*VLOOKUP('Données projet'!$B$10,Paramètres!$A$1:$I$89,5,0)</f>
        <v>59.716799999999992</v>
      </c>
      <c r="AK26" s="13">
        <f t="shared" si="35"/>
        <v>17.096647463151516</v>
      </c>
      <c r="AL26" s="20">
        <f t="shared" si="4"/>
        <v>133.78342099832221</v>
      </c>
      <c r="AM26" s="59">
        <f t="shared" si="5"/>
        <v>427.11675433165556</v>
      </c>
      <c r="AN26" s="59">
        <f ca="1">AVERAGE(OFFSET($AM$3,0,0,'Données projet'!$E$10+1,1))-AVERAGE(OFFSET($H$3,0,0,'Données projet'!$E$10+1,1))</f>
        <v>123.60520571614535</v>
      </c>
      <c r="AO26" s="59">
        <f t="shared" si="36"/>
        <v>119.00926870519527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1.0797396169548514</v>
      </c>
      <c r="AW26" s="21">
        <f>EXP(-LN(2)/2)*AW25+(1-EXP(-LN(2)/2))/(LN(2)/2)*AQ26*AT26*VLOOKUP('Données projet'!$B$10,Paramètres!$A$1:$I$89,3,0)*0.475*44/12</f>
        <v>0.64633175505636464</v>
      </c>
      <c r="AX26" s="21">
        <f t="shared" si="6"/>
        <v>1.7260713720112162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19</v>
      </c>
      <c r="BD26" s="12">
        <f>IF('Données projet'!$A$88&gt;35,BD25+BC26-BL25,IF(A26&lt;'Données projet'!$A$88,$BA$205^A26,IF(A26='Données projet'!$A$88,'Données projet'!$B$88,BD25+BC26-BL25)))</f>
        <v>127</v>
      </c>
      <c r="BE26" s="13">
        <f>BD26*VLOOKUP('Données projet'!$B$11,Paramètres!$A$1:$I$89,3,0)*VLOOKUP('Données projet'!$B$11,Paramètres!$A$1:$I$89,5,0)</f>
        <v>61.087000000000003</v>
      </c>
      <c r="BF26" s="13">
        <f t="shared" si="37"/>
        <v>17.442808876624724</v>
      </c>
      <c r="BG26" s="20">
        <f t="shared" si="7"/>
        <v>136.77275046012139</v>
      </c>
      <c r="BH26" s="59">
        <f t="shared" si="8"/>
        <v>430.10608379345467</v>
      </c>
      <c r="BI26" s="59">
        <f ca="1">AVERAGE(OFFSET($BH$3,0,0,'Données projet'!$E$11+1,1))-AVERAGE(OFFSET($H$3,0,0,'Données projet'!$E$11+1,1))</f>
        <v>252.30925789500111</v>
      </c>
      <c r="BJ26" s="59">
        <f t="shared" si="38"/>
        <v>213.96033794804805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1.2</v>
      </c>
      <c r="N27" s="13">
        <f>IF('Données projet'!$A$36&gt;35,N26+M27-V26,IF(A27&lt;'Données projet'!$A$36,$K$205^A27,IF(A27='Données projet'!$A$36,'Données projet'!$B$36,N26+M27-V26)))</f>
        <v>26.184024853780567</v>
      </c>
      <c r="O27" s="13">
        <f>N27*VLOOKUP('Données projet'!$B$9,Paramètres!$A$1:$I$89,3,0)*VLOOKUP('Données projet'!$B$9,Paramètres!$A$1:$I$89,5,0)</f>
        <v>23.691305687700655</v>
      </c>
      <c r="P27" s="13">
        <f t="shared" si="33"/>
        <v>7.5533377044018843</v>
      </c>
      <c r="Q27" s="20">
        <f t="shared" si="2"/>
        <v>54.417753907911923</v>
      </c>
      <c r="R27" s="59">
        <f t="shared" si="0"/>
        <v>347.75108724124522</v>
      </c>
      <c r="S27" s="59">
        <f ca="1">AVERAGE(OFFSET($R$3,0,0,'Données projet'!$E$9+1,1))-AVERAGE(OFFSET($H$3,0,0,'Données projet'!$E$9+1,1))</f>
        <v>138.8931001150624</v>
      </c>
      <c r="T27" s="59">
        <f t="shared" si="34"/>
        <v>48.964659354096625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6.5</v>
      </c>
      <c r="AI27" s="13">
        <f>IF('Données projet'!$A$62&gt;35,AI26+AH27-AQ26,IF(A27&lt;'Données projet'!$A$62,$AF$205^A27,IF(A27='Données projet'!$A$62,'Données projet'!$B$62,AI26+AH27-AQ26)))</f>
        <v>134.1</v>
      </c>
      <c r="AJ27" s="13">
        <f>AI27*VLOOKUP('Données projet'!$B$10,Paramètres!$A$1:$I$89,3,0)*VLOOKUP('Données projet'!$B$10,Paramètres!$A$1:$I$89,5,0)</f>
        <v>62.758800000000001</v>
      </c>
      <c r="AK27" s="13">
        <f t="shared" si="35"/>
        <v>17.863944827559084</v>
      </c>
      <c r="AL27" s="20">
        <f t="shared" si="4"/>
        <v>140.41794724133206</v>
      </c>
      <c r="AM27" s="59">
        <f t="shared" si="5"/>
        <v>433.75128057466537</v>
      </c>
      <c r="AN27" s="59">
        <f ca="1">AVERAGE(OFFSET($AM$3,0,0,'Données projet'!$E$10+1,1))-AVERAGE(OFFSET($H$3,0,0,'Données projet'!$E$10+1,1))</f>
        <v>123.60520571614535</v>
      </c>
      <c r="AO27" s="59">
        <f t="shared" si="36"/>
        <v>119.00926870519527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1.0502140803481823</v>
      </c>
      <c r="AW27" s="21">
        <f>EXP(-LN(2)/2)*AW26+(1-EXP(-LN(2)/2))/(LN(2)/2)*AQ27*AT27*VLOOKUP('Données projet'!$B$10,Paramètres!$A$1:$I$89,3,0)*0.475*44/12</f>
        <v>0.4570255668965581</v>
      </c>
      <c r="AX27" s="21">
        <f t="shared" si="6"/>
        <v>1.5072396472447405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19</v>
      </c>
      <c r="BD27" s="12">
        <f>IF('Données projet'!$A$88&gt;35,BD26+BC27-BL26,IF(A27&lt;'Données projet'!$A$88,$BA$205^A27,IF(A27='Données projet'!$A$88,'Données projet'!$B$88,BD26+BC27-BL26)))</f>
        <v>146</v>
      </c>
      <c r="BE27" s="13">
        <f>BD27*VLOOKUP('Données projet'!$B$11,Paramètres!$A$1:$I$89,3,0)*VLOOKUP('Données projet'!$B$11,Paramètres!$A$1:$I$89,5,0)</f>
        <v>70.225999999999999</v>
      </c>
      <c r="BF27" s="13">
        <f t="shared" si="37"/>
        <v>19.729570803453036</v>
      </c>
      <c r="BG27" s="20">
        <f t="shared" si="7"/>
        <v>156.67261914934736</v>
      </c>
      <c r="BH27" s="59">
        <f t="shared" si="8"/>
        <v>450.00595248268064</v>
      </c>
      <c r="BI27" s="59">
        <f ca="1">AVERAGE(OFFSET($BH$3,0,0,'Données projet'!$E$11+1,1))-AVERAGE(OFFSET($H$3,0,0,'Données projet'!$E$11+1,1))</f>
        <v>252.30925789500111</v>
      </c>
      <c r="BJ27" s="59">
        <f t="shared" si="38"/>
        <v>213.96033794804805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30</v>
      </c>
      <c r="L28" s="12">
        <f>VLOOKUP(A28,'Données projet'!$A$35:$I$55,9,0)</f>
        <v>1.2</v>
      </c>
      <c r="M28" s="12">
        <f t="array" ref="M28">INDEX(L:L,MIN(IF(ISNUMBER(L28:L224),ROW(L28:L224),"")))</f>
        <v>1.2</v>
      </c>
      <c r="N28" s="13">
        <f>IF('Données projet'!$A$36&gt;35,N27+M28-V27,IF(A28&lt;'Données projet'!$A$36,$K$205^A28,IF(A28='Données projet'!$A$36,'Données projet'!$B$36,N27+M28-V27)))</f>
        <v>30</v>
      </c>
      <c r="O28" s="13">
        <f>N28*VLOOKUP('Données projet'!$B$9,Paramètres!$A$1:$I$89,3,0)*VLOOKUP('Données projet'!$B$9,Paramètres!$A$1:$I$89,5,0)</f>
        <v>27.143999999999998</v>
      </c>
      <c r="P28" s="13">
        <f t="shared" si="33"/>
        <v>8.5181694620316346</v>
      </c>
      <c r="Q28" s="20">
        <f t="shared" si="2"/>
        <v>62.111611813038422</v>
      </c>
      <c r="R28" s="59">
        <f t="shared" si="0"/>
        <v>355.44494514637177</v>
      </c>
      <c r="S28" s="59">
        <f ca="1">AVERAGE(OFFSET($R$3,0,0,'Données projet'!$E$9+1,1))-AVERAGE(OFFSET($H$3,0,0,'Données projet'!$E$9+1,1))</f>
        <v>138.8931001150624</v>
      </c>
      <c r="T28" s="59">
        <f t="shared" si="34"/>
        <v>48.964659354096625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6.5</v>
      </c>
      <c r="AI28" s="13">
        <f>IF('Données projet'!$A$62&gt;35,AI27+AH28-AQ27,IF(A28&lt;'Données projet'!$A$62,$AF$205^A28,IF(A28='Données projet'!$A$62,'Données projet'!$B$62,AI27+AH28-AQ27)))</f>
        <v>140.6</v>
      </c>
      <c r="AJ28" s="13">
        <f>AI28*VLOOKUP('Données projet'!$B$10,Paramètres!$A$1:$I$89,3,0)*VLOOKUP('Données projet'!$B$10,Paramètres!$A$1:$I$89,5,0)</f>
        <v>65.800799999999995</v>
      </c>
      <c r="AK28" s="13">
        <f t="shared" si="35"/>
        <v>18.626923459774289</v>
      </c>
      <c r="AL28" s="20">
        <f t="shared" si="4"/>
        <v>147.04495169244021</v>
      </c>
      <c r="AM28" s="59">
        <f t="shared" si="5"/>
        <v>440.37828502577349</v>
      </c>
      <c r="AN28" s="59">
        <f ca="1">AVERAGE(OFFSET($AM$3,0,0,'Données projet'!$E$10+1,1))-AVERAGE(OFFSET($H$3,0,0,'Données projet'!$E$10+1,1))</f>
        <v>123.60520571614535</v>
      </c>
      <c r="AO28" s="59">
        <f t="shared" si="36"/>
        <v>119.00926870519527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1.021495921092703</v>
      </c>
      <c r="AW28" s="21">
        <f>EXP(-LN(2)/2)*AW27+(1-EXP(-LN(2)/2))/(LN(2)/2)*AQ28*AT28*VLOOKUP('Données projet'!$B$10,Paramètres!$A$1:$I$89,3,0)*0.475*44/12</f>
        <v>0.32316587752818238</v>
      </c>
      <c r="AX28" s="21">
        <f t="shared" si="6"/>
        <v>1.3446617986208853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19</v>
      </c>
      <c r="BD28" s="12">
        <f>IF('Données projet'!$A$88&gt;35,BD27+BC28-BL27,IF(A28&lt;'Données projet'!$A$88,$BA$205^A28,IF(A28='Données projet'!$A$88,'Données projet'!$B$88,BD27+BC28-BL27)))</f>
        <v>165</v>
      </c>
      <c r="BE28" s="13">
        <f>BD28*VLOOKUP('Données projet'!$B$11,Paramètres!$A$1:$I$89,3,0)*VLOOKUP('Données projet'!$B$11,Paramètres!$A$1:$I$89,5,0)</f>
        <v>79.364999999999995</v>
      </c>
      <c r="BF28" s="13">
        <f t="shared" si="37"/>
        <v>21.981851390063195</v>
      </c>
      <c r="BG28" s="20">
        <f t="shared" si="7"/>
        <v>176.51243283769338</v>
      </c>
      <c r="BH28" s="59">
        <f t="shared" si="8"/>
        <v>469.8457661710267</v>
      </c>
      <c r="BI28" s="59">
        <f ca="1">AVERAGE(OFFSET($BH$3,0,0,'Données projet'!$E$11+1,1))-AVERAGE(OFFSET($H$3,0,0,'Données projet'!$E$11+1,1))</f>
        <v>252.30925789500111</v>
      </c>
      <c r="BJ28" s="59">
        <f t="shared" si="38"/>
        <v>213.96033794804805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4.8</v>
      </c>
      <c r="N29" s="13">
        <f>IF('Données projet'!$A$36&gt;35,N28+M29-V28,IF(A29&lt;'Données projet'!$A$36,$K$205^A29,IF(A29='Données projet'!$A$36,'Données projet'!$B$36,N28+M29-V28)))</f>
        <v>34.799999999999997</v>
      </c>
      <c r="O29" s="13">
        <f>N29*VLOOKUP('Données projet'!$B$9,Paramètres!$A$1:$I$89,3,0)*VLOOKUP('Données projet'!$B$9,Paramètres!$A$1:$I$89,5,0)</f>
        <v>31.487039999999997</v>
      </c>
      <c r="P29" s="13">
        <f t="shared" si="33"/>
        <v>9.7118363356135369</v>
      </c>
      <c r="Q29" s="20">
        <f t="shared" si="2"/>
        <v>71.754709617860229</v>
      </c>
      <c r="R29" s="59">
        <f t="shared" si="0"/>
        <v>365.08804295119353</v>
      </c>
      <c r="S29" s="59">
        <f ca="1">AVERAGE(OFFSET($R$3,0,0,'Données projet'!$E$9+1,1))-AVERAGE(OFFSET($H$3,0,0,'Données projet'!$E$9+1,1))</f>
        <v>138.8931001150624</v>
      </c>
      <c r="T29" s="59">
        <f t="shared" si="34"/>
        <v>48.964659354096625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6.5</v>
      </c>
      <c r="AI29" s="13">
        <f>IF('Données projet'!$A$62&gt;35,AI28+AH29-AQ28,IF(A29&lt;'Données projet'!$A$62,$AF$205^A29,IF(A29='Données projet'!$A$62,'Données projet'!$B$62,AI28+AH29-AQ28)))</f>
        <v>147.1</v>
      </c>
      <c r="AJ29" s="13">
        <f>AI29*VLOOKUP('Données projet'!$B$10,Paramètres!$A$1:$I$89,3,0)*VLOOKUP('Données projet'!$B$10,Paramètres!$A$1:$I$89,5,0)</f>
        <v>68.842799999999997</v>
      </c>
      <c r="AK29" s="13">
        <f t="shared" si="35"/>
        <v>19.385805820089459</v>
      </c>
      <c r="AL29" s="20">
        <f t="shared" si="4"/>
        <v>153.66482180332244</v>
      </c>
      <c r="AM29" s="59">
        <f t="shared" si="5"/>
        <v>446.99815513665578</v>
      </c>
      <c r="AN29" s="59">
        <f ca="1">AVERAGE(OFFSET($AM$3,0,0,'Données projet'!$E$10+1,1))-AVERAGE(OFFSET($H$3,0,0,'Données projet'!$E$10+1,1))</f>
        <v>123.60520571614535</v>
      </c>
      <c r="AO29" s="59">
        <f t="shared" si="36"/>
        <v>119.00926870519527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0.99356306141228723</v>
      </c>
      <c r="AW29" s="21">
        <f>EXP(-LN(2)/2)*AW28+(1-EXP(-LN(2)/2))/(LN(2)/2)*AQ29*AT29*VLOOKUP('Données projet'!$B$10,Paramètres!$A$1:$I$89,3,0)*0.475*44/12</f>
        <v>0.22851278344827908</v>
      </c>
      <c r="AX29" s="21">
        <f t="shared" si="6"/>
        <v>1.2220758448605662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19</v>
      </c>
      <c r="BD29" s="12">
        <f>IF('Données projet'!$A$88&gt;35,BD28+BC29-BL28,IF(A29&lt;'Données projet'!$A$88,$BA$205^A29,IF(A29='Données projet'!$A$88,'Données projet'!$B$88,BD28+BC29-BL28)))</f>
        <v>184</v>
      </c>
      <c r="BE29" s="13">
        <f>BD29*VLOOKUP('Données projet'!$B$11,Paramètres!$A$1:$I$89,3,0)*VLOOKUP('Données projet'!$B$11,Paramètres!$A$1:$I$89,5,0)</f>
        <v>88.504000000000005</v>
      </c>
      <c r="BF29" s="13">
        <f t="shared" si="37"/>
        <v>24.204074597328468</v>
      </c>
      <c r="BG29" s="20">
        <f t="shared" si="7"/>
        <v>196.29989659034709</v>
      </c>
      <c r="BH29" s="59">
        <f t="shared" si="8"/>
        <v>489.6332299236804</v>
      </c>
      <c r="BI29" s="59">
        <f ca="1">AVERAGE(OFFSET($BH$3,0,0,'Données projet'!$E$11+1,1))-AVERAGE(OFFSET($H$3,0,0,'Données projet'!$E$11+1,1))</f>
        <v>252.30925789500111</v>
      </c>
      <c r="BJ29" s="59">
        <f t="shared" si="38"/>
        <v>213.96033794804805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4.8</v>
      </c>
      <c r="N30" s="13">
        <f>IF('Données projet'!$A$36&gt;35,N29+M30-V29,IF(A30&lt;'Données projet'!$A$36,$K$205^A30,IF(A30='Données projet'!$A$36,'Données projet'!$B$36,N29+M30-V29)))</f>
        <v>39.599999999999994</v>
      </c>
      <c r="O30" s="13">
        <f>N30*VLOOKUP('Données projet'!$B$9,Paramètres!$A$1:$I$89,3,0)*VLOOKUP('Données projet'!$B$9,Paramètres!$A$1:$I$89,5,0)</f>
        <v>35.830079999999995</v>
      </c>
      <c r="P30" s="13">
        <f t="shared" si="33"/>
        <v>10.886427918882697</v>
      </c>
      <c r="Q30" s="20">
        <f t="shared" si="2"/>
        <v>81.364584625387351</v>
      </c>
      <c r="R30" s="59">
        <f t="shared" si="0"/>
        <v>374.69791795872067</v>
      </c>
      <c r="S30" s="59">
        <f ca="1">AVERAGE(OFFSET($R$3,0,0,'Données projet'!$E$9+1,1))-AVERAGE(OFFSET($H$3,0,0,'Données projet'!$E$9+1,1))</f>
        <v>138.8931001150624</v>
      </c>
      <c r="T30" s="59">
        <f t="shared" si="34"/>
        <v>48.964659354096625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6.5</v>
      </c>
      <c r="AI30" s="13">
        <f>IF('Données projet'!$A$62&gt;35,AI29+AH30-AQ29,IF(A30&lt;'Données projet'!$A$62,$AF$205^A30,IF(A30='Données projet'!$A$62,'Données projet'!$B$62,AI29+AH30-AQ29)))</f>
        <v>153.6</v>
      </c>
      <c r="AJ30" s="13">
        <f>AI30*VLOOKUP('Données projet'!$B$10,Paramètres!$A$1:$I$89,3,0)*VLOOKUP('Données projet'!$B$10,Paramètres!$A$1:$I$89,5,0)</f>
        <v>71.884799999999998</v>
      </c>
      <c r="AK30" s="13">
        <f t="shared" si="35"/>
        <v>20.140793597217179</v>
      </c>
      <c r="AL30" s="20">
        <f t="shared" si="4"/>
        <v>160.27790884848659</v>
      </c>
      <c r="AM30" s="59">
        <f t="shared" si="5"/>
        <v>453.61124218181988</v>
      </c>
      <c r="AN30" s="59">
        <f ca="1">AVERAGE(OFFSET($AM$3,0,0,'Données projet'!$E$10+1,1))-AVERAGE(OFFSET($H$3,0,0,'Données projet'!$E$10+1,1))</f>
        <v>123.60520571614535</v>
      </c>
      <c r="AO30" s="59">
        <f t="shared" si="36"/>
        <v>119.00926870519527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0.96639402724875767</v>
      </c>
      <c r="AW30" s="21">
        <f>EXP(-LN(2)/2)*AW29+(1-EXP(-LN(2)/2))/(LN(2)/2)*AQ30*AT30*VLOOKUP('Données projet'!$B$10,Paramètres!$A$1:$I$89,3,0)*0.475*44/12</f>
        <v>0.16158293876409122</v>
      </c>
      <c r="AX30" s="21">
        <f t="shared" si="6"/>
        <v>1.1279769660128489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19</v>
      </c>
      <c r="BD30" s="12">
        <f>IF('Données projet'!$A$88&gt;35,BD29+BC30-BL29,IF(A30&lt;'Données projet'!$A$88,$BA$205^A30,IF(A30='Données projet'!$A$88,'Données projet'!$B$88,BD29+BC30-BL29)))</f>
        <v>203</v>
      </c>
      <c r="BE30" s="13">
        <f>BD30*VLOOKUP('Données projet'!$B$11,Paramètres!$A$1:$I$89,3,0)*VLOOKUP('Données projet'!$B$11,Paramètres!$A$1:$I$89,5,0)</f>
        <v>97.643000000000001</v>
      </c>
      <c r="BF30" s="13">
        <f t="shared" si="37"/>
        <v>26.399697676478496</v>
      </c>
      <c r="BG30" s="20">
        <f t="shared" si="7"/>
        <v>216.04103178653338</v>
      </c>
      <c r="BH30" s="59">
        <f t="shared" si="8"/>
        <v>509.3743651198667</v>
      </c>
      <c r="BI30" s="59">
        <f ca="1">AVERAGE(OFFSET($BH$3,0,0,'Données projet'!$E$11+1,1))-AVERAGE(OFFSET($H$3,0,0,'Données projet'!$E$11+1,1))</f>
        <v>252.30925789500111</v>
      </c>
      <c r="BJ30" s="59">
        <f t="shared" si="38"/>
        <v>213.96033794804805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4.8</v>
      </c>
      <c r="N31" s="13">
        <f>IF('Données projet'!$A$36&gt;35,N30+M31-V30,IF(A31&lt;'Données projet'!$A$36,$K$205^A31,IF(A31='Données projet'!$A$36,'Données projet'!$B$36,N30+M31-V30)))</f>
        <v>44.399999999999991</v>
      </c>
      <c r="O31" s="13">
        <f>N31*VLOOKUP('Données projet'!$B$9,Paramètres!$A$1:$I$89,3,0)*VLOOKUP('Données projet'!$B$9,Paramètres!$A$1:$I$89,5,0)</f>
        <v>40.17311999999999</v>
      </c>
      <c r="P31" s="13">
        <f t="shared" si="33"/>
        <v>12.044520842267836</v>
      </c>
      <c r="Q31" s="20">
        <f t="shared" si="2"/>
        <v>90.945724466949798</v>
      </c>
      <c r="R31" s="59">
        <f t="shared" si="0"/>
        <v>384.27905780028311</v>
      </c>
      <c r="S31" s="59">
        <f ca="1">AVERAGE(OFFSET($R$3,0,0,'Données projet'!$E$9+1,1))-AVERAGE(OFFSET($H$3,0,0,'Données projet'!$E$9+1,1))</f>
        <v>138.8931001150624</v>
      </c>
      <c r="T31" s="59">
        <f t="shared" si="34"/>
        <v>48.964659354096625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6.5</v>
      </c>
      <c r="AI31" s="13">
        <f>IF('Données projet'!$A$62&gt;35,AI30+AH31-AQ30,IF(A31&lt;'Données projet'!$A$62,$AF$205^A31,IF(A31='Données projet'!$A$62,'Données projet'!$B$62,AI30+AH31-AQ30)))</f>
        <v>160.1</v>
      </c>
      <c r="AJ31" s="13">
        <f>AI31*VLOOKUP('Données projet'!$B$10,Paramètres!$A$1:$I$89,3,0)*VLOOKUP('Données projet'!$B$10,Paramètres!$A$1:$I$89,5,0)</f>
        <v>74.9268</v>
      </c>
      <c r="AK31" s="13">
        <f t="shared" si="35"/>
        <v>20.892070444276687</v>
      </c>
      <c r="AL31" s="20">
        <f t="shared" si="4"/>
        <v>166.88453269044854</v>
      </c>
      <c r="AM31" s="59">
        <f t="shared" si="5"/>
        <v>460.21786602378188</v>
      </c>
      <c r="AN31" s="59">
        <f ca="1">AVERAGE(OFFSET($AM$3,0,0,'Données projet'!$E$10+1,1))-AVERAGE(OFFSET($H$3,0,0,'Données projet'!$E$10+1,1))</f>
        <v>123.60520571614535</v>
      </c>
      <c r="AO31" s="59">
        <f t="shared" si="36"/>
        <v>119.00926870519527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0.93996793175318727</v>
      </c>
      <c r="AW31" s="21">
        <f>EXP(-LN(2)/2)*AW30+(1-EXP(-LN(2)/2))/(LN(2)/2)*AQ31*AT31*VLOOKUP('Données projet'!$B$10,Paramètres!$A$1:$I$89,3,0)*0.475*44/12</f>
        <v>0.11425639172413957</v>
      </c>
      <c r="AX31" s="21">
        <f t="shared" si="6"/>
        <v>1.0542243234773268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19</v>
      </c>
      <c r="BD31" s="12">
        <f>IF('Données projet'!$A$88&gt;35,BD30+BC31-BL30,IF(A31&lt;'Données projet'!$A$88,$BA$205^A31,IF(A31='Données projet'!$A$88,'Données projet'!$B$88,BD30+BC31-BL30)))</f>
        <v>222</v>
      </c>
      <c r="BE31" s="13">
        <f>BD31*VLOOKUP('Données projet'!$B$11,Paramètres!$A$1:$I$89,3,0)*VLOOKUP('Données projet'!$B$11,Paramètres!$A$1:$I$89,5,0)</f>
        <v>106.78200000000001</v>
      </c>
      <c r="BF31" s="13">
        <f t="shared" si="37"/>
        <v>28.571493499686834</v>
      </c>
      <c r="BG31" s="20">
        <f t="shared" si="7"/>
        <v>235.74066784528793</v>
      </c>
      <c r="BH31" s="59">
        <f t="shared" si="8"/>
        <v>529.0740011786213</v>
      </c>
      <c r="BI31" s="59">
        <f ca="1">AVERAGE(OFFSET($BH$3,0,0,'Données projet'!$E$11+1,1))-AVERAGE(OFFSET($H$3,0,0,'Données projet'!$E$11+1,1))</f>
        <v>252.30925789500111</v>
      </c>
      <c r="BJ31" s="59">
        <f t="shared" si="38"/>
        <v>213.96033794804805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4.8</v>
      </c>
      <c r="N32" s="13">
        <f>IF('Données projet'!$A$36&gt;35,N31+M32-V31,IF(A32&lt;'Données projet'!$A$36,$K$205^A32,IF(A32='Données projet'!$A$36,'Données projet'!$B$36,N31+M32-V31)))</f>
        <v>49.199999999999989</v>
      </c>
      <c r="O32" s="13">
        <f>N32*VLOOKUP('Données projet'!$B$9,Paramètres!$A$1:$I$89,3,0)*VLOOKUP('Données projet'!$B$9,Paramètres!$A$1:$I$89,5,0)</f>
        <v>44.516159999999985</v>
      </c>
      <c r="P32" s="13">
        <f t="shared" si="33"/>
        <v>13.188102074986608</v>
      </c>
      <c r="Q32" s="20">
        <f t="shared" si="2"/>
        <v>100.50158978060165</v>
      </c>
      <c r="R32" s="59">
        <f t="shared" si="0"/>
        <v>393.83492311393496</v>
      </c>
      <c r="S32" s="59">
        <f ca="1">AVERAGE(OFFSET($R$3,0,0,'Données projet'!$E$9+1,1))-AVERAGE(OFFSET($H$3,0,0,'Données projet'!$E$9+1,1))</f>
        <v>138.8931001150624</v>
      </c>
      <c r="T32" s="59">
        <f t="shared" si="34"/>
        <v>48.964659354096625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6.5</v>
      </c>
      <c r="AI32" s="13">
        <f>IF('Données projet'!$A$62&gt;35,AI31+AH32-AQ31,IF(A32&lt;'Données projet'!$A$62,$AF$205^A32,IF(A32='Données projet'!$A$62,'Données projet'!$B$62,AI31+AH32-AQ31)))</f>
        <v>166.6</v>
      </c>
      <c r="AJ32" s="13">
        <f>AI32*VLOOKUP('Données projet'!$B$10,Paramètres!$A$1:$I$89,3,0)*VLOOKUP('Données projet'!$B$10,Paramètres!$A$1:$I$89,5,0)</f>
        <v>77.968800000000002</v>
      </c>
      <c r="AK32" s="13">
        <f t="shared" si="35"/>
        <v>21.63980425794859</v>
      </c>
      <c r="AL32" s="20">
        <f t="shared" si="4"/>
        <v>173.48498574926046</v>
      </c>
      <c r="AM32" s="59">
        <f t="shared" si="5"/>
        <v>466.8183190825938</v>
      </c>
      <c r="AN32" s="59">
        <f ca="1">AVERAGE(OFFSET($AM$3,0,0,'Données projet'!$E$10+1,1))-AVERAGE(OFFSET($H$3,0,0,'Données projet'!$E$10+1,1))</f>
        <v>123.60520571614535</v>
      </c>
      <c r="AO32" s="59">
        <f t="shared" si="36"/>
        <v>119.00926870519527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0.9142644592286312</v>
      </c>
      <c r="AW32" s="21">
        <f>EXP(-LN(2)/2)*AW31+(1-EXP(-LN(2)/2))/(LN(2)/2)*AQ32*AT32*VLOOKUP('Données projet'!$B$10,Paramètres!$A$1:$I$89,3,0)*0.475*44/12</f>
        <v>8.0791469382045622E-2</v>
      </c>
      <c r="AX32" s="21">
        <f t="shared" si="6"/>
        <v>0.99505592861067682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19</v>
      </c>
      <c r="BD32" s="12">
        <f>IF('Données projet'!$A$88&gt;35,BD31+BC32-BL31,IF(A32&lt;'Données projet'!$A$88,$BA$205^A32,IF(A32='Données projet'!$A$88,'Données projet'!$B$88,BD31+BC32-BL31)))</f>
        <v>241</v>
      </c>
      <c r="BE32" s="13">
        <f>BD32*VLOOKUP('Données projet'!$B$11,Paramètres!$A$1:$I$89,3,0)*VLOOKUP('Données projet'!$B$11,Paramètres!$A$1:$I$89,5,0)</f>
        <v>115.92100000000001</v>
      </c>
      <c r="BF32" s="13">
        <f t="shared" si="37"/>
        <v>30.721733194788964</v>
      </c>
      <c r="BG32" s="20">
        <f t="shared" si="7"/>
        <v>255.40276031425742</v>
      </c>
      <c r="BH32" s="59">
        <f t="shared" si="8"/>
        <v>548.73609364759068</v>
      </c>
      <c r="BI32" s="59">
        <f ca="1">AVERAGE(OFFSET($BH$3,0,0,'Données projet'!$E$11+1,1))-AVERAGE(OFFSET($H$3,0,0,'Données projet'!$E$11+1,1))</f>
        <v>252.30925789500111</v>
      </c>
      <c r="BJ32" s="59">
        <f t="shared" si="38"/>
        <v>213.96033794804805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54</v>
      </c>
      <c r="L33" s="12">
        <f>VLOOKUP(A33,'Données projet'!$A$35:$I$55,9,0)</f>
        <v>4.8</v>
      </c>
      <c r="M33" s="12">
        <f t="array" ref="M33">INDEX(L:L,MIN(IF(ISNUMBER(L33:L229),ROW(L33:L229),"")))</f>
        <v>4.8</v>
      </c>
      <c r="N33" s="13">
        <f>IF('Données projet'!$A$36&gt;35,N32+M33-V32,IF(A33&lt;'Données projet'!$A$36,$K$205^A33,IF(A33='Données projet'!$A$36,'Données projet'!$B$36,N32+M33-V32)))</f>
        <v>53.999999999999986</v>
      </c>
      <c r="O33" s="13">
        <f>N33*VLOOKUP('Données projet'!$B$9,Paramètres!$A$1:$I$89,3,0)*VLOOKUP('Données projet'!$B$9,Paramètres!$A$1:$I$89,5,0)</f>
        <v>48.859199999999987</v>
      </c>
      <c r="P33" s="13">
        <f t="shared" si="33"/>
        <v>14.318748507569309</v>
      </c>
      <c r="Q33" s="20">
        <f t="shared" si="2"/>
        <v>110.03492698401652</v>
      </c>
      <c r="R33" s="59">
        <f t="shared" si="0"/>
        <v>403.36826031734984</v>
      </c>
      <c r="S33" s="59">
        <f ca="1">AVERAGE(OFFSET($R$3,0,0,'Données projet'!$E$9+1,1))-AVERAGE(OFFSET($H$3,0,0,'Données projet'!$E$9+1,1))</f>
        <v>138.8931001150624</v>
      </c>
      <c r="T33" s="59">
        <f t="shared" si="34"/>
        <v>48.964659354096625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173.1</v>
      </c>
      <c r="AG33" s="12">
        <f>VLOOKUP(A33,'Données projet'!$A$61:$I$81,9,0)</f>
        <v>6.5</v>
      </c>
      <c r="AH33" s="12">
        <f t="array" ref="AH33">INDEX(AG:AG,MIN(IF(ISNUMBER(AG33:AG229),ROW(AG33:AG229),"")))</f>
        <v>6.5</v>
      </c>
      <c r="AI33" s="13">
        <f>IF('Données projet'!$A$62&gt;35,AI32+AH33-AQ32,IF(A33&lt;'Données projet'!$A$62,$AF$205^A33,IF(A33='Données projet'!$A$62,'Données projet'!$B$62,AI32+AH33-AQ32)))</f>
        <v>173.1</v>
      </c>
      <c r="AJ33" s="13">
        <f>AI33*VLOOKUP('Données projet'!$B$10,Paramètres!$A$1:$I$89,3,0)*VLOOKUP('Données projet'!$B$10,Paramètres!$A$1:$I$89,5,0)</f>
        <v>81.010800000000003</v>
      </c>
      <c r="AK33" s="13">
        <f t="shared" si="35"/>
        <v>22.384149091932141</v>
      </c>
      <c r="AL33" s="20">
        <f t="shared" si="4"/>
        <v>180.07953633511514</v>
      </c>
      <c r="AM33" s="59">
        <f t="shared" si="5"/>
        <v>473.41286966844848</v>
      </c>
      <c r="AN33" s="59">
        <f ca="1">AVERAGE(OFFSET($AM$3,0,0,'Données projet'!$E$10+1,1))-AVERAGE(OFFSET($H$3,0,0,'Données projet'!$E$10+1,1))</f>
        <v>123.60520571614535</v>
      </c>
      <c r="AO33" s="59">
        <f t="shared" si="36"/>
        <v>119.00926870519527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25.4</v>
      </c>
      <c r="AR33" s="16">
        <f>IF(ISNA(VLOOKUP(A33,'Données projet'!$A$61:$I$81,5,0)),0%,VLOOKUP(A33,'Données projet'!$A$61:$I$81,5,0)*VLOOKUP('Données projet'!$B$10,Paramètres!$A$1:$I$89,7,0))</f>
        <v>5.5000000000000007E-2</v>
      </c>
      <c r="AS33" s="16">
        <f>IF(ISNA(VLOOKUP(A33,'Données projet'!$A$61:$I$81,6,0)),0%,VLOOKUP(A33,'Données projet'!$A$61:$I$81,6,0)*VLOOKUP('Données projet'!$B$10,Paramètres!$A$1:$I$89,7,0))</f>
        <v>0.24750000000000003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0.86730253470854979</v>
      </c>
      <c r="AV33" s="21">
        <f>EXP(-LN(2)/25)*AV32+(1-EXP(-LN(2)/25))/(LN(2)/25)*Calculateur!AQ33*Calculateur!AS33*VLOOKUP('Données projet'!$B$10,Paramètres!$A$1:$I$89,3,0)*0.475*44/12</f>
        <v>4.7767582032374722</v>
      </c>
      <c r="AW33" s="21">
        <f>EXP(-LN(2)/2)*AW32+(1-EXP(-LN(2)/2))/(LN(2)/2)*AQ33*AT33*VLOOKUP('Données projet'!$B$10,Paramètres!$A$1:$I$89,3,0)*0.475*44/12</f>
        <v>6.1137104910825419</v>
      </c>
      <c r="AX33" s="21">
        <f t="shared" si="6"/>
        <v>11.757771229028563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260</v>
      </c>
      <c r="BB33" s="12">
        <f>VLOOKUP(A33,'Données projet'!$A$87:$I$107,9,0)</f>
        <v>19</v>
      </c>
      <c r="BC33" s="12">
        <f t="array" ref="BC33">INDEX(BB:BB,MIN(IF(ISNUMBER(BB33:BB229),ROW(BB33:BB229),"")))</f>
        <v>19</v>
      </c>
      <c r="BD33" s="12">
        <f>IF('Données projet'!$A$88&gt;35,BD32+BC33-BL32,IF(A33&lt;'Données projet'!$A$88,$BA$205^A33,IF(A33='Données projet'!$A$88,'Données projet'!$B$88,BD32+BC33-BL32)))</f>
        <v>260</v>
      </c>
      <c r="BE33" s="13">
        <f>BD33*VLOOKUP('Données projet'!$B$11,Paramètres!$A$1:$I$89,3,0)*VLOOKUP('Données projet'!$B$11,Paramètres!$A$1:$I$89,5,0)</f>
        <v>125.06</v>
      </c>
      <c r="BF33" s="13">
        <f t="shared" si="37"/>
        <v>32.852309422756704</v>
      </c>
      <c r="BG33" s="20">
        <f t="shared" si="7"/>
        <v>275.03060557796795</v>
      </c>
      <c r="BH33" s="59">
        <f t="shared" si="8"/>
        <v>568.36393891130126</v>
      </c>
      <c r="BI33" s="59">
        <f ca="1">AVERAGE(OFFSET($BH$3,0,0,'Données projet'!$E$11+1,1))-AVERAGE(OFFSET($H$3,0,0,'Données projet'!$E$11+1,1))</f>
        <v>252.30925789500111</v>
      </c>
      <c r="BJ33" s="59">
        <f t="shared" si="38"/>
        <v>213.96033794804805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66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4.6324426722622016</v>
      </c>
      <c r="BQ33" s="21">
        <f>EXP(-LN(2)/25)*BQ32+(1-EXP(-LN(2)/25))/(LN(2)/25)*Calculateur!BL33*Calculateur!BN33*VLOOKUP('Données projet'!$B$11,Paramètres!$A$1:$I$89,3,0)*0.475*44/12</f>
        <v>9.2284059607249294</v>
      </c>
      <c r="BR33" s="21">
        <f>EXP(-LN(2)/2)*BR32+(1-EXP(-LN(2)/2))/(LN(2)/2)*BL33*BO33*VLOOKUP('Données projet'!$B$11,Paramètres!$A$1:$I$89,3,0)*0.475*44/12</f>
        <v>14.377538606910074</v>
      </c>
      <c r="BS33" s="22">
        <f t="shared" si="9"/>
        <v>28.238387239897207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5.2</v>
      </c>
      <c r="N34" s="13">
        <f>IF('Données projet'!$A$36&gt;35,N33+M34-V33,IF(A34&lt;'Données projet'!$A$36,$K$205^A34,IF(A34='Données projet'!$A$36,'Données projet'!$B$36,N33+M34-V33)))</f>
        <v>59.199999999999989</v>
      </c>
      <c r="O34" s="13">
        <f>N34*VLOOKUP('Données projet'!$B$9,Paramètres!$A$1:$I$89,3,0)*VLOOKUP('Données projet'!$B$9,Paramètres!$A$1:$I$89,5,0)</f>
        <v>53.564159999999987</v>
      </c>
      <c r="P34" s="13">
        <f t="shared" si="33"/>
        <v>15.530498469746302</v>
      </c>
      <c r="Q34" s="20">
        <f t="shared" si="2"/>
        <v>120.3398635014748</v>
      </c>
      <c r="R34" s="59">
        <f t="shared" si="0"/>
        <v>413.6731968348081</v>
      </c>
      <c r="S34" s="59">
        <f ca="1">AVERAGE(OFFSET($R$3,0,0,'Données projet'!$E$9+1,1))-AVERAGE(OFFSET($H$3,0,0,'Données projet'!$E$9+1,1))</f>
        <v>138.8931001150624</v>
      </c>
      <c r="T34" s="59">
        <f t="shared" si="34"/>
        <v>48.964659354096625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</v>
      </c>
      <c r="AI34" s="13">
        <f>IF('Données projet'!$A$62&gt;35,AI33+AH34-AQ33,IF(A34&lt;'Données projet'!$A$62,$AF$205^A34,IF(A34='Données projet'!$A$62,'Données projet'!$B$62,AI33+AH34-AQ33)))</f>
        <v>154.69999999999999</v>
      </c>
      <c r="AJ34" s="13">
        <f>AI34*VLOOKUP('Données projet'!$B$10,Paramètres!$A$1:$I$89,3,0)*VLOOKUP('Données projet'!$B$10,Paramètres!$A$1:$I$89,5,0)</f>
        <v>72.399599999999992</v>
      </c>
      <c r="AK34" s="13">
        <f t="shared" si="35"/>
        <v>20.268188832715463</v>
      </c>
      <c r="AL34" s="20">
        <f t="shared" si="4"/>
        <v>161.3963988836461</v>
      </c>
      <c r="AM34" s="59">
        <f t="shared" si="5"/>
        <v>454.72973221697941</v>
      </c>
      <c r="AN34" s="59">
        <f ca="1">AVERAGE(OFFSET($AM$3,0,0,'Données projet'!$E$10+1,1))-AVERAGE(OFFSET($H$3,0,0,'Données projet'!$E$10+1,1))</f>
        <v>123.60520571614535</v>
      </c>
      <c r="AO34" s="59">
        <f t="shared" si="36"/>
        <v>119.00926870519527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0.85029526100522668</v>
      </c>
      <c r="AV34" s="21">
        <f>EXP(-LN(2)/25)*AV33+(1-EXP(-LN(2)/25))/(LN(2)/25)*Calculateur!AQ34*Calculateur!AS34*VLOOKUP('Données projet'!$B$10,Paramètres!$A$1:$I$89,3,0)*0.475*44/12</f>
        <v>4.6461374989711475</v>
      </c>
      <c r="AW34" s="21">
        <f>EXP(-LN(2)/2)*AW33+(1-EXP(-LN(2)/2))/(LN(2)/2)*AQ34*AT34*VLOOKUP('Données projet'!$B$10,Paramètres!$A$1:$I$89,3,0)*0.475*44/12</f>
        <v>4.3230461464558037</v>
      </c>
      <c r="AX34" s="21">
        <f t="shared" si="6"/>
        <v>9.8194789064321775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20.2</v>
      </c>
      <c r="BD34" s="12">
        <f>IF('Données projet'!$A$88&gt;35,BD33+BC34-BL33,IF(A34&lt;'Données projet'!$A$88,$BA$205^A34,IF(A34='Données projet'!$A$88,'Données projet'!$B$88,BD33+BC34-BL33)))</f>
        <v>214.2</v>
      </c>
      <c r="BE34" s="13">
        <f>BD34*VLOOKUP('Données projet'!$B$11,Paramètres!$A$1:$I$89,3,0)*VLOOKUP('Données projet'!$B$11,Paramètres!$A$1:$I$89,5,0)</f>
        <v>103.03019999999999</v>
      </c>
      <c r="BF34" s="13">
        <f t="shared" si="37"/>
        <v>27.682641911587602</v>
      </c>
      <c r="BG34" s="20">
        <f t="shared" si="7"/>
        <v>227.65819966268168</v>
      </c>
      <c r="BH34" s="59">
        <f t="shared" si="8"/>
        <v>520.99153299601494</v>
      </c>
      <c r="BI34" s="59">
        <f ca="1">AVERAGE(OFFSET($BH$3,0,0,'Données projet'!$E$11+1,1))-AVERAGE(OFFSET($H$3,0,0,'Données projet'!$E$11+1,1))</f>
        <v>252.30925789500111</v>
      </c>
      <c r="BJ34" s="59">
        <f t="shared" si="38"/>
        <v>213.96033794804805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4.5416032969701741</v>
      </c>
      <c r="BQ34" s="21">
        <f>EXP(-LN(2)/25)*BQ33+(1-EXP(-LN(2)/25))/(LN(2)/25)*Calculateur!BL34*Calculateur!BN34*VLOOKUP('Données projet'!$B$11,Paramètres!$A$1:$I$89,3,0)*0.475*44/12</f>
        <v>8.9760547144281286</v>
      </c>
      <c r="BR34" s="21">
        <f>EXP(-LN(2)/2)*BR33+(1-EXP(-LN(2)/2))/(LN(2)/2)*BL34*BO34*VLOOKUP('Données projet'!$B$11,Paramètres!$A$1:$I$89,3,0)*0.475*44/12</f>
        <v>10.166455045717502</v>
      </c>
      <c r="BS34" s="22">
        <f t="shared" si="9"/>
        <v>23.684113057115805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5.2</v>
      </c>
      <c r="N35" s="13">
        <f>IF('Données projet'!$A$36&gt;35,N34+M35-V34,IF(A35&lt;'Données projet'!$A$36,$K$205^A35,IF(A35='Données projet'!$A$36,'Données projet'!$B$36,N34+M35-V34)))</f>
        <v>64.399999999999991</v>
      </c>
      <c r="O35" s="13">
        <f>N35*VLOOKUP('Données projet'!$B$9,Paramètres!$A$1:$I$89,3,0)*VLOOKUP('Données projet'!$B$9,Paramètres!$A$1:$I$89,5,0)</f>
        <v>58.269119999999987</v>
      </c>
      <c r="P35" s="13">
        <f t="shared" si="33"/>
        <v>16.729905486873804</v>
      </c>
      <c r="Q35" s="20">
        <f t="shared" ref="Q35:Q66" si="53">(O35+P35)*0.475*44/12</f>
        <v>130.62330272297186</v>
      </c>
      <c r="R35" s="59">
        <f t="shared" si="0"/>
        <v>423.95663605630517</v>
      </c>
      <c r="S35" s="59">
        <f ca="1">AVERAGE(OFFSET($R$3,0,0,'Données projet'!$E$9+1,1))-AVERAGE(OFFSET($H$3,0,0,'Données projet'!$E$9+1,1))</f>
        <v>138.8931001150624</v>
      </c>
      <c r="T35" s="59">
        <f t="shared" si="34"/>
        <v>48.964659354096625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</v>
      </c>
      <c r="AI35" s="13">
        <f>IF('Données projet'!$A$62&gt;35,AI34+AH35-AQ34,IF(A35&lt;'Données projet'!$A$62,$AF$205^A35,IF(A35='Données projet'!$A$62,'Données projet'!$B$62,AI34+AH35-AQ34)))</f>
        <v>161.69999999999999</v>
      </c>
      <c r="AJ35" s="13">
        <f>AI35*VLOOKUP('Données projet'!$B$10,Paramètres!$A$1:$I$89,3,0)*VLOOKUP('Données projet'!$B$10,Paramètres!$A$1:$I$89,5,0)</f>
        <v>75.675600000000003</v>
      </c>
      <c r="AK35" s="13">
        <f t="shared" si="35"/>
        <v>21.076450566911173</v>
      </c>
      <c r="AL35" s="20">
        <f t="shared" si="4"/>
        <v>168.50982140403696</v>
      </c>
      <c r="AM35" s="59">
        <f t="shared" si="5"/>
        <v>461.84315473737024</v>
      </c>
      <c r="AN35" s="59">
        <f ca="1">AVERAGE(OFFSET($AM$3,0,0,'Données projet'!$E$10+1,1))-AVERAGE(OFFSET($H$3,0,0,'Données projet'!$E$10+1,1))</f>
        <v>123.60520571614535</v>
      </c>
      <c r="AO35" s="59">
        <f t="shared" si="36"/>
        <v>119.00926870519527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0.83362148956581306</v>
      </c>
      <c r="AV35" s="21">
        <f>EXP(-LN(2)/25)*AV34+(1-EXP(-LN(2)/25))/(LN(2)/25)*Calculateur!AQ35*Calculateur!AS35*VLOOKUP('Données projet'!$B$10,Paramètres!$A$1:$I$89,3,0)*0.475*44/12</f>
        <v>4.5190886247320297</v>
      </c>
      <c r="AW35" s="21">
        <f>EXP(-LN(2)/2)*AW34+(1-EXP(-LN(2)/2))/(LN(2)/2)*AQ35*AT35*VLOOKUP('Données projet'!$B$10,Paramètres!$A$1:$I$89,3,0)*0.475*44/12</f>
        <v>3.0568552455412719</v>
      </c>
      <c r="AX35" s="21">
        <f t="shared" si="6"/>
        <v>8.4095653598391138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20.2</v>
      </c>
      <c r="BD35" s="12">
        <f>IF('Données projet'!$A$88&gt;35,BD34+BC35-BL34,IF(A35&lt;'Données projet'!$A$88,$BA$205^A35,IF(A35='Données projet'!$A$88,'Données projet'!$B$88,BD34+BC35-BL34)))</f>
        <v>234.39999999999998</v>
      </c>
      <c r="BE35" s="13">
        <f>BD35*VLOOKUP('Données projet'!$B$11,Paramètres!$A$1:$I$89,3,0)*VLOOKUP('Données projet'!$B$11,Paramètres!$A$1:$I$89,5,0)</f>
        <v>112.74639999999999</v>
      </c>
      <c r="BF35" s="13">
        <f t="shared" si="37"/>
        <v>29.977126197043795</v>
      </c>
      <c r="BG35" s="20">
        <f t="shared" si="7"/>
        <v>248.5768081265179</v>
      </c>
      <c r="BH35" s="59">
        <f t="shared" si="8"/>
        <v>541.91014145985127</v>
      </c>
      <c r="BI35" s="59">
        <f ca="1">AVERAGE(OFFSET($BH$3,0,0,'Données projet'!$E$11+1,1))-AVERAGE(OFFSET($H$3,0,0,'Données projet'!$E$11+1,1))</f>
        <v>252.30925789500111</v>
      </c>
      <c r="BJ35" s="59">
        <f t="shared" si="38"/>
        <v>213.96033794804805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4.4525452264210754</v>
      </c>
      <c r="BQ35" s="21">
        <f>EXP(-LN(2)/25)*BQ34+(1-EXP(-LN(2)/25))/(LN(2)/25)*Calculateur!BL35*Calculateur!BN35*VLOOKUP('Données projet'!$B$11,Paramètres!$A$1:$I$89,3,0)*0.475*44/12</f>
        <v>8.7306040262318891</v>
      </c>
      <c r="BR35" s="21">
        <f>EXP(-LN(2)/2)*BR34+(1-EXP(-LN(2)/2))/(LN(2)/2)*BL35*BO35*VLOOKUP('Données projet'!$B$11,Paramètres!$A$1:$I$89,3,0)*0.475*44/12</f>
        <v>7.1887693034550377</v>
      </c>
      <c r="BS35" s="22">
        <f t="shared" si="9"/>
        <v>20.371918556108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5.2</v>
      </c>
      <c r="N36" s="13">
        <f>IF('Données projet'!$A$36&gt;35,N35+M36-V35,IF(A36&lt;'Données projet'!$A$36,$K$205^A36,IF(A36='Données projet'!$A$36,'Données projet'!$B$36,N35+M36-V35)))</f>
        <v>69.599999999999994</v>
      </c>
      <c r="O36" s="13">
        <f>N36*VLOOKUP('Données projet'!$B$9,Paramètres!$A$1:$I$89,3,0)*VLOOKUP('Données projet'!$B$9,Paramètres!$A$1:$I$89,5,0)</f>
        <v>62.974079999999994</v>
      </c>
      <c r="P36" s="13">
        <f t="shared" si="33"/>
        <v>17.91807950185715</v>
      </c>
      <c r="Q36" s="20">
        <f t="shared" si="53"/>
        <v>140.88717779906787</v>
      </c>
      <c r="R36" s="59">
        <f t="shared" si="0"/>
        <v>434.22051113240116</v>
      </c>
      <c r="S36" s="59">
        <f ca="1">AVERAGE(OFFSET($R$3,0,0,'Données projet'!$E$9+1,1))-AVERAGE(OFFSET($H$3,0,0,'Données projet'!$E$9+1,1))</f>
        <v>138.8931001150624</v>
      </c>
      <c r="T36" s="59">
        <f t="shared" si="34"/>
        <v>48.964659354096625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</v>
      </c>
      <c r="AI36" s="13">
        <f>IF('Données projet'!$A$62&gt;35,AI35+AH36-AQ35,IF(A36&lt;'Données projet'!$A$62,$AF$205^A36,IF(A36='Données projet'!$A$62,'Données projet'!$B$62,AI35+AH36-AQ35)))</f>
        <v>168.7</v>
      </c>
      <c r="AJ36" s="13">
        <f>AI36*VLOOKUP('Données projet'!$B$10,Paramètres!$A$1:$I$89,3,0)*VLOOKUP('Données projet'!$B$10,Paramètres!$A$1:$I$89,5,0)</f>
        <v>78.951599999999999</v>
      </c>
      <c r="AK36" s="13">
        <f t="shared" si="35"/>
        <v>21.880648405433348</v>
      </c>
      <c r="AL36" s="20">
        <f t="shared" si="4"/>
        <v>175.61616597279638</v>
      </c>
      <c r="AM36" s="59">
        <f t="shared" si="5"/>
        <v>468.94949930612972</v>
      </c>
      <c r="AN36" s="59">
        <f ca="1">AVERAGE(OFFSET($AM$3,0,0,'Données projet'!$E$10+1,1))-AVERAGE(OFFSET($H$3,0,0,'Données projet'!$E$10+1,1))</f>
        <v>123.60520571614535</v>
      </c>
      <c r="AO36" s="59">
        <f t="shared" si="36"/>
        <v>119.00926870519527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0.81727468061432995</v>
      </c>
      <c r="AV36" s="21">
        <f>EXP(-LN(2)/25)*AV35+(1-EXP(-LN(2)/25))/(LN(2)/25)*Calculateur!AQ36*Calculateur!AS36*VLOOKUP('Données projet'!$B$10,Paramètres!$A$1:$I$89,3,0)*0.475*44/12</f>
        <v>4.39551390864019</v>
      </c>
      <c r="AW36" s="21">
        <f>EXP(-LN(2)/2)*AW35+(1-EXP(-LN(2)/2))/(LN(2)/2)*AQ36*AT36*VLOOKUP('Données projet'!$B$10,Paramètres!$A$1:$I$89,3,0)*0.475*44/12</f>
        <v>2.1615230732279023</v>
      </c>
      <c r="AX36" s="21">
        <f t="shared" si="6"/>
        <v>7.3743116624824214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20.2</v>
      </c>
      <c r="BD36" s="12">
        <f>IF('Données projet'!$A$88&gt;35,BD35+BC36-BL35,IF(A36&lt;'Données projet'!$A$88,$BA$205^A36,IF(A36='Données projet'!$A$88,'Données projet'!$B$88,BD35+BC36-BL35)))</f>
        <v>254.59999999999997</v>
      </c>
      <c r="BE36" s="13">
        <f>BD36*VLOOKUP('Données projet'!$B$11,Paramètres!$A$1:$I$89,3,0)*VLOOKUP('Données projet'!$B$11,Paramètres!$A$1:$I$89,5,0)</f>
        <v>122.46259999999998</v>
      </c>
      <c r="BF36" s="13">
        <f t="shared" si="37"/>
        <v>32.248679491884289</v>
      </c>
      <c r="BG36" s="20">
        <f t="shared" si="7"/>
        <v>269.45547844836511</v>
      </c>
      <c r="BH36" s="59">
        <f t="shared" si="8"/>
        <v>562.78881178169843</v>
      </c>
      <c r="BI36" s="59">
        <f ca="1">AVERAGE(OFFSET($BH$3,0,0,'Données projet'!$E$11+1,1))-AVERAGE(OFFSET($H$3,0,0,'Données projet'!$E$11+1,1))</f>
        <v>252.30925789500111</v>
      </c>
      <c r="BJ36" s="59">
        <f t="shared" si="38"/>
        <v>213.96033794804805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4.3652335303153844</v>
      </c>
      <c r="BQ36" s="21">
        <f>EXP(-LN(2)/25)*BQ35+(1-EXP(-LN(2)/25))/(LN(2)/25)*Calculateur!BL36*Calculateur!BN36*VLOOKUP('Données projet'!$B$11,Paramètres!$A$1:$I$89,3,0)*0.475*44/12</f>
        <v>8.4918652000120662</v>
      </c>
      <c r="BR36" s="21">
        <f>EXP(-LN(2)/2)*BR35+(1-EXP(-LN(2)/2))/(LN(2)/2)*BL36*BO36*VLOOKUP('Données projet'!$B$11,Paramètres!$A$1:$I$89,3,0)*0.475*44/12</f>
        <v>5.0832275228587518</v>
      </c>
      <c r="BS36" s="22">
        <f t="shared" si="9"/>
        <v>17.940326253186203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5.2</v>
      </c>
      <c r="N37" s="13">
        <f>IF('Données projet'!$A$36&gt;35,N36+M37-V36,IF(A37&lt;'Données projet'!$A$36,$K$205^A37,IF(A37='Données projet'!$A$36,'Données projet'!$B$36,N36+M37-V36)))</f>
        <v>74.8</v>
      </c>
      <c r="O37" s="13">
        <f>N37*VLOOKUP('Données projet'!$B$9,Paramètres!$A$1:$I$89,3,0)*VLOOKUP('Données projet'!$B$9,Paramètres!$A$1:$I$89,5,0)</f>
        <v>67.679039999999986</v>
      </c>
      <c r="P37" s="13">
        <f t="shared" si="33"/>
        <v>19.095955192788225</v>
      </c>
      <c r="Q37" s="20">
        <f t="shared" si="53"/>
        <v>151.13311662743948</v>
      </c>
      <c r="R37" s="59">
        <f t="shared" si="0"/>
        <v>444.46644996077282</v>
      </c>
      <c r="S37" s="59">
        <f ca="1">AVERAGE(OFFSET($R$3,0,0,'Données projet'!$E$9+1,1))-AVERAGE(OFFSET($H$3,0,0,'Données projet'!$E$9+1,1))</f>
        <v>138.8931001150624</v>
      </c>
      <c r="T37" s="59">
        <f t="shared" si="34"/>
        <v>48.964659354096625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</v>
      </c>
      <c r="AI37" s="13">
        <f>IF('Données projet'!$A$62&gt;35,AI36+AH37-AQ36,IF(A37&lt;'Données projet'!$A$62,$AF$205^A37,IF(A37='Données projet'!$A$62,'Données projet'!$B$62,AI36+AH37-AQ36)))</f>
        <v>175.7</v>
      </c>
      <c r="AJ37" s="13">
        <f>AI37*VLOOKUP('Données projet'!$B$10,Paramètres!$A$1:$I$89,3,0)*VLOOKUP('Données projet'!$B$10,Paramètres!$A$1:$I$89,5,0)</f>
        <v>82.227599999999995</v>
      </c>
      <c r="AK37" s="13">
        <f t="shared" si="35"/>
        <v>22.68097025884375</v>
      </c>
      <c r="AL37" s="20">
        <f t="shared" si="4"/>
        <v>182.71575986748618</v>
      </c>
      <c r="AM37" s="59">
        <f t="shared" si="5"/>
        <v>476.04909320081947</v>
      </c>
      <c r="AN37" s="59">
        <f ca="1">AVERAGE(OFFSET($AM$3,0,0,'Données projet'!$E$10+1,1))-AVERAGE(OFFSET($H$3,0,0,'Données projet'!$E$10+1,1))</f>
        <v>123.60520571614535</v>
      </c>
      <c r="AO37" s="59">
        <f t="shared" si="36"/>
        <v>119.00926870519527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0.80124842261581652</v>
      </c>
      <c r="AV37" s="21">
        <f>EXP(-LN(2)/25)*AV36+(1-EXP(-LN(2)/25))/(LN(2)/25)*Calculateur!AQ37*Calculateur!AS37*VLOOKUP('Données projet'!$B$10,Paramètres!$A$1:$I$89,3,0)*0.475*44/12</f>
        <v>4.2753183496583933</v>
      </c>
      <c r="AW37" s="21">
        <f>EXP(-LN(2)/2)*AW36+(1-EXP(-LN(2)/2))/(LN(2)/2)*AQ37*AT37*VLOOKUP('Données projet'!$B$10,Paramètres!$A$1:$I$89,3,0)*0.475*44/12</f>
        <v>1.5284276227706362</v>
      </c>
      <c r="AX37" s="21">
        <f t="shared" si="6"/>
        <v>6.6049943950448462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20.2</v>
      </c>
      <c r="BD37" s="12">
        <f>IF('Données projet'!$A$88&gt;35,BD36+BC37-BL36,IF(A37&lt;'Données projet'!$A$88,$BA$205^A37,IF(A37='Données projet'!$A$88,'Données projet'!$B$88,BD36+BC37-BL36)))</f>
        <v>274.79999999999995</v>
      </c>
      <c r="BE37" s="13">
        <f>BD37*VLOOKUP('Données projet'!$B$11,Paramètres!$A$1:$I$89,3,0)*VLOOKUP('Données projet'!$B$11,Paramètres!$A$1:$I$89,5,0)</f>
        <v>132.1788</v>
      </c>
      <c r="BF37" s="13">
        <f t="shared" si="37"/>
        <v>34.49932798943486</v>
      </c>
      <c r="BG37" s="20">
        <f t="shared" si="7"/>
        <v>290.29773958159905</v>
      </c>
      <c r="BH37" s="59">
        <f t="shared" si="8"/>
        <v>583.63107291493236</v>
      </c>
      <c r="BI37" s="59">
        <f ca="1">AVERAGE(OFFSET($BH$3,0,0,'Données projet'!$E$11+1,1))-AVERAGE(OFFSET($H$3,0,0,'Données projet'!$E$11+1,1))</f>
        <v>252.30925789500111</v>
      </c>
      <c r="BJ37" s="59">
        <f t="shared" si="38"/>
        <v>213.96033794804805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4.2796339633154501</v>
      </c>
      <c r="BQ37" s="21">
        <f>EXP(-LN(2)/25)*BQ36+(1-EXP(-LN(2)/25))/(LN(2)/25)*Calculateur!BL37*Calculateur!BN37*VLOOKUP('Données projet'!$B$11,Paramètres!$A$1:$I$89,3,0)*0.475*44/12</f>
        <v>8.2596546995499533</v>
      </c>
      <c r="BR37" s="21">
        <f>EXP(-LN(2)/2)*BR36+(1-EXP(-LN(2)/2))/(LN(2)/2)*BL37*BO37*VLOOKUP('Données projet'!$B$11,Paramètres!$A$1:$I$89,3,0)*0.475*44/12</f>
        <v>3.5943846517275198</v>
      </c>
      <c r="BS37" s="22">
        <f t="shared" si="9"/>
        <v>16.133673314592922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5.2</v>
      </c>
      <c r="N38" s="13">
        <f>IF('Données projet'!$A$36&gt;35,N37+M38-V37,IF(A38&lt;'Données projet'!$A$36,$K$205^A38,IF(A38='Données projet'!$A$36,'Données projet'!$B$36,N37+M38-V37)))</f>
        <v>80</v>
      </c>
      <c r="O38" s="13">
        <f>N38*VLOOKUP('Données projet'!$B$9,Paramètres!$A$1:$I$89,3,0)*VLOOKUP('Données projet'!$B$9,Paramètres!$A$1:$I$89,5,0)</f>
        <v>72.384</v>
      </c>
      <c r="P38" s="13">
        <f t="shared" si="33"/>
        <v>20.264329923804397</v>
      </c>
      <c r="Q38" s="20">
        <f t="shared" si="53"/>
        <v>161.362507950626</v>
      </c>
      <c r="R38" s="59">
        <f t="shared" si="0"/>
        <v>454.69584128395934</v>
      </c>
      <c r="S38" s="59">
        <f ca="1">AVERAGE(OFFSET($R$3,0,0,'Données projet'!$E$9+1,1))-AVERAGE(OFFSET($H$3,0,0,'Données projet'!$E$9+1,1))</f>
        <v>138.8931001150624</v>
      </c>
      <c r="T38" s="59">
        <f t="shared" si="34"/>
        <v>48.964659354096625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</v>
      </c>
      <c r="AI38" s="13">
        <f>IF('Données projet'!$A$62&gt;35,AI37+AH38-AQ37,IF(A38&lt;'Données projet'!$A$62,$AF$205^A38,IF(A38='Données projet'!$A$62,'Données projet'!$B$62,AI37+AH38-AQ37)))</f>
        <v>182.7</v>
      </c>
      <c r="AJ38" s="13">
        <f>AI38*VLOOKUP('Données projet'!$B$10,Paramètres!$A$1:$I$89,3,0)*VLOOKUP('Données projet'!$B$10,Paramètres!$A$1:$I$89,5,0)</f>
        <v>85.503599999999992</v>
      </c>
      <c r="AK38" s="13">
        <f t="shared" si="35"/>
        <v>23.477588217192526</v>
      </c>
      <c r="AL38" s="20">
        <f t="shared" si="4"/>
        <v>189.8089028116103</v>
      </c>
      <c r="AM38" s="59">
        <f t="shared" si="5"/>
        <v>483.14223614494358</v>
      </c>
      <c r="AN38" s="59">
        <f ca="1">AVERAGE(OFFSET($AM$3,0,0,'Données projet'!$E$10+1,1))-AVERAGE(OFFSET($H$3,0,0,'Données projet'!$E$10+1,1))</f>
        <v>123.60520571614535</v>
      </c>
      <c r="AO38" s="59">
        <f t="shared" si="36"/>
        <v>119.00926870519527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0.78553642976160176</v>
      </c>
      <c r="AV38" s="21">
        <f>EXP(-LN(2)/25)*AV37+(1-EXP(-LN(2)/25))/(LN(2)/25)*Calculateur!AQ38*Calculateur!AS38*VLOOKUP('Données projet'!$B$10,Paramètres!$A$1:$I$89,3,0)*0.475*44/12</f>
        <v>4.158409544557764</v>
      </c>
      <c r="AW38" s="21">
        <f>EXP(-LN(2)/2)*AW37+(1-EXP(-LN(2)/2))/(LN(2)/2)*AQ38*AT38*VLOOKUP('Données projet'!$B$10,Paramètres!$A$1:$I$89,3,0)*0.475*44/12</f>
        <v>1.0807615366139514</v>
      </c>
      <c r="AX38" s="21">
        <f t="shared" si="6"/>
        <v>6.0247075109333172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20.2</v>
      </c>
      <c r="BD38" s="12">
        <f>IF('Données projet'!$A$88&gt;35,BD37+BC38-BL37,IF(A38&lt;'Données projet'!$A$88,$BA$205^A38,IF(A38='Données projet'!$A$88,'Données projet'!$B$88,BD37+BC38-BL37)))</f>
        <v>294.99999999999994</v>
      </c>
      <c r="BE38" s="13">
        <f>BD38*VLOOKUP('Données projet'!$B$11,Paramètres!$A$1:$I$89,3,0)*VLOOKUP('Données projet'!$B$11,Paramètres!$A$1:$I$89,5,0)</f>
        <v>141.89499999999998</v>
      </c>
      <c r="BF38" s="13">
        <f t="shared" si="37"/>
        <v>36.730783106167067</v>
      </c>
      <c r="BG38" s="20">
        <f t="shared" si="7"/>
        <v>311.10657224324092</v>
      </c>
      <c r="BH38" s="59">
        <f t="shared" si="8"/>
        <v>604.43990557657423</v>
      </c>
      <c r="BI38" s="59">
        <f ca="1">AVERAGE(OFFSET($BH$3,0,0,'Données projet'!$E$11+1,1))-AVERAGE(OFFSET($H$3,0,0,'Données projet'!$E$11+1,1))</f>
        <v>252.30925789500111</v>
      </c>
      <c r="BJ38" s="59">
        <f t="shared" si="38"/>
        <v>213.96033794804805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4.1957129516138041</v>
      </c>
      <c r="BQ38" s="21">
        <f>EXP(-LN(2)/25)*BQ37+(1-EXP(-LN(2)/25))/(LN(2)/25)*Calculateur!BL38*Calculateur!BN38*VLOOKUP('Données projet'!$B$11,Paramètres!$A$1:$I$89,3,0)*0.475*44/12</f>
        <v>8.0337940074343965</v>
      </c>
      <c r="BR38" s="21">
        <f>EXP(-LN(2)/2)*BR37+(1-EXP(-LN(2)/2))/(LN(2)/2)*BL38*BO38*VLOOKUP('Données projet'!$B$11,Paramètres!$A$1:$I$89,3,0)*0.475*44/12</f>
        <v>2.5416137614293763</v>
      </c>
      <c r="BS38" s="22">
        <f t="shared" si="9"/>
        <v>14.771120720477578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5.2</v>
      </c>
      <c r="N39" s="13">
        <f>IF('Données projet'!$A$36&gt;35,N38+M39-V38,IF(A39&lt;'Données projet'!$A$36,$K$205^A39,IF(A39='Données projet'!$A$36,'Données projet'!$B$36,N38+M39-V38)))</f>
        <v>85.2</v>
      </c>
      <c r="O39" s="13">
        <f>N39*VLOOKUP('Données projet'!$B$9,Paramètres!$A$1:$I$89,3,0)*VLOOKUP('Données projet'!$B$9,Paramètres!$A$1:$I$89,5,0)</f>
        <v>77.08896</v>
      </c>
      <c r="P39" s="13">
        <f t="shared" si="33"/>
        <v>21.423891539868706</v>
      </c>
      <c r="Q39" s="20">
        <f t="shared" si="53"/>
        <v>171.57654976527132</v>
      </c>
      <c r="R39" s="59">
        <f t="shared" si="0"/>
        <v>464.90988309860461</v>
      </c>
      <c r="S39" s="59">
        <f ca="1">AVERAGE(OFFSET($R$3,0,0,'Données projet'!$E$9+1,1))-AVERAGE(OFFSET($H$3,0,0,'Données projet'!$E$9+1,1))</f>
        <v>138.8931001150624</v>
      </c>
      <c r="T39" s="59">
        <f t="shared" si="34"/>
        <v>48.964659354096625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</v>
      </c>
      <c r="AI39" s="13">
        <f>IF('Données projet'!$A$62&gt;35,AI38+AH39-AQ38,IF(A39&lt;'Données projet'!$A$62,$AF$205^A39,IF(A39='Données projet'!$A$62,'Données projet'!$B$62,AI38+AH39-AQ38)))</f>
        <v>189.7</v>
      </c>
      <c r="AJ39" s="13">
        <f>AI39*VLOOKUP('Données projet'!$B$10,Paramètres!$A$1:$I$89,3,0)*VLOOKUP('Données projet'!$B$10,Paramètres!$A$1:$I$89,5,0)</f>
        <v>88.779599999999988</v>
      </c>
      <c r="AK39" s="13">
        <f t="shared" si="35"/>
        <v>24.270660436720163</v>
      </c>
      <c r="AL39" s="20">
        <f t="shared" si="4"/>
        <v>196.89587026062091</v>
      </c>
      <c r="AM39" s="59">
        <f t="shared" si="5"/>
        <v>490.22920359395425</v>
      </c>
      <c r="AN39" s="59">
        <f ca="1">AVERAGE(OFFSET($AM$3,0,0,'Données projet'!$E$10+1,1))-AVERAGE(OFFSET($H$3,0,0,'Données projet'!$E$10+1,1))</f>
        <v>123.60520571614535</v>
      </c>
      <c r="AO39" s="59">
        <f t="shared" si="36"/>
        <v>119.00926870519527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0.77013253950388871</v>
      </c>
      <c r="AV39" s="21">
        <f>EXP(-LN(2)/25)*AV38+(1-EXP(-LN(2)/25))/(LN(2)/25)*Calculateur!AQ39*Calculateur!AS39*VLOOKUP('Données projet'!$B$10,Paramètres!$A$1:$I$89,3,0)*0.475*44/12</f>
        <v>4.0446976168805779</v>
      </c>
      <c r="AW39" s="21">
        <f>EXP(-LN(2)/2)*AW38+(1-EXP(-LN(2)/2))/(LN(2)/2)*AQ39*AT39*VLOOKUP('Données projet'!$B$10,Paramètres!$A$1:$I$89,3,0)*0.475*44/12</f>
        <v>0.76421381138531819</v>
      </c>
      <c r="AX39" s="21">
        <f t="shared" si="6"/>
        <v>5.5790439677697847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20.2</v>
      </c>
      <c r="BD39" s="12">
        <f>IF('Données projet'!$A$88&gt;35,BD38+BC39-BL38,IF(A39&lt;'Données projet'!$A$88,$BA$205^A39,IF(A39='Données projet'!$A$88,'Données projet'!$B$88,BD38+BC39-BL38)))</f>
        <v>315.19999999999993</v>
      </c>
      <c r="BE39" s="13">
        <f>BD39*VLOOKUP('Données projet'!$B$11,Paramètres!$A$1:$I$89,3,0)*VLOOKUP('Données projet'!$B$11,Paramètres!$A$1:$I$89,5,0)</f>
        <v>151.61119999999997</v>
      </c>
      <c r="BF39" s="13">
        <f t="shared" si="37"/>
        <v>38.944508614536844</v>
      </c>
      <c r="BG39" s="20">
        <f t="shared" si="7"/>
        <v>331.88452583698489</v>
      </c>
      <c r="BH39" s="59">
        <f t="shared" si="8"/>
        <v>625.21785917031821</v>
      </c>
      <c r="BI39" s="59">
        <f ca="1">AVERAGE(OFFSET($BH$3,0,0,'Données projet'!$E$11+1,1))-AVERAGE(OFFSET($H$3,0,0,'Données projet'!$E$11+1,1))</f>
        <v>252.30925789500111</v>
      </c>
      <c r="BJ39" s="59">
        <f t="shared" si="38"/>
        <v>213.96033794804805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4.1134375797648648</v>
      </c>
      <c r="BQ39" s="21">
        <f>EXP(-LN(2)/25)*BQ38+(1-EXP(-LN(2)/25))/(LN(2)/25)*Calculateur!BL39*Calculateur!BN39*VLOOKUP('Données projet'!$B$11,Paramètres!$A$1:$I$89,3,0)*0.475*44/12</f>
        <v>7.8141094878222379</v>
      </c>
      <c r="BR39" s="21">
        <f>EXP(-LN(2)/2)*BR38+(1-EXP(-LN(2)/2))/(LN(2)/2)*BL39*BO39*VLOOKUP('Données projet'!$B$11,Paramètres!$A$1:$I$89,3,0)*0.475*44/12</f>
        <v>1.7971923258637601</v>
      </c>
      <c r="BS39" s="22">
        <f t="shared" si="9"/>
        <v>13.724739393450863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5.2</v>
      </c>
      <c r="N40" s="13">
        <f>IF('Données projet'!$A$36&gt;35,N39+M40-V39,IF(A40&lt;'Données projet'!$A$36,$K$205^A40,IF(A40='Données projet'!$A$36,'Données projet'!$B$36,N39+M40-V39)))</f>
        <v>90.4</v>
      </c>
      <c r="O40" s="13">
        <f>N40*VLOOKUP('Données projet'!$B$9,Paramètres!$A$1:$I$89,3,0)*VLOOKUP('Données projet'!$B$9,Paramètres!$A$1:$I$89,5,0)</f>
        <v>81.79392</v>
      </c>
      <c r="P40" s="13">
        <f t="shared" si="33"/>
        <v>22.575239179244807</v>
      </c>
      <c r="Q40" s="20">
        <f t="shared" si="53"/>
        <v>181.77628557051801</v>
      </c>
      <c r="R40" s="59">
        <f t="shared" si="0"/>
        <v>475.10961890385136</v>
      </c>
      <c r="S40" s="59">
        <f ca="1">AVERAGE(OFFSET($R$3,0,0,'Données projet'!$E$9+1,1))-AVERAGE(OFFSET($H$3,0,0,'Données projet'!$E$9+1,1))</f>
        <v>138.8931001150624</v>
      </c>
      <c r="T40" s="59">
        <f t="shared" si="34"/>
        <v>48.964659354096625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</v>
      </c>
      <c r="AI40" s="13">
        <f>IF('Données projet'!$A$62&gt;35,AI39+AH40-AQ39,IF(A40&lt;'Données projet'!$A$62,$AF$205^A40,IF(A40='Données projet'!$A$62,'Données projet'!$B$62,AI39+AH40-AQ39)))</f>
        <v>196.7</v>
      </c>
      <c r="AJ40" s="13">
        <f>AI40*VLOOKUP('Données projet'!$B$10,Paramètres!$A$1:$I$89,3,0)*VLOOKUP('Données projet'!$B$10,Paramètres!$A$1:$I$89,5,0)</f>
        <v>92.055599999999998</v>
      </c>
      <c r="AK40" s="13">
        <f t="shared" si="35"/>
        <v>25.060332740251528</v>
      </c>
      <c r="AL40" s="20">
        <f t="shared" si="4"/>
        <v>203.97691618927138</v>
      </c>
      <c r="AM40" s="59">
        <f t="shared" si="5"/>
        <v>497.31024952260469</v>
      </c>
      <c r="AN40" s="59">
        <f ca="1">AVERAGE(OFFSET($AM$3,0,0,'Données projet'!$E$10+1,1))-AVERAGE(OFFSET($H$3,0,0,'Données projet'!$E$10+1,1))</f>
        <v>123.60520571614535</v>
      </c>
      <c r="AO40" s="59">
        <f t="shared" si="36"/>
        <v>119.00926870519527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0.75503071013868417</v>
      </c>
      <c r="AV40" s="21">
        <f>EXP(-LN(2)/25)*AV39+(1-EXP(-LN(2)/25))/(LN(2)/25)*Calculateur!AQ40*Calculateur!AS40*VLOOKUP('Données projet'!$B$10,Paramètres!$A$1:$I$89,3,0)*0.475*44/12</f>
        <v>3.934095147845575</v>
      </c>
      <c r="AW40" s="21">
        <f>EXP(-LN(2)/2)*AW39+(1-EXP(-LN(2)/2))/(LN(2)/2)*AQ40*AT40*VLOOKUP('Données projet'!$B$10,Paramètres!$A$1:$I$89,3,0)*0.475*44/12</f>
        <v>0.54038076830697568</v>
      </c>
      <c r="AX40" s="21">
        <f t="shared" si="6"/>
        <v>5.2295066262912346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20.2</v>
      </c>
      <c r="BD40" s="12">
        <f>IF('Données projet'!$A$88&gt;35,BD39+BC40-BL39,IF(A40&lt;'Données projet'!$A$88,$BA$205^A40,IF(A40='Données projet'!$A$88,'Données projet'!$B$88,BD39+BC40-BL39)))</f>
        <v>335.39999999999992</v>
      </c>
      <c r="BE40" s="13">
        <f>BD40*VLOOKUP('Données projet'!$B$11,Paramètres!$A$1:$I$89,3,0)*VLOOKUP('Données projet'!$B$11,Paramètres!$A$1:$I$89,5,0)</f>
        <v>161.32739999999995</v>
      </c>
      <c r="BF40" s="13">
        <f t="shared" si="37"/>
        <v>41.141770064042859</v>
      </c>
      <c r="BG40" s="20">
        <f t="shared" si="7"/>
        <v>352.63380452820792</v>
      </c>
      <c r="BH40" s="59">
        <f t="shared" si="8"/>
        <v>645.96713786154123</v>
      </c>
      <c r="BI40" s="59">
        <f ca="1">AVERAGE(OFFSET($BH$3,0,0,'Données projet'!$E$11+1,1))-AVERAGE(OFFSET($H$3,0,0,'Données projet'!$E$11+1,1))</f>
        <v>252.30925789500111</v>
      </c>
      <c r="BJ40" s="59">
        <f t="shared" si="38"/>
        <v>213.96033794804805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4.0327755777748617</v>
      </c>
      <c r="BQ40" s="21">
        <f>EXP(-LN(2)/25)*BQ39+(1-EXP(-LN(2)/25))/(LN(2)/25)*Calculateur!BL40*Calculateur!BN40*VLOOKUP('Données projet'!$B$11,Paramètres!$A$1:$I$89,3,0)*0.475*44/12</f>
        <v>7.6004322529515802</v>
      </c>
      <c r="BR40" s="21">
        <f>EXP(-LN(2)/2)*BR39+(1-EXP(-LN(2)/2))/(LN(2)/2)*BL40*BO40*VLOOKUP('Données projet'!$B$11,Paramètres!$A$1:$I$89,3,0)*0.475*44/12</f>
        <v>1.2708068807146884</v>
      </c>
      <c r="BS40" s="22">
        <f t="shared" si="9"/>
        <v>12.90401471144113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5.2</v>
      </c>
      <c r="N41" s="13">
        <f>IF('Données projet'!$A$36&gt;35,N40+M41-V40,IF(A41&lt;'Données projet'!$A$36,$K$205^A41,IF(A41='Données projet'!$A$36,'Données projet'!$B$36,N40+M41-V40)))</f>
        <v>95.600000000000009</v>
      </c>
      <c r="O41" s="13">
        <f>N41*VLOOKUP('Données projet'!$B$9,Paramètres!$A$1:$I$89,3,0)*VLOOKUP('Données projet'!$B$9,Paramètres!$A$1:$I$89,5,0)</f>
        <v>86.49888</v>
      </c>
      <c r="P41" s="13">
        <f t="shared" si="33"/>
        <v>23.718899159460385</v>
      </c>
      <c r="Q41" s="20">
        <f t="shared" si="53"/>
        <v>191.96263203606017</v>
      </c>
      <c r="R41" s="59">
        <f t="shared" si="0"/>
        <v>485.29596536939346</v>
      </c>
      <c r="S41" s="59">
        <f ca="1">AVERAGE(OFFSET($R$3,0,0,'Données projet'!$E$9+1,1))-AVERAGE(OFFSET($H$3,0,0,'Données projet'!$E$9+1,1))</f>
        <v>138.8931001150624</v>
      </c>
      <c r="T41" s="59">
        <f t="shared" si="34"/>
        <v>48.964659354096625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</v>
      </c>
      <c r="AI41" s="13">
        <f>IF('Données projet'!$A$62&gt;35,AI40+AH41-AQ40,IF(A41&lt;'Données projet'!$A$62,$AF$205^A41,IF(A41='Données projet'!$A$62,'Données projet'!$B$62,AI40+AH41-AQ40)))</f>
        <v>203.7</v>
      </c>
      <c r="AJ41" s="13">
        <f>AI41*VLOOKUP('Données projet'!$B$10,Paramètres!$A$1:$I$89,3,0)*VLOOKUP('Données projet'!$B$10,Paramètres!$A$1:$I$89,5,0)</f>
        <v>95.331599999999995</v>
      </c>
      <c r="AK41" s="13">
        <f t="shared" si="35"/>
        <v>25.84673998337389</v>
      </c>
      <c r="AL41" s="20">
        <f t="shared" si="4"/>
        <v>211.05227547104286</v>
      </c>
      <c r="AM41" s="59">
        <f t="shared" si="5"/>
        <v>504.38560880437615</v>
      </c>
      <c r="AN41" s="59">
        <f ca="1">AVERAGE(OFFSET($AM$3,0,0,'Données projet'!$E$10+1,1))-AVERAGE(OFFSET($H$3,0,0,'Données projet'!$E$10+1,1))</f>
        <v>123.60520571614535</v>
      </c>
      <c r="AO41" s="59">
        <f t="shared" si="36"/>
        <v>119.00926870519527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0.74022501843612487</v>
      </c>
      <c r="AV41" s="21">
        <f>EXP(-LN(2)/25)*AV40+(1-EXP(-LN(2)/25))/(LN(2)/25)*Calculateur!AQ41*Calculateur!AS41*VLOOKUP('Données projet'!$B$10,Paramètres!$A$1:$I$89,3,0)*0.475*44/12</f>
        <v>3.8265171091426655</v>
      </c>
      <c r="AW41" s="21">
        <f>EXP(-LN(2)/2)*AW40+(1-EXP(-LN(2)/2))/(LN(2)/2)*AQ41*AT41*VLOOKUP('Données projet'!$B$10,Paramètres!$A$1:$I$89,3,0)*0.475*44/12</f>
        <v>0.38210690569265909</v>
      </c>
      <c r="AX41" s="21">
        <f t="shared" si="6"/>
        <v>4.9488490332714496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20.2</v>
      </c>
      <c r="BD41" s="12">
        <f>IF('Données projet'!$A$88&gt;35,BD40+BC41-BL40,IF(A41&lt;'Données projet'!$A$88,$BA$205^A41,IF(A41='Données projet'!$A$88,'Données projet'!$B$88,BD40+BC41-BL40)))</f>
        <v>355.59999999999991</v>
      </c>
      <c r="BE41" s="13">
        <f>BD41*VLOOKUP('Données projet'!$B$11,Paramètres!$A$1:$I$89,3,0)*VLOOKUP('Données projet'!$B$11,Paramètres!$A$1:$I$89,5,0)</f>
        <v>171.04359999999997</v>
      </c>
      <c r="BF41" s="13">
        <f t="shared" si="37"/>
        <v>43.323671951889153</v>
      </c>
      <c r="BG41" s="20">
        <f t="shared" si="7"/>
        <v>373.35633198287354</v>
      </c>
      <c r="BH41" s="59">
        <f t="shared" si="8"/>
        <v>666.68966531620686</v>
      </c>
      <c r="BI41" s="59">
        <f ca="1">AVERAGE(OFFSET($BH$3,0,0,'Données projet'!$E$11+1,1))-AVERAGE(OFFSET($H$3,0,0,'Données projet'!$E$11+1,1))</f>
        <v>252.30925789500111</v>
      </c>
      <c r="BJ41" s="59">
        <f t="shared" si="38"/>
        <v>213.96033794804805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3.9536953084449191</v>
      </c>
      <c r="BQ41" s="21">
        <f>EXP(-LN(2)/25)*BQ40+(1-EXP(-LN(2)/25))/(LN(2)/25)*Calculateur!BL41*Calculateur!BN41*VLOOKUP('Données projet'!$B$11,Paramètres!$A$1:$I$89,3,0)*0.475*44/12</f>
        <v>7.3925980333052577</v>
      </c>
      <c r="BR41" s="21">
        <f>EXP(-LN(2)/2)*BR40+(1-EXP(-LN(2)/2))/(LN(2)/2)*BL41*BO41*VLOOKUP('Données projet'!$B$11,Paramètres!$A$1:$I$89,3,0)*0.475*44/12</f>
        <v>0.89859616293188027</v>
      </c>
      <c r="BS41" s="22">
        <f t="shared" si="9"/>
        <v>12.244889504682057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5.2</v>
      </c>
      <c r="N42" s="13">
        <f>IF('Données projet'!$A$36&gt;35,N41+M42-V41,IF(A42&lt;'Données projet'!$A$36,$K$205^A42,IF(A42='Données projet'!$A$36,'Données projet'!$B$36,N41+M42-V41)))</f>
        <v>100.80000000000001</v>
      </c>
      <c r="O42" s="13">
        <f>N42*VLOOKUP('Données projet'!$B$9,Paramètres!$A$1:$I$89,3,0)*VLOOKUP('Données projet'!$B$9,Paramètres!$A$1:$I$89,5,0)</f>
        <v>91.203840000000014</v>
      </c>
      <c r="P42" s="13">
        <f t="shared" si="33"/>
        <v>24.855337308022524</v>
      </c>
      <c r="Q42" s="20">
        <f t="shared" si="53"/>
        <v>202.13640047813922</v>
      </c>
      <c r="R42" s="59">
        <f t="shared" si="0"/>
        <v>495.46973381147257</v>
      </c>
      <c r="S42" s="59">
        <f ca="1">AVERAGE(OFFSET($R$3,0,0,'Données projet'!$E$9+1,1))-AVERAGE(OFFSET($H$3,0,0,'Données projet'!$E$9+1,1))</f>
        <v>138.8931001150624</v>
      </c>
      <c r="T42" s="59">
        <f t="shared" si="34"/>
        <v>48.964659354096625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</v>
      </c>
      <c r="AI42" s="13">
        <f>IF('Données projet'!$A$62&gt;35,AI41+AH42-AQ41,IF(A42&lt;'Données projet'!$A$62,$AF$205^A42,IF(A42='Données projet'!$A$62,'Données projet'!$B$62,AI41+AH42-AQ41)))</f>
        <v>210.7</v>
      </c>
      <c r="AJ42" s="13">
        <f>AI42*VLOOKUP('Données projet'!$B$10,Paramètres!$A$1:$I$89,3,0)*VLOOKUP('Données projet'!$B$10,Paramètres!$A$1:$I$89,5,0)</f>
        <v>98.607599999999991</v>
      </c>
      <c r="AK42" s="13">
        <f t="shared" si="35"/>
        <v>26.630007227548578</v>
      </c>
      <c r="AL42" s="20">
        <f t="shared" si="4"/>
        <v>218.12216592131372</v>
      </c>
      <c r="AM42" s="59">
        <f t="shared" si="5"/>
        <v>511.45549925464707</v>
      </c>
      <c r="AN42" s="59">
        <f ca="1">AVERAGE(OFFSET($AM$3,0,0,'Données projet'!$E$10+1,1))-AVERAGE(OFFSET($H$3,0,0,'Données projet'!$E$10+1,1))</f>
        <v>123.60520571614535</v>
      </c>
      <c r="AO42" s="59">
        <f t="shared" si="36"/>
        <v>119.00926870519527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0.72570965731727255</v>
      </c>
      <c r="AV42" s="21">
        <f>EXP(-LN(2)/25)*AV41+(1-EXP(-LN(2)/25))/(LN(2)/25)*Calculateur!AQ42*Calculateur!AS42*VLOOKUP('Données projet'!$B$10,Paramètres!$A$1:$I$89,3,0)*0.475*44/12</f>
        <v>3.7218807975653703</v>
      </c>
      <c r="AW42" s="21">
        <f>EXP(-LN(2)/2)*AW41+(1-EXP(-LN(2)/2))/(LN(2)/2)*AQ42*AT42*VLOOKUP('Données projet'!$B$10,Paramètres!$A$1:$I$89,3,0)*0.475*44/12</f>
        <v>0.27019038415348784</v>
      </c>
      <c r="AX42" s="21">
        <f t="shared" si="6"/>
        <v>4.7177808390361307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20.2</v>
      </c>
      <c r="BD42" s="12">
        <f>IF('Données projet'!$A$88&gt;35,BD41+BC42-BL41,IF(A42&lt;'Données projet'!$A$88,$BA$205^A42,IF(A42='Données projet'!$A$88,'Données projet'!$B$88,BD41+BC42-BL41)))</f>
        <v>375.7999999999999</v>
      </c>
      <c r="BE42" s="13">
        <f>BD42*VLOOKUP('Données projet'!$B$11,Paramètres!$A$1:$I$89,3,0)*VLOOKUP('Données projet'!$B$11,Paramètres!$A$1:$I$89,5,0)</f>
        <v>180.75979999999996</v>
      </c>
      <c r="BF42" s="13">
        <f t="shared" si="37"/>
        <v>45.491186204967178</v>
      </c>
      <c r="BG42" s="20">
        <f t="shared" si="7"/>
        <v>394.05380097365111</v>
      </c>
      <c r="BH42" s="59">
        <f t="shared" si="8"/>
        <v>687.38713430698442</v>
      </c>
      <c r="BI42" s="59">
        <f ca="1">AVERAGE(OFFSET($BH$3,0,0,'Données projet'!$E$11+1,1))-AVERAGE(OFFSET($H$3,0,0,'Données projet'!$E$11+1,1))</f>
        <v>252.30925789500111</v>
      </c>
      <c r="BJ42" s="59">
        <f t="shared" si="38"/>
        <v>213.96033794804805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3.8761657549623352</v>
      </c>
      <c r="BQ42" s="21">
        <f>EXP(-LN(2)/25)*BQ41+(1-EXP(-LN(2)/25))/(LN(2)/25)*Calculateur!BL42*Calculateur!BN42*VLOOKUP('Données projet'!$B$11,Paramètres!$A$1:$I$89,3,0)*0.475*44/12</f>
        <v>7.190447051324691</v>
      </c>
      <c r="BR42" s="21">
        <f>EXP(-LN(2)/2)*BR41+(1-EXP(-LN(2)/2))/(LN(2)/2)*BL42*BO42*VLOOKUP('Données projet'!$B$11,Paramètres!$A$1:$I$89,3,0)*0.475*44/12</f>
        <v>0.63540344035734431</v>
      </c>
      <c r="BS42" s="22">
        <f t="shared" si="9"/>
        <v>11.702016246644369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106</v>
      </c>
      <c r="L43" s="12">
        <f>VLOOKUP(A43,'Données projet'!$A$35:$I$55,9,0)</f>
        <v>5.2</v>
      </c>
      <c r="M43" s="12">
        <f t="array" ref="M43">INDEX(L:L,MIN(IF(ISNUMBER(L43:L239),ROW(L43:L239),"")))</f>
        <v>5.2</v>
      </c>
      <c r="N43" s="13">
        <f>IF('Données projet'!$A$36&gt;35,N42+M43-V42,IF(A43&lt;'Données projet'!$A$36,$K$205^A43,IF(A43='Données projet'!$A$36,'Données projet'!$B$36,N42+M43-V42)))</f>
        <v>106.00000000000001</v>
      </c>
      <c r="O43" s="13">
        <f>N43*VLOOKUP('Données projet'!$B$9,Paramètres!$A$1:$I$89,3,0)*VLOOKUP('Données projet'!$B$9,Paramètres!$A$1:$I$89,5,0)</f>
        <v>95.908800000000014</v>
      </c>
      <c r="P43" s="13">
        <f t="shared" si="33"/>
        <v>25.984968676228355</v>
      </c>
      <c r="Q43" s="20">
        <f t="shared" si="53"/>
        <v>212.29831377776441</v>
      </c>
      <c r="R43" s="59">
        <f t="shared" si="0"/>
        <v>505.63164711109772</v>
      </c>
      <c r="S43" s="59">
        <f ca="1">AVERAGE(OFFSET($R$3,0,0,'Données projet'!$E$9+1,1))-AVERAGE(OFFSET($H$3,0,0,'Données projet'!$E$9+1,1))</f>
        <v>138.8931001150624</v>
      </c>
      <c r="T43" s="59">
        <f t="shared" si="34"/>
        <v>48.964659354096625</v>
      </c>
      <c r="U43" s="15">
        <f>IF(ISNA(VLOOKUP(A43,'Données projet'!$A$35:$I$55,3,0)),0,VLOOKUP(A43,'Données projet'!$A$35:$I$55,3,0))</f>
        <v>1</v>
      </c>
      <c r="V43" s="15">
        <f>IF(ISNA(VLOOKUP(A43,'Données projet'!$A$35:$I$55,4,0)),0,VLOOKUP(A43,'Données projet'!$A$35:$I$55,4,0))</f>
        <v>27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217.7</v>
      </c>
      <c r="AG43" s="12">
        <f>VLOOKUP(A43,'Données projet'!$A$61:$I$81,9,0)</f>
        <v>7</v>
      </c>
      <c r="AH43" s="12">
        <f t="array" ref="AH43">INDEX(AG:AG,MIN(IF(ISNUMBER(AG43:AG239),ROW(AG43:AG239),"")))</f>
        <v>7</v>
      </c>
      <c r="AI43" s="13">
        <f>IF('Données projet'!$A$62&gt;35,AI42+AH43-AQ42,IF(A43&lt;'Données projet'!$A$62,$AF$205^A43,IF(A43='Données projet'!$A$62,'Données projet'!$B$62,AI42+AH43-AQ42)))</f>
        <v>217.7</v>
      </c>
      <c r="AJ43" s="13">
        <f>AI43*VLOOKUP('Données projet'!$B$10,Paramètres!$A$1:$I$89,3,0)*VLOOKUP('Données projet'!$B$10,Paramètres!$A$1:$I$89,5,0)</f>
        <v>101.8836</v>
      </c>
      <c r="AK43" s="13">
        <f t="shared" si="35"/>
        <v>27.410250752947974</v>
      </c>
      <c r="AL43" s="20">
        <f t="shared" si="4"/>
        <v>225.18679006138439</v>
      </c>
      <c r="AM43" s="59">
        <f t="shared" si="5"/>
        <v>518.52012339471776</v>
      </c>
      <c r="AN43" s="59">
        <f ca="1">AVERAGE(OFFSET($AM$3,0,0,'Données projet'!$E$10+1,1))-AVERAGE(OFFSET($H$3,0,0,'Données projet'!$E$10+1,1))</f>
        <v>123.60520571614535</v>
      </c>
      <c r="AO43" s="59">
        <f t="shared" si="36"/>
        <v>119.00926870519527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46.3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0.71147893357646486</v>
      </c>
      <c r="AV43" s="21">
        <f>EXP(-LN(2)/25)*AV42+(1-EXP(-LN(2)/25))/(LN(2)/25)*Calculateur!AQ43*Calculateur!AS43*VLOOKUP('Données projet'!$B$10,Paramètres!$A$1:$I$89,3,0)*0.475*44/12</f>
        <v>3.6201057714307407</v>
      </c>
      <c r="AW43" s="21">
        <f>EXP(-LN(2)/2)*AW42+(1-EXP(-LN(2)/2))/(LN(2)/2)*AQ43*AT43*VLOOKUP('Données projet'!$B$10,Paramètres!$A$1:$I$89,3,0)*0.475*44/12</f>
        <v>0.19105345284632955</v>
      </c>
      <c r="AX43" s="21">
        <f t="shared" si="6"/>
        <v>4.5226381578535353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396</v>
      </c>
      <c r="BB43" s="12">
        <f>VLOOKUP(A43,'Données projet'!$A$87:$I$107,9,0)</f>
        <v>20.2</v>
      </c>
      <c r="BC43" s="12">
        <f t="array" ref="BC43">INDEX(BB:BB,MIN(IF(ISNUMBER(BB43:BB239),ROW(BB43:BB239),"")))</f>
        <v>20.2</v>
      </c>
      <c r="BD43" s="12">
        <f>IF('Données projet'!$A$88&gt;35,BD42+BC43-BL42,IF(A43&lt;'Données projet'!$A$88,$BA$205^A43,IF(A43='Données projet'!$A$88,'Données projet'!$B$88,BD42+BC43-BL42)))</f>
        <v>395.99999999999989</v>
      </c>
      <c r="BE43" s="13">
        <f>BD43*VLOOKUP('Données projet'!$B$11,Paramètres!$A$1:$I$89,3,0)*VLOOKUP('Données projet'!$B$11,Paramètres!$A$1:$I$89,5,0)</f>
        <v>190.47599999999994</v>
      </c>
      <c r="BF43" s="13">
        <f t="shared" si="37"/>
        <v>47.645174362968312</v>
      </c>
      <c r="BG43" s="20">
        <f t="shared" si="7"/>
        <v>414.72771201550307</v>
      </c>
      <c r="BH43" s="59">
        <f t="shared" si="8"/>
        <v>708.06104534883639</v>
      </c>
      <c r="BI43" s="59">
        <f ca="1">AVERAGE(OFFSET($BH$3,0,0,'Données projet'!$E$11+1,1))-AVERAGE(OFFSET($H$3,0,0,'Données projet'!$E$11+1,1))</f>
        <v>252.30925789500111</v>
      </c>
      <c r="BJ43" s="59">
        <f t="shared" si="38"/>
        <v>213.96033794804805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98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3.8001565087351863</v>
      </c>
      <c r="BQ43" s="21">
        <f>EXP(-LN(2)/25)*BQ42+(1-EXP(-LN(2)/25))/(LN(2)/25)*Calculateur!BL43*Calculateur!BN43*VLOOKUP('Données projet'!$B$11,Paramètres!$A$1:$I$89,3,0)*0.475*44/12</f>
        <v>6.9938238985770411</v>
      </c>
      <c r="BR43" s="21">
        <f>EXP(-LN(2)/2)*BR42+(1-EXP(-LN(2)/2))/(LN(2)/2)*BL43*BO43*VLOOKUP('Données projet'!$B$11,Paramètres!$A$1:$I$89,3,0)*0.475*44/12</f>
        <v>0.44929808146594019</v>
      </c>
      <c r="BS43" s="22">
        <f t="shared" si="9"/>
        <v>11.243278488778168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5.6</v>
      </c>
      <c r="N44" s="13">
        <f>IF('Données projet'!$A$36&gt;35,N43+M44-V43,IF(A44&lt;'Données projet'!$A$36,$K$205^A44,IF(A44='Données projet'!$A$36,'Données projet'!$B$36,N43+M44-V43)))</f>
        <v>84.600000000000009</v>
      </c>
      <c r="O44" s="13">
        <f>N44*VLOOKUP('Données projet'!$B$9,Paramètres!$A$1:$I$89,3,0)*VLOOKUP('Données projet'!$B$9,Paramètres!$A$1:$I$89,5,0)</f>
        <v>76.546080000000003</v>
      </c>
      <c r="P44" s="13">
        <f t="shared" si="33"/>
        <v>21.290525837973497</v>
      </c>
      <c r="Q44" s="20">
        <f t="shared" si="53"/>
        <v>170.39875516780384</v>
      </c>
      <c r="R44" s="59">
        <f t="shared" si="0"/>
        <v>463.73208850113713</v>
      </c>
      <c r="S44" s="59">
        <f ca="1">AVERAGE(OFFSET($R$3,0,0,'Données projet'!$E$9+1,1))-AVERAGE(OFFSET($H$3,0,0,'Données projet'!$E$9+1,1))</f>
        <v>138.8931001150624</v>
      </c>
      <c r="T44" s="59">
        <f t="shared" si="34"/>
        <v>48.964659354096625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7.0000000000000027</v>
      </c>
      <c r="AI44" s="13">
        <f>IF('Données projet'!$A$62&gt;35,AI43+AH44-AQ43,IF(A44&lt;'Données projet'!$A$62,$AF$205^A44,IF(A44='Données projet'!$A$62,'Données projet'!$B$62,AI43+AH44-AQ43)))</f>
        <v>178.39999999999998</v>
      </c>
      <c r="AJ44" s="13">
        <f>AI44*VLOOKUP('Données projet'!$B$10,Paramètres!$A$1:$I$89,3,0)*VLOOKUP('Données projet'!$B$10,Paramètres!$A$1:$I$89,5,0)</f>
        <v>83.491199999999992</v>
      </c>
      <c r="AK44" s="13">
        <f t="shared" si="35"/>
        <v>22.988667039592098</v>
      </c>
      <c r="AL44" s="20">
        <f t="shared" si="4"/>
        <v>185.45243509395621</v>
      </c>
      <c r="AM44" s="59">
        <f t="shared" si="5"/>
        <v>478.78576842728955</v>
      </c>
      <c r="AN44" s="59">
        <f ca="1">AVERAGE(OFFSET($AM$3,0,0,'Données projet'!$E$10+1,1))-AVERAGE(OFFSET($H$3,0,0,'Données projet'!$E$10+1,1))</f>
        <v>123.60520571614535</v>
      </c>
      <c r="AO44" s="59">
        <f t="shared" si="36"/>
        <v>119.00926870519527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0.6975272656483299</v>
      </c>
      <c r="AV44" s="21">
        <f>EXP(-LN(2)/25)*AV43+(1-EXP(-LN(2)/25))/(LN(2)/25)*Calculateur!AQ44*Calculateur!AS44*VLOOKUP('Données projet'!$B$10,Paramètres!$A$1:$I$89,3,0)*0.475*44/12</f>
        <v>3.5211137887378783</v>
      </c>
      <c r="AW44" s="21">
        <f>EXP(-LN(2)/2)*AW43+(1-EXP(-LN(2)/2))/(LN(2)/2)*AQ44*AT44*VLOOKUP('Données projet'!$B$10,Paramètres!$A$1:$I$89,3,0)*0.475*44/12</f>
        <v>0.13509519207674392</v>
      </c>
      <c r="AX44" s="21">
        <f t="shared" si="6"/>
        <v>4.3537362464629519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19.2</v>
      </c>
      <c r="BD44" s="12">
        <f>IF('Données projet'!$A$88&gt;35,BD43+BC44-BL43,IF(A44&lt;'Données projet'!$A$88,$BA$205^A44,IF(A44='Données projet'!$A$88,'Données projet'!$B$88,BD43+BC44-BL43)))</f>
        <v>317.19999999999987</v>
      </c>
      <c r="BE44" s="13">
        <f>BD44*VLOOKUP('Données projet'!$B$11,Paramètres!$A$1:$I$89,3,0)*VLOOKUP('Données projet'!$B$11,Paramètres!$A$1:$I$89,5,0)</f>
        <v>152.57319999999993</v>
      </c>
      <c r="BF44" s="13">
        <f t="shared" si="37"/>
        <v>39.162774413815789</v>
      </c>
      <c r="BG44" s="20">
        <f t="shared" si="7"/>
        <v>333.94015543739573</v>
      </c>
      <c r="BH44" s="59">
        <f t="shared" si="8"/>
        <v>627.27348877072905</v>
      </c>
      <c r="BI44" s="59">
        <f ca="1">AVERAGE(OFFSET($BH$3,0,0,'Données projet'!$E$11+1,1))-AVERAGE(OFFSET($H$3,0,0,'Données projet'!$E$11+1,1))</f>
        <v>252.30925789500111</v>
      </c>
      <c r="BJ44" s="59">
        <f t="shared" si="38"/>
        <v>213.96033794804805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3.7256377574654893</v>
      </c>
      <c r="BQ44" s="21">
        <f>EXP(-LN(2)/25)*BQ43+(1-EXP(-LN(2)/25))/(LN(2)/25)*Calculateur!BL44*Calculateur!BN44*VLOOKUP('Données projet'!$B$11,Paramètres!$A$1:$I$89,3,0)*0.475*44/12</f>
        <v>6.8025774162812374</v>
      </c>
      <c r="BR44" s="21">
        <f>EXP(-LN(2)/2)*BR43+(1-EXP(-LN(2)/2))/(LN(2)/2)*BL44*BO44*VLOOKUP('Données projet'!$B$11,Paramètres!$A$1:$I$89,3,0)*0.475*44/12</f>
        <v>0.31770172017867221</v>
      </c>
      <c r="BS44" s="22">
        <f t="shared" si="9"/>
        <v>10.845916893925398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5.6</v>
      </c>
      <c r="N45" s="13">
        <f>IF('Données projet'!$A$36&gt;35,N44+M45-V44,IF(A45&lt;'Données projet'!$A$36,$K$205^A45,IF(A45='Données projet'!$A$36,'Données projet'!$B$36,N44+M45-V44)))</f>
        <v>90.2</v>
      </c>
      <c r="O45" s="13">
        <f>N45*VLOOKUP('Données projet'!$B$9,Paramètres!$A$1:$I$89,3,0)*VLOOKUP('Données projet'!$B$9,Paramètres!$A$1:$I$89,5,0)</f>
        <v>81.612960000000001</v>
      </c>
      <c r="P45" s="13">
        <f t="shared" si="33"/>
        <v>22.531101896247538</v>
      </c>
      <c r="Q45" s="20">
        <f t="shared" si="53"/>
        <v>181.38424113596443</v>
      </c>
      <c r="R45" s="59">
        <f t="shared" si="0"/>
        <v>474.71757446929774</v>
      </c>
      <c r="S45" s="59">
        <f ca="1">AVERAGE(OFFSET($R$3,0,0,'Données projet'!$E$9+1,1))-AVERAGE(OFFSET($H$3,0,0,'Données projet'!$E$9+1,1))</f>
        <v>138.8931001150624</v>
      </c>
      <c r="T45" s="59">
        <f t="shared" si="34"/>
        <v>48.964659354096625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7.0000000000000027</v>
      </c>
      <c r="AI45" s="13">
        <f>IF('Données projet'!$A$62&gt;35,AI44+AH45-AQ44,IF(A45&lt;'Données projet'!$A$62,$AF$205^A45,IF(A45='Données projet'!$A$62,'Données projet'!$B$62,AI44+AH45-AQ44)))</f>
        <v>185.39999999999998</v>
      </c>
      <c r="AJ45" s="13">
        <f>AI45*VLOOKUP('Données projet'!$B$10,Paramètres!$A$1:$I$89,3,0)*VLOOKUP('Données projet'!$B$10,Paramètres!$A$1:$I$89,5,0)</f>
        <v>86.767199999999988</v>
      </c>
      <c r="AK45" s="13">
        <f t="shared" si="35"/>
        <v>23.783899326718451</v>
      </c>
      <c r="AL45" s="20">
        <f t="shared" si="4"/>
        <v>192.54316466070131</v>
      </c>
      <c r="AM45" s="59">
        <f t="shared" si="5"/>
        <v>485.87649799403459</v>
      </c>
      <c r="AN45" s="59">
        <f ca="1">AVERAGE(OFFSET($AM$3,0,0,'Données projet'!$E$10+1,1))-AVERAGE(OFFSET($H$3,0,0,'Données projet'!$E$10+1,1))</f>
        <v>123.60520571614535</v>
      </c>
      <c r="AO45" s="59">
        <f t="shared" si="36"/>
        <v>119.00926870519527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0.68384918141858853</v>
      </c>
      <c r="AV45" s="21">
        <f>EXP(-LN(2)/25)*AV44+(1-EXP(-LN(2)/25))/(LN(2)/25)*Calculateur!AQ45*Calculateur!AS45*VLOOKUP('Données projet'!$B$10,Paramètres!$A$1:$I$89,3,0)*0.475*44/12</f>
        <v>3.4248287470175143</v>
      </c>
      <c r="AW45" s="21">
        <f>EXP(-LN(2)/2)*AW44+(1-EXP(-LN(2)/2))/(LN(2)/2)*AQ45*AT45*VLOOKUP('Données projet'!$B$10,Paramètres!$A$1:$I$89,3,0)*0.475*44/12</f>
        <v>9.5526726423164773E-2</v>
      </c>
      <c r="AX45" s="21">
        <f t="shared" si="6"/>
        <v>4.204204654859268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19.2</v>
      </c>
      <c r="BD45" s="12">
        <f>IF('Données projet'!$A$88&gt;35,BD44+BC45-BL44,IF(A45&lt;'Données projet'!$A$88,$BA$205^A45,IF(A45='Données projet'!$A$88,'Données projet'!$B$88,BD44+BC45-BL44)))</f>
        <v>336.39999999999986</v>
      </c>
      <c r="BE45" s="13">
        <f>BD45*VLOOKUP('Données projet'!$B$11,Paramètres!$A$1:$I$89,3,0)*VLOOKUP('Données projet'!$B$11,Paramètres!$A$1:$I$89,5,0)</f>
        <v>161.80839999999995</v>
      </c>
      <c r="BF45" s="13">
        <f t="shared" si="37"/>
        <v>41.250137884305239</v>
      </c>
      <c r="BG45" s="20">
        <f t="shared" si="7"/>
        <v>353.66028681516491</v>
      </c>
      <c r="BH45" s="59">
        <f t="shared" si="8"/>
        <v>646.99362014849817</v>
      </c>
      <c r="BI45" s="59">
        <f ca="1">AVERAGE(OFFSET($BH$3,0,0,'Données projet'!$E$11+1,1))-AVERAGE(OFFSET($H$3,0,0,'Données projet'!$E$11+1,1))</f>
        <v>252.30925789500111</v>
      </c>
      <c r="BJ45" s="59">
        <f t="shared" si="38"/>
        <v>213.96033794804805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3.6525802734562407</v>
      </c>
      <c r="BQ45" s="21">
        <f>EXP(-LN(2)/25)*BQ44+(1-EXP(-LN(2)/25))/(LN(2)/25)*Calculateur!BL45*Calculateur!BN45*VLOOKUP('Données projet'!$B$11,Paramètres!$A$1:$I$89,3,0)*0.475*44/12</f>
        <v>6.6165605791010282</v>
      </c>
      <c r="BR45" s="21">
        <f>EXP(-LN(2)/2)*BR44+(1-EXP(-LN(2)/2))/(LN(2)/2)*BL45*BO45*VLOOKUP('Données projet'!$B$11,Paramètres!$A$1:$I$89,3,0)*0.475*44/12</f>
        <v>0.22464904073297012</v>
      </c>
      <c r="BS45" s="22">
        <f t="shared" si="9"/>
        <v>10.49378989329024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5.6</v>
      </c>
      <c r="N46" s="13">
        <f>IF('Données projet'!$A$36&gt;35,N45+M46-V45,IF(A46&lt;'Données projet'!$A$36,$K$205^A46,IF(A46='Données projet'!$A$36,'Données projet'!$B$36,N45+M46-V45)))</f>
        <v>95.8</v>
      </c>
      <c r="O46" s="13">
        <f>N46*VLOOKUP('Données projet'!$B$9,Paramètres!$A$1:$I$89,3,0)*VLOOKUP('Données projet'!$B$9,Paramètres!$A$1:$I$89,5,0)</f>
        <v>86.679839999999999</v>
      </c>
      <c r="P46" s="13">
        <f t="shared" si="33"/>
        <v>23.762739053789723</v>
      </c>
      <c r="Q46" s="20">
        <f t="shared" si="53"/>
        <v>192.35415851868379</v>
      </c>
      <c r="R46" s="59">
        <f t="shared" si="0"/>
        <v>485.6874918520171</v>
      </c>
      <c r="S46" s="59">
        <f ca="1">AVERAGE(OFFSET($R$3,0,0,'Données projet'!$E$9+1,1))-AVERAGE(OFFSET($H$3,0,0,'Données projet'!$E$9+1,1))</f>
        <v>138.8931001150624</v>
      </c>
      <c r="T46" s="59">
        <f t="shared" si="34"/>
        <v>48.964659354096625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7.0000000000000027</v>
      </c>
      <c r="AI46" s="13">
        <f>IF('Données projet'!$A$62&gt;35,AI45+AH46-AQ45,IF(A46&lt;'Données projet'!$A$62,$AF$205^A46,IF(A46='Données projet'!$A$62,'Données projet'!$B$62,AI45+AH46-AQ45)))</f>
        <v>192.39999999999998</v>
      </c>
      <c r="AJ46" s="13">
        <f>AI46*VLOOKUP('Données projet'!$B$10,Paramètres!$A$1:$I$89,3,0)*VLOOKUP('Données projet'!$B$10,Paramètres!$A$1:$I$89,5,0)</f>
        <v>90.043199999999999</v>
      </c>
      <c r="AK46" s="13">
        <f t="shared" si="35"/>
        <v>24.575643502648031</v>
      </c>
      <c r="AL46" s="20">
        <f t="shared" si="4"/>
        <v>199.62781910044532</v>
      </c>
      <c r="AM46" s="59">
        <f t="shared" si="5"/>
        <v>492.96115243377864</v>
      </c>
      <c r="AN46" s="59">
        <f ca="1">AVERAGE(OFFSET($AM$3,0,0,'Données projet'!$E$10+1,1))-AVERAGE(OFFSET($H$3,0,0,'Données projet'!$E$10+1,1))</f>
        <v>123.60520571614535</v>
      </c>
      <c r="AO46" s="59">
        <f t="shared" si="36"/>
        <v>119.00926870519527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0.67043931607778484</v>
      </c>
      <c r="AV46" s="21">
        <f>EXP(-LN(2)/25)*AV45+(1-EXP(-LN(2)/25))/(LN(2)/25)*Calculateur!AQ46*Calculateur!AS46*VLOOKUP('Données projet'!$B$10,Paramètres!$A$1:$I$89,3,0)*0.475*44/12</f>
        <v>3.3311766248264041</v>
      </c>
      <c r="AW46" s="21">
        <f>EXP(-LN(2)/2)*AW45+(1-EXP(-LN(2)/2))/(LN(2)/2)*AQ46*AT46*VLOOKUP('Données projet'!$B$10,Paramètres!$A$1:$I$89,3,0)*0.475*44/12</f>
        <v>6.754759603837196E-2</v>
      </c>
      <c r="AX46" s="21">
        <f t="shared" si="6"/>
        <v>4.0691635369425612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19.2</v>
      </c>
      <c r="BD46" s="12">
        <f>IF('Données projet'!$A$88&gt;35,BD45+BC46-BL45,IF(A46&lt;'Données projet'!$A$88,$BA$205^A46,IF(A46='Données projet'!$A$88,'Données projet'!$B$88,BD45+BC46-BL45)))</f>
        <v>355.59999999999985</v>
      </c>
      <c r="BE46" s="13">
        <f>BD46*VLOOKUP('Données projet'!$B$11,Paramètres!$A$1:$I$89,3,0)*VLOOKUP('Données projet'!$B$11,Paramètres!$A$1:$I$89,5,0)</f>
        <v>171.04359999999994</v>
      </c>
      <c r="BF46" s="13">
        <f t="shared" si="37"/>
        <v>43.323671951889118</v>
      </c>
      <c r="BG46" s="20">
        <f t="shared" si="7"/>
        <v>373.35633198287337</v>
      </c>
      <c r="BH46" s="59">
        <f t="shared" si="8"/>
        <v>666.68966531620663</v>
      </c>
      <c r="BI46" s="59">
        <f ca="1">AVERAGE(OFFSET($BH$3,0,0,'Données projet'!$E$11+1,1))-AVERAGE(OFFSET($H$3,0,0,'Données projet'!$E$11+1,1))</f>
        <v>252.30925789500111</v>
      </c>
      <c r="BJ46" s="59">
        <f t="shared" si="38"/>
        <v>213.96033794804805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3.5809554021477483</v>
      </c>
      <c r="BQ46" s="21">
        <f>EXP(-LN(2)/25)*BQ45+(1-EXP(-LN(2)/25))/(LN(2)/25)*Calculateur!BL46*Calculateur!BN46*VLOOKUP('Données projet'!$B$11,Paramètres!$A$1:$I$89,3,0)*0.475*44/12</f>
        <v>6.4356303821157121</v>
      </c>
      <c r="BR46" s="21">
        <f>EXP(-LN(2)/2)*BR45+(1-EXP(-LN(2)/2))/(LN(2)/2)*BL46*BO46*VLOOKUP('Données projet'!$B$11,Paramètres!$A$1:$I$89,3,0)*0.475*44/12</f>
        <v>0.1588508600893361</v>
      </c>
      <c r="BS46" s="22">
        <f t="shared" si="9"/>
        <v>10.175436644352796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5.6</v>
      </c>
      <c r="N47" s="13">
        <f>IF('Données projet'!$A$36&gt;35,N46+M47-V46,IF(A47&lt;'Données projet'!$A$36,$K$205^A47,IF(A47='Données projet'!$A$36,'Données projet'!$B$36,N46+M47-V46)))</f>
        <v>101.39999999999999</v>
      </c>
      <c r="O47" s="13">
        <f>N47*VLOOKUP('Données projet'!$B$9,Paramètres!$A$1:$I$89,3,0)*VLOOKUP('Données projet'!$B$9,Paramètres!$A$1:$I$89,5,0)</f>
        <v>91.746719999999982</v>
      </c>
      <c r="P47" s="13">
        <f t="shared" si="33"/>
        <v>24.986019358738364</v>
      </c>
      <c r="Q47" s="20">
        <f t="shared" si="53"/>
        <v>203.30952104980258</v>
      </c>
      <c r="R47" s="59">
        <f t="shared" si="0"/>
        <v>496.6428543831359</v>
      </c>
      <c r="S47" s="59">
        <f ca="1">AVERAGE(OFFSET($R$3,0,0,'Données projet'!$E$9+1,1))-AVERAGE(OFFSET($H$3,0,0,'Données projet'!$E$9+1,1))</f>
        <v>138.8931001150624</v>
      </c>
      <c r="T47" s="59">
        <f t="shared" si="34"/>
        <v>48.964659354096625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7.0000000000000027</v>
      </c>
      <c r="AI47" s="13">
        <f>IF('Données projet'!$A$62&gt;35,AI46+AH47-AQ46,IF(A47&lt;'Données projet'!$A$62,$AF$205^A47,IF(A47='Données projet'!$A$62,'Données projet'!$B$62,AI46+AH47-AQ46)))</f>
        <v>199.39999999999998</v>
      </c>
      <c r="AJ47" s="13">
        <f>AI47*VLOOKUP('Données projet'!$B$10,Paramètres!$A$1:$I$89,3,0)*VLOOKUP('Données projet'!$B$10,Paramètres!$A$1:$I$89,5,0)</f>
        <v>93.319199999999995</v>
      </c>
      <c r="AK47" s="13">
        <f t="shared" si="35"/>
        <v>25.364041009510686</v>
      </c>
      <c r="AL47" s="20">
        <f t="shared" si="4"/>
        <v>206.70664475823108</v>
      </c>
      <c r="AM47" s="59">
        <f t="shared" si="5"/>
        <v>500.03997809156442</v>
      </c>
      <c r="AN47" s="59">
        <f ca="1">AVERAGE(OFFSET($AM$3,0,0,'Données projet'!$E$10+1,1))-AVERAGE(OFFSET($H$3,0,0,'Données projet'!$E$10+1,1))</f>
        <v>123.60520571614535</v>
      </c>
      <c r="AO47" s="59">
        <f t="shared" si="36"/>
        <v>119.00926870519527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0.65729241001710403</v>
      </c>
      <c r="AV47" s="21">
        <f>EXP(-LN(2)/25)*AV46+(1-EXP(-LN(2)/25))/(LN(2)/25)*Calculateur!AQ47*Calculateur!AS47*VLOOKUP('Données projet'!$B$10,Paramètres!$A$1:$I$89,3,0)*0.475*44/12</f>
        <v>3.2400854248415607</v>
      </c>
      <c r="AW47" s="21">
        <f>EXP(-LN(2)/2)*AW46+(1-EXP(-LN(2)/2))/(LN(2)/2)*AQ47*AT47*VLOOKUP('Données projet'!$B$10,Paramètres!$A$1:$I$89,3,0)*0.475*44/12</f>
        <v>4.7763363211582387E-2</v>
      </c>
      <c r="AX47" s="21">
        <f t="shared" si="6"/>
        <v>3.9451411980702469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19.2</v>
      </c>
      <c r="BD47" s="12">
        <f>IF('Données projet'!$A$88&gt;35,BD46+BC47-BL46,IF(A47&lt;'Données projet'!$A$88,$BA$205^A47,IF(A47='Données projet'!$A$88,'Données projet'!$B$88,BD46+BC47-BL46)))</f>
        <v>374.79999999999984</v>
      </c>
      <c r="BE47" s="13">
        <f>BD47*VLOOKUP('Données projet'!$B$11,Paramètres!$A$1:$I$89,3,0)*VLOOKUP('Données projet'!$B$11,Paramètres!$A$1:$I$89,5,0)</f>
        <v>180.2787999999999</v>
      </c>
      <c r="BF47" s="13">
        <f t="shared" si="37"/>
        <v>45.384208441676606</v>
      </c>
      <c r="BG47" s="20">
        <f t="shared" si="7"/>
        <v>393.02973970258654</v>
      </c>
      <c r="BH47" s="59">
        <f t="shared" si="8"/>
        <v>686.3630730359198</v>
      </c>
      <c r="BI47" s="59">
        <f ca="1">AVERAGE(OFFSET($BH$3,0,0,'Données projet'!$E$11+1,1))-AVERAGE(OFFSET($H$3,0,0,'Données projet'!$E$11+1,1))</f>
        <v>252.30925789500111</v>
      </c>
      <c r="BJ47" s="59">
        <f t="shared" si="38"/>
        <v>213.96033794804805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3.5107350508787576</v>
      </c>
      <c r="BQ47" s="21">
        <f>EXP(-LN(2)/25)*BQ46+(1-EXP(-LN(2)/25))/(LN(2)/25)*Calculateur!BL47*Calculateur!BN47*VLOOKUP('Données projet'!$B$11,Paramètres!$A$1:$I$89,3,0)*0.475*44/12</f>
        <v>6.2596477308816647</v>
      </c>
      <c r="BR47" s="21">
        <f>EXP(-LN(2)/2)*BR46+(1-EXP(-LN(2)/2))/(LN(2)/2)*BL47*BO47*VLOOKUP('Données projet'!$B$11,Paramètres!$A$1:$I$89,3,0)*0.475*44/12</f>
        <v>0.11232452036648506</v>
      </c>
      <c r="BS47" s="22">
        <f t="shared" si="9"/>
        <v>9.8827073021269065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5.6</v>
      </c>
      <c r="N48" s="13">
        <f>IF('Données projet'!$A$36&gt;35,N47+M48-V47,IF(A48&lt;'Données projet'!$A$36,$K$205^A48,IF(A48='Données projet'!$A$36,'Données projet'!$B$36,N47+M48-V47)))</f>
        <v>106.99999999999999</v>
      </c>
      <c r="O48" s="13">
        <f>N48*VLOOKUP('Données projet'!$B$9,Paramètres!$A$1:$I$89,3,0)*VLOOKUP('Données projet'!$B$9,Paramètres!$A$1:$I$89,5,0)</f>
        <v>96.81359999999998</v>
      </c>
      <c r="P48" s="13">
        <f t="shared" si="33"/>
        <v>26.201456938925315</v>
      </c>
      <c r="Q48" s="20">
        <f t="shared" si="53"/>
        <v>214.25122416862823</v>
      </c>
      <c r="R48" s="59">
        <f t="shared" si="0"/>
        <v>507.58455750196151</v>
      </c>
      <c r="S48" s="59">
        <f ca="1">AVERAGE(OFFSET($R$3,0,0,'Données projet'!$E$9+1,1))-AVERAGE(OFFSET($H$3,0,0,'Données projet'!$E$9+1,1))</f>
        <v>138.8931001150624</v>
      </c>
      <c r="T48" s="59">
        <f t="shared" si="34"/>
        <v>48.964659354096625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7.0000000000000027</v>
      </c>
      <c r="AI48" s="13">
        <f>IF('Données projet'!$A$62&gt;35,AI47+AH48-AQ47,IF(A48&lt;'Données projet'!$A$62,$AF$205^A48,IF(A48='Données projet'!$A$62,'Données projet'!$B$62,AI47+AH48-AQ47)))</f>
        <v>206.39999999999998</v>
      </c>
      <c r="AJ48" s="13">
        <f>AI48*VLOOKUP('Données projet'!$B$10,Paramètres!$A$1:$I$89,3,0)*VLOOKUP('Données projet'!$B$10,Paramètres!$A$1:$I$89,5,0)</f>
        <v>96.595199999999991</v>
      </c>
      <c r="AK48" s="13">
        <f t="shared" si="35"/>
        <v>26.149222795600728</v>
      </c>
      <c r="AL48" s="20">
        <f t="shared" si="4"/>
        <v>213.77986970233792</v>
      </c>
      <c r="AM48" s="59">
        <f t="shared" si="5"/>
        <v>507.11320303567123</v>
      </c>
      <c r="AN48" s="59">
        <f ca="1">AVERAGE(OFFSET($AM$3,0,0,'Données projet'!$E$10+1,1))-AVERAGE(OFFSET($H$3,0,0,'Données projet'!$E$10+1,1))</f>
        <v>123.60520571614535</v>
      </c>
      <c r="AO48" s="59">
        <f t="shared" si="36"/>
        <v>119.00926870519527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0.64440330676545232</v>
      </c>
      <c r="AV48" s="21">
        <f>EXP(-LN(2)/25)*AV47+(1-EXP(-LN(2)/25))/(LN(2)/25)*Calculateur!AQ48*Calculateur!AS48*VLOOKUP('Données projet'!$B$10,Paramètres!$A$1:$I$89,3,0)*0.475*44/12</f>
        <v>3.151485118510581</v>
      </c>
      <c r="AW48" s="21">
        <f>EXP(-LN(2)/2)*AW47+(1-EXP(-LN(2)/2))/(LN(2)/2)*AQ48*AT48*VLOOKUP('Données projet'!$B$10,Paramètres!$A$1:$I$89,3,0)*0.475*44/12</f>
        <v>3.377379801918598E-2</v>
      </c>
      <c r="AX48" s="21">
        <f t="shared" si="6"/>
        <v>3.8296622232952191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19.2</v>
      </c>
      <c r="BD48" s="12">
        <f>IF('Données projet'!$A$88&gt;35,BD47+BC48-BL47,IF(A48&lt;'Données projet'!$A$88,$BA$205^A48,IF(A48='Données projet'!$A$88,'Données projet'!$B$88,BD47+BC48-BL47)))</f>
        <v>393.99999999999983</v>
      </c>
      <c r="BE48" s="13">
        <f>BD48*VLOOKUP('Données projet'!$B$11,Paramètres!$A$1:$I$89,3,0)*VLOOKUP('Données projet'!$B$11,Paramètres!$A$1:$I$89,5,0)</f>
        <v>189.51399999999992</v>
      </c>
      <c r="BF48" s="13">
        <f t="shared" si="37"/>
        <v>47.432489140630921</v>
      </c>
      <c r="BG48" s="20">
        <f t="shared" si="7"/>
        <v>412.68180191993201</v>
      </c>
      <c r="BH48" s="59">
        <f t="shared" si="8"/>
        <v>706.01513525326527</v>
      </c>
      <c r="BI48" s="59">
        <f ca="1">AVERAGE(OFFSET($BH$3,0,0,'Données projet'!$E$11+1,1))-AVERAGE(OFFSET($H$3,0,0,'Données projet'!$E$11+1,1))</f>
        <v>252.30925789500111</v>
      </c>
      <c r="BJ48" s="59">
        <f t="shared" si="38"/>
        <v>213.96033794804805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3.4418916778679667</v>
      </c>
      <c r="BQ48" s="21">
        <f>EXP(-LN(2)/25)*BQ47+(1-EXP(-LN(2)/25))/(LN(2)/25)*Calculateur!BL48*Calculateur!BN48*VLOOKUP('Données projet'!$B$11,Paramètres!$A$1:$I$89,3,0)*0.475*44/12</f>
        <v>6.0884773345001379</v>
      </c>
      <c r="BR48" s="21">
        <f>EXP(-LN(2)/2)*BR47+(1-EXP(-LN(2)/2))/(LN(2)/2)*BL48*BO48*VLOOKUP('Données projet'!$B$11,Paramètres!$A$1:$I$89,3,0)*0.475*44/12</f>
        <v>7.9425430044668052E-2</v>
      </c>
      <c r="BS48" s="22">
        <f t="shared" si="9"/>
        <v>9.6097944424127739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5.6</v>
      </c>
      <c r="N49" s="13">
        <f>IF('Données projet'!$A$36&gt;35,N48+M49-V48,IF(A49&lt;'Données projet'!$A$36,$K$205^A49,IF(A49='Données projet'!$A$36,'Données projet'!$B$36,N48+M49-V48)))</f>
        <v>112.59999999999998</v>
      </c>
      <c r="O49" s="13">
        <f>N49*VLOOKUP('Données projet'!$B$9,Paramètres!$A$1:$I$89,3,0)*VLOOKUP('Données projet'!$B$9,Paramètres!$A$1:$I$89,5,0)</f>
        <v>101.88047999999996</v>
      </c>
      <c r="P49" s="13">
        <f t="shared" si="33"/>
        <v>27.409509067425631</v>
      </c>
      <c r="Q49" s="20">
        <f t="shared" si="53"/>
        <v>225.18006429243292</v>
      </c>
      <c r="R49" s="59">
        <f t="shared" si="0"/>
        <v>518.51339762576617</v>
      </c>
      <c r="S49" s="59">
        <f ca="1">AVERAGE(OFFSET($R$3,0,0,'Données projet'!$E$9+1,1))-AVERAGE(OFFSET($H$3,0,0,'Données projet'!$E$9+1,1))</f>
        <v>138.8931001150624</v>
      </c>
      <c r="T49" s="59">
        <f t="shared" si="34"/>
        <v>48.964659354096625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7.0000000000000027</v>
      </c>
      <c r="AI49" s="13">
        <f>IF('Données projet'!$A$62&gt;35,AI48+AH49-AQ48,IF(A49&lt;'Données projet'!$A$62,$AF$205^A49,IF(A49='Données projet'!$A$62,'Données projet'!$B$62,AI48+AH49-AQ48)))</f>
        <v>213.39999999999998</v>
      </c>
      <c r="AJ49" s="13">
        <f>AI49*VLOOKUP('Données projet'!$B$10,Paramètres!$A$1:$I$89,3,0)*VLOOKUP('Données projet'!$B$10,Paramètres!$A$1:$I$89,5,0)</f>
        <v>99.871199999999988</v>
      </c>
      <c r="AK49" s="13">
        <f t="shared" si="35"/>
        <v>26.931310423172796</v>
      </c>
      <c r="AL49" s="20">
        <f t="shared" si="4"/>
        <v>220.8477056536926</v>
      </c>
      <c r="AM49" s="59">
        <f t="shared" si="5"/>
        <v>514.18103898702589</v>
      </c>
      <c r="AN49" s="59">
        <f ca="1">AVERAGE(OFFSET($AM$3,0,0,'Données projet'!$E$10+1,1))-AVERAGE(OFFSET($H$3,0,0,'Données projet'!$E$10+1,1))</f>
        <v>123.60520571614535</v>
      </c>
      <c r="AO49" s="59">
        <f t="shared" si="36"/>
        <v>119.00926870519527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0.63176695096698876</v>
      </c>
      <c r="AV49" s="21">
        <f>EXP(-LN(2)/25)*AV48+(1-EXP(-LN(2)/25))/(LN(2)/25)*Calculateur!AQ49*Calculateur!AS49*VLOOKUP('Données projet'!$B$10,Paramètres!$A$1:$I$89,3,0)*0.475*44/12</f>
        <v>3.0653075922155097</v>
      </c>
      <c r="AW49" s="21">
        <f>EXP(-LN(2)/2)*AW48+(1-EXP(-LN(2)/2))/(LN(2)/2)*AQ49*AT49*VLOOKUP('Données projet'!$B$10,Paramètres!$A$1:$I$89,3,0)*0.475*44/12</f>
        <v>2.3881681605791193E-2</v>
      </c>
      <c r="AX49" s="21">
        <f t="shared" si="6"/>
        <v>3.7209562247882899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19.2</v>
      </c>
      <c r="BD49" s="12">
        <f>IF('Données projet'!$A$88&gt;35,BD48+BC49-BL48,IF(A49&lt;'Données projet'!$A$88,$BA$205^A49,IF(A49='Données projet'!$A$88,'Données projet'!$B$88,BD48+BC49-BL48)))</f>
        <v>413.19999999999982</v>
      </c>
      <c r="BE49" s="13">
        <f>BD49*VLOOKUP('Données projet'!$B$11,Paramètres!$A$1:$I$89,3,0)*VLOOKUP('Données projet'!$B$11,Paramètres!$A$1:$I$89,5,0)</f>
        <v>198.74919999999992</v>
      </c>
      <c r="BF49" s="13">
        <f t="shared" si="37"/>
        <v>49.469179455203339</v>
      </c>
      <c r="BG49" s="20">
        <f t="shared" si="7"/>
        <v>432.31367755114564</v>
      </c>
      <c r="BH49" s="59">
        <f t="shared" si="8"/>
        <v>725.64701088447896</v>
      </c>
      <c r="BI49" s="59">
        <f ca="1">AVERAGE(OFFSET($BH$3,0,0,'Données projet'!$E$11+1,1))-AVERAGE(OFFSET($H$3,0,0,'Données projet'!$E$11+1,1))</f>
        <v>252.30925789500111</v>
      </c>
      <c r="BJ49" s="59">
        <f t="shared" si="38"/>
        <v>213.96033794804805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3.3743982814116062</v>
      </c>
      <c r="BQ49" s="21">
        <f>EXP(-LN(2)/25)*BQ48+(1-EXP(-LN(2)/25))/(LN(2)/25)*Calculateur!BL49*Calculateur!BN49*VLOOKUP('Données projet'!$B$11,Paramètres!$A$1:$I$89,3,0)*0.475*44/12</f>
        <v>5.921987601609124</v>
      </c>
      <c r="BR49" s="21">
        <f>EXP(-LN(2)/2)*BR48+(1-EXP(-LN(2)/2))/(LN(2)/2)*BL49*BO49*VLOOKUP('Données projet'!$B$11,Paramètres!$A$1:$I$89,3,0)*0.475*44/12</f>
        <v>5.6162260183242531E-2</v>
      </c>
      <c r="BS49" s="22">
        <f t="shared" si="9"/>
        <v>9.3525481432039719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5.6</v>
      </c>
      <c r="N50" s="13">
        <f>IF('Données projet'!$A$36&gt;35,N49+M50-V49,IF(A50&lt;'Données projet'!$A$36,$K$205^A50,IF(A50='Données projet'!$A$36,'Données projet'!$B$36,N49+M50-V49)))</f>
        <v>118.19999999999997</v>
      </c>
      <c r="O50" s="13">
        <f>N50*VLOOKUP('Données projet'!$B$9,Paramètres!$A$1:$I$89,3,0)*VLOOKUP('Données projet'!$B$9,Paramètres!$A$1:$I$89,5,0)</f>
        <v>106.94735999999997</v>
      </c>
      <c r="P50" s="13">
        <f t="shared" si="33"/>
        <v>28.61058496425451</v>
      </c>
      <c r="Q50" s="20">
        <f t="shared" si="53"/>
        <v>236.09675414607656</v>
      </c>
      <c r="R50" s="59">
        <f t="shared" si="0"/>
        <v>529.43008747940985</v>
      </c>
      <c r="S50" s="59">
        <f ca="1">AVERAGE(OFFSET($R$3,0,0,'Données projet'!$E$9+1,1))-AVERAGE(OFFSET($H$3,0,0,'Données projet'!$E$9+1,1))</f>
        <v>138.8931001150624</v>
      </c>
      <c r="T50" s="59">
        <f t="shared" si="34"/>
        <v>48.964659354096625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7.0000000000000027</v>
      </c>
      <c r="AI50" s="13">
        <f>IF('Données projet'!$A$62&gt;35,AI49+AH50-AQ49,IF(A50&lt;'Données projet'!$A$62,$AF$205^A50,IF(A50='Données projet'!$A$62,'Données projet'!$B$62,AI49+AH50-AQ49)))</f>
        <v>220.39999999999998</v>
      </c>
      <c r="AJ50" s="13">
        <f>AI50*VLOOKUP('Données projet'!$B$10,Paramètres!$A$1:$I$89,3,0)*VLOOKUP('Données projet'!$B$10,Paramètres!$A$1:$I$89,5,0)</f>
        <v>103.1472</v>
      </c>
      <c r="AK50" s="13">
        <f t="shared" si="35"/>
        <v>27.710417026801451</v>
      </c>
      <c r="AL50" s="20">
        <f t="shared" si="4"/>
        <v>227.91034965501251</v>
      </c>
      <c r="AM50" s="59">
        <f t="shared" si="5"/>
        <v>521.24368298834588</v>
      </c>
      <c r="AN50" s="59">
        <f ca="1">AVERAGE(OFFSET($AM$3,0,0,'Données projet'!$E$10+1,1))-AVERAGE(OFFSET($H$3,0,0,'Données projet'!$E$10+1,1))</f>
        <v>123.60520571614535</v>
      </c>
      <c r="AO50" s="59">
        <f t="shared" si="36"/>
        <v>119.00926870519527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0.6193783863983171</v>
      </c>
      <c r="AV50" s="21">
        <f>EXP(-LN(2)/25)*AV49+(1-EXP(-LN(2)/25))/(LN(2)/25)*Calculateur!AQ50*Calculateur!AS50*VLOOKUP('Données projet'!$B$10,Paramètres!$A$1:$I$89,3,0)*0.475*44/12</f>
        <v>2.9814865949088563</v>
      </c>
      <c r="AW50" s="21">
        <f>EXP(-LN(2)/2)*AW49+(1-EXP(-LN(2)/2))/(LN(2)/2)*AQ50*AT50*VLOOKUP('Données projet'!$B$10,Paramètres!$A$1:$I$89,3,0)*0.475*44/12</f>
        <v>1.688689900959299E-2</v>
      </c>
      <c r="AX50" s="21">
        <f t="shared" si="6"/>
        <v>3.6177518803167663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19.2</v>
      </c>
      <c r="BD50" s="12">
        <f>IF('Données projet'!$A$88&gt;35,BD49+BC50-BL49,IF(A50&lt;'Données projet'!$A$88,$BA$205^A50,IF(A50='Données projet'!$A$88,'Données projet'!$B$88,BD49+BC50-BL49)))</f>
        <v>432.39999999999981</v>
      </c>
      <c r="BE50" s="13">
        <f>BD50*VLOOKUP('Données projet'!$B$11,Paramètres!$A$1:$I$89,3,0)*VLOOKUP('Données projet'!$B$11,Paramètres!$A$1:$I$89,5,0)</f>
        <v>207.98439999999991</v>
      </c>
      <c r="BF50" s="13">
        <f t="shared" si="37"/>
        <v>51.494879458640391</v>
      </c>
      <c r="BG50" s="20">
        <f t="shared" si="7"/>
        <v>451.92641172379848</v>
      </c>
      <c r="BH50" s="59">
        <f t="shared" si="8"/>
        <v>745.25974505713179</v>
      </c>
      <c r="BI50" s="59">
        <f ca="1">AVERAGE(OFFSET($BH$3,0,0,'Données projet'!$E$11+1,1))-AVERAGE(OFFSET($H$3,0,0,'Données projet'!$E$11+1,1))</f>
        <v>252.30925789500111</v>
      </c>
      <c r="BJ50" s="59">
        <f t="shared" si="38"/>
        <v>213.96033794804805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3.3082283892928479</v>
      </c>
      <c r="BQ50" s="21">
        <f>EXP(-LN(2)/25)*BQ49+(1-EXP(-LN(2)/25))/(LN(2)/25)*Calculateur!BL50*Calculateur!BN50*VLOOKUP('Données projet'!$B$11,Paramètres!$A$1:$I$89,3,0)*0.475*44/12</f>
        <v>5.7600505392193293</v>
      </c>
      <c r="BR50" s="21">
        <f>EXP(-LN(2)/2)*BR49+(1-EXP(-LN(2)/2))/(LN(2)/2)*BL50*BO50*VLOOKUP('Données projet'!$B$11,Paramètres!$A$1:$I$89,3,0)*0.475*44/12</f>
        <v>3.9712715022334026E-2</v>
      </c>
      <c r="BS50" s="22">
        <f t="shared" si="9"/>
        <v>9.1079916435345112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5.6</v>
      </c>
      <c r="N51" s="13">
        <f>IF('Données projet'!$A$36&gt;35,N50+M51-V50,IF(A51&lt;'Données projet'!$A$36,$K$205^A51,IF(A51='Données projet'!$A$36,'Données projet'!$B$36,N50+M51-V50)))</f>
        <v>123.79999999999997</v>
      </c>
      <c r="O51" s="13">
        <f>N51*VLOOKUP('Données projet'!$B$9,Paramètres!$A$1:$I$89,3,0)*VLOOKUP('Données projet'!$B$9,Paramètres!$A$1:$I$89,5,0)</f>
        <v>112.01423999999996</v>
      </c>
      <c r="P51" s="13">
        <f t="shared" si="33"/>
        <v>29.805052882814007</v>
      </c>
      <c r="Q51" s="20">
        <f t="shared" si="53"/>
        <v>247.00193510423426</v>
      </c>
      <c r="R51" s="59">
        <f t="shared" si="0"/>
        <v>540.33526843756761</v>
      </c>
      <c r="S51" s="59">
        <f ca="1">AVERAGE(OFFSET($R$3,0,0,'Données projet'!$E$9+1,1))-AVERAGE(OFFSET($H$3,0,0,'Données projet'!$E$9+1,1))</f>
        <v>138.8931001150624</v>
      </c>
      <c r="T51" s="59">
        <f t="shared" si="34"/>
        <v>48.964659354096625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7.0000000000000027</v>
      </c>
      <c r="AI51" s="13">
        <f>IF('Données projet'!$A$62&gt;35,AI50+AH51-AQ50,IF(A51&lt;'Données projet'!$A$62,$AF$205^A51,IF(A51='Données projet'!$A$62,'Données projet'!$B$62,AI50+AH51-AQ50)))</f>
        <v>227.39999999999998</v>
      </c>
      <c r="AJ51" s="13">
        <f>AI51*VLOOKUP('Données projet'!$B$10,Paramètres!$A$1:$I$89,3,0)*VLOOKUP('Données projet'!$B$10,Paramètres!$A$1:$I$89,5,0)</f>
        <v>106.42319999999999</v>
      </c>
      <c r="AK51" s="13">
        <f t="shared" si="35"/>
        <v>28.486648146569141</v>
      </c>
      <c r="AL51" s="20">
        <f t="shared" si="4"/>
        <v>234.96798552194124</v>
      </c>
      <c r="AM51" s="59">
        <f t="shared" si="5"/>
        <v>528.30131885527453</v>
      </c>
      <c r="AN51" s="59">
        <f ca="1">AVERAGE(OFFSET($AM$3,0,0,'Données projet'!$E$10+1,1))-AVERAGE(OFFSET($H$3,0,0,'Données projet'!$E$10+1,1))</f>
        <v>123.60520571614535</v>
      </c>
      <c r="AO51" s="59">
        <f t="shared" si="36"/>
        <v>119.00926870519527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0.60723275402455879</v>
      </c>
      <c r="AV51" s="21">
        <f>EXP(-LN(2)/25)*AV50+(1-EXP(-LN(2)/25))/(LN(2)/25)*Calculateur!AQ51*Calculateur!AS51*VLOOKUP('Données projet'!$B$10,Paramètres!$A$1:$I$89,3,0)*0.475*44/12</f>
        <v>2.8999576871815078</v>
      </c>
      <c r="AW51" s="21">
        <f>EXP(-LN(2)/2)*AW50+(1-EXP(-LN(2)/2))/(LN(2)/2)*AQ51*AT51*VLOOKUP('Données projet'!$B$10,Paramètres!$A$1:$I$89,3,0)*0.475*44/12</f>
        <v>1.1940840802895597E-2</v>
      </c>
      <c r="AX51" s="21">
        <f t="shared" si="6"/>
        <v>3.5191312820089626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19.2</v>
      </c>
      <c r="BD51" s="12">
        <f>IF('Données projet'!$A$88&gt;35,BD50+BC51-BL50,IF(A51&lt;'Données projet'!$A$88,$BA$205^A51,IF(A51='Données projet'!$A$88,'Données projet'!$B$88,BD50+BC51-BL50)))</f>
        <v>451.5999999999998</v>
      </c>
      <c r="BE51" s="13">
        <f>BD51*VLOOKUP('Données projet'!$B$11,Paramètres!$A$1:$I$89,3,0)*VLOOKUP('Données projet'!$B$11,Paramètres!$A$1:$I$89,5,0)</f>
        <v>217.2195999999999</v>
      </c>
      <c r="BF51" s="13">
        <f t="shared" si="37"/>
        <v>53.510132920731287</v>
      </c>
      <c r="BG51" s="20">
        <f t="shared" si="7"/>
        <v>471.5209515036068</v>
      </c>
      <c r="BH51" s="59">
        <f t="shared" si="8"/>
        <v>764.85428483694011</v>
      </c>
      <c r="BI51" s="59">
        <f ca="1">AVERAGE(OFFSET($BH$3,0,0,'Données projet'!$E$11+1,1))-AVERAGE(OFFSET($H$3,0,0,'Données projet'!$E$11+1,1))</f>
        <v>252.30925789500111</v>
      </c>
      <c r="BJ51" s="59">
        <f t="shared" si="38"/>
        <v>213.96033794804805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3.2433560483988892</v>
      </c>
      <c r="BQ51" s="21">
        <f>EXP(-LN(2)/25)*BQ50+(1-EXP(-LN(2)/25))/(LN(2)/25)*Calculateur!BL51*Calculateur!BN51*VLOOKUP('Données projet'!$B$11,Paramètres!$A$1:$I$89,3,0)*0.475*44/12</f>
        <v>5.6025416543164841</v>
      </c>
      <c r="BR51" s="21">
        <f>EXP(-LN(2)/2)*BR50+(1-EXP(-LN(2)/2))/(LN(2)/2)*BL51*BO51*VLOOKUP('Données projet'!$B$11,Paramètres!$A$1:$I$89,3,0)*0.475*44/12</f>
        <v>2.8081130091621265E-2</v>
      </c>
      <c r="BS51" s="22">
        <f t="shared" si="9"/>
        <v>8.8739788328069942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5.6</v>
      </c>
      <c r="N52" s="13">
        <f>IF('Données projet'!$A$36&gt;35,N51+M52-V51,IF(A52&lt;'Données projet'!$A$36,$K$205^A52,IF(A52='Données projet'!$A$36,'Données projet'!$B$36,N51+M52-V51)))</f>
        <v>129.39999999999998</v>
      </c>
      <c r="O52" s="13">
        <f>N52*VLOOKUP('Données projet'!$B$9,Paramètres!$A$1:$I$89,3,0)*VLOOKUP('Données projet'!$B$9,Paramètres!$A$1:$I$89,5,0)</f>
        <v>117.08111999999997</v>
      </c>
      <c r="P52" s="13">
        <f t="shared" si="33"/>
        <v>30.993245877902094</v>
      </c>
      <c r="Q52" s="20">
        <f t="shared" si="53"/>
        <v>257.89618723734606</v>
      </c>
      <c r="R52" s="59">
        <f t="shared" si="0"/>
        <v>551.22952057067937</v>
      </c>
      <c r="S52" s="59">
        <f ca="1">AVERAGE(OFFSET($R$3,0,0,'Données projet'!$E$9+1,1))-AVERAGE(OFFSET($H$3,0,0,'Données projet'!$E$9+1,1))</f>
        <v>138.8931001150624</v>
      </c>
      <c r="T52" s="59">
        <f t="shared" si="34"/>
        <v>48.964659354096625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7.0000000000000027</v>
      </c>
      <c r="AI52" s="13">
        <f>IF('Données projet'!$A$62&gt;35,AI51+AH52-AQ51,IF(A52&lt;'Données projet'!$A$62,$AF$205^A52,IF(A52='Données projet'!$A$62,'Données projet'!$B$62,AI51+AH52-AQ51)))</f>
        <v>234.39999999999998</v>
      </c>
      <c r="AJ52" s="13">
        <f>AI52*VLOOKUP('Données projet'!$B$10,Paramètres!$A$1:$I$89,3,0)*VLOOKUP('Données projet'!$B$10,Paramètres!$A$1:$I$89,5,0)</f>
        <v>109.69919999999999</v>
      </c>
      <c r="AK52" s="13">
        <f t="shared" si="35"/>
        <v>29.260102455780586</v>
      </c>
      <c r="AL52" s="20">
        <f t="shared" si="4"/>
        <v>242.02078511048447</v>
      </c>
      <c r="AM52" s="59">
        <f t="shared" si="5"/>
        <v>535.35411844381781</v>
      </c>
      <c r="AN52" s="59">
        <f ca="1">AVERAGE(OFFSET($AM$3,0,0,'Données projet'!$E$10+1,1))-AVERAGE(OFFSET($H$3,0,0,'Données projet'!$E$10+1,1))</f>
        <v>123.60520571614535</v>
      </c>
      <c r="AO52" s="59">
        <f t="shared" si="36"/>
        <v>119.00926870519527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0.59532529009354562</v>
      </c>
      <c r="AV52" s="21">
        <f>EXP(-LN(2)/25)*AV51+(1-EXP(-LN(2)/25))/(LN(2)/25)*Calculateur!AQ52*Calculateur!AS52*VLOOKUP('Données projet'!$B$10,Paramètres!$A$1:$I$89,3,0)*0.475*44/12</f>
        <v>2.8206581917233828</v>
      </c>
      <c r="AW52" s="21">
        <f>EXP(-LN(2)/2)*AW51+(1-EXP(-LN(2)/2))/(LN(2)/2)*AQ52*AT52*VLOOKUP('Données projet'!$B$10,Paramètres!$A$1:$I$89,3,0)*0.475*44/12</f>
        <v>8.443449504796495E-3</v>
      </c>
      <c r="AX52" s="21">
        <f t="shared" si="6"/>
        <v>3.424426931321725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19.2</v>
      </c>
      <c r="BD52" s="12">
        <f>IF('Données projet'!$A$88&gt;35,BD51+BC52-BL51,IF(A52&lt;'Données projet'!$A$88,$BA$205^A52,IF(A52='Données projet'!$A$88,'Données projet'!$B$88,BD51+BC52-BL51)))</f>
        <v>470.79999999999978</v>
      </c>
      <c r="BE52" s="13">
        <f>BD52*VLOOKUP('Données projet'!$B$11,Paramètres!$A$1:$I$89,3,0)*VLOOKUP('Données projet'!$B$11,Paramètres!$A$1:$I$89,5,0)</f>
        <v>226.45479999999989</v>
      </c>
      <c r="BF52" s="13">
        <f t="shared" si="37"/>
        <v>55.515434758641419</v>
      </c>
      <c r="BG52" s="20">
        <f t="shared" si="7"/>
        <v>491.09815887130026</v>
      </c>
      <c r="BH52" s="59">
        <f t="shared" si="8"/>
        <v>784.43149220463351</v>
      </c>
      <c r="BI52" s="59">
        <f ca="1">AVERAGE(OFFSET($BH$3,0,0,'Données projet'!$E$11+1,1))-AVERAGE(OFFSET($H$3,0,0,'Données projet'!$E$11+1,1))</f>
        <v>252.30925789500111</v>
      </c>
      <c r="BJ52" s="59">
        <f t="shared" si="38"/>
        <v>213.96033794804805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3.1797558145416405</v>
      </c>
      <c r="BQ52" s="21">
        <f>EXP(-LN(2)/25)*BQ51+(1-EXP(-LN(2)/25))/(LN(2)/25)*Calculateur!BL52*Calculateur!BN52*VLOOKUP('Données projet'!$B$11,Paramètres!$A$1:$I$89,3,0)*0.475*44/12</f>
        <v>5.4493398581543389</v>
      </c>
      <c r="BR52" s="21">
        <f>EXP(-LN(2)/2)*BR51+(1-EXP(-LN(2)/2))/(LN(2)/2)*BL52*BO52*VLOOKUP('Données projet'!$B$11,Paramètres!$A$1:$I$89,3,0)*0.475*44/12</f>
        <v>1.9856357511167013E-2</v>
      </c>
      <c r="BS52" s="22">
        <f t="shared" si="9"/>
        <v>8.6489520302071448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135</v>
      </c>
      <c r="L53" s="12">
        <f>VLOOKUP(A53,'Données projet'!$A$35:$I$55,9,0)</f>
        <v>5.6</v>
      </c>
      <c r="M53" s="12">
        <f t="array" ref="M53">INDEX(L:L,MIN(IF(ISNUMBER(L53:L249),ROW(L53:L249),"")))</f>
        <v>5.6</v>
      </c>
      <c r="N53" s="13">
        <f>IF('Données projet'!$A$36&gt;35,N52+M53-V52,IF(A53&lt;'Données projet'!$A$36,$K$205^A53,IF(A53='Données projet'!$A$36,'Données projet'!$B$36,N52+M53-V52)))</f>
        <v>134.99999999999997</v>
      </c>
      <c r="O53" s="13">
        <f>N53*VLOOKUP('Données projet'!$B$9,Paramètres!$A$1:$I$89,3,0)*VLOOKUP('Données projet'!$B$9,Paramètres!$A$1:$I$89,5,0)</f>
        <v>122.14799999999998</v>
      </c>
      <c r="P53" s="13">
        <f t="shared" si="33"/>
        <v>32.175466547071615</v>
      </c>
      <c r="Q53" s="20">
        <f t="shared" si="53"/>
        <v>268.78003756948306</v>
      </c>
      <c r="R53" s="59">
        <f t="shared" si="0"/>
        <v>562.11337090281631</v>
      </c>
      <c r="S53" s="59">
        <f ca="1">AVERAGE(OFFSET($R$3,0,0,'Données projet'!$E$9+1,1))-AVERAGE(OFFSET($H$3,0,0,'Données projet'!$E$9+1,1))</f>
        <v>138.8931001150624</v>
      </c>
      <c r="T53" s="59">
        <f t="shared" si="34"/>
        <v>48.964659354096625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241.4</v>
      </c>
      <c r="AG53" s="12">
        <f>VLOOKUP(A53,'Données projet'!$A$61:$I$81,9,0)</f>
        <v>7.0000000000000027</v>
      </c>
      <c r="AH53" s="12">
        <f t="array" ref="AH53">INDEX(AG:AG,MIN(IF(ISNUMBER(AG53:AG249),ROW(AG53:AG249),"")))</f>
        <v>7.0000000000000027</v>
      </c>
      <c r="AI53" s="13">
        <f>IF('Données projet'!$A$62&gt;35,AI52+AH53-AQ52,IF(A53&lt;'Données projet'!$A$62,$AF$205^A53,IF(A53='Données projet'!$A$62,'Données projet'!$B$62,AI52+AH53-AQ52)))</f>
        <v>241.39999999999998</v>
      </c>
      <c r="AJ53" s="13">
        <f>AI53*VLOOKUP('Données projet'!$B$10,Paramètres!$A$1:$I$89,3,0)*VLOOKUP('Données projet'!$B$10,Paramètres!$A$1:$I$89,5,0)</f>
        <v>112.97519999999999</v>
      </c>
      <c r="AK53" s="13">
        <f t="shared" si="35"/>
        <v>30.030872399306435</v>
      </c>
      <c r="AL53" s="20">
        <f t="shared" si="4"/>
        <v>249.06890942879204</v>
      </c>
      <c r="AM53" s="59">
        <f t="shared" si="5"/>
        <v>542.4022427621253</v>
      </c>
      <c r="AN53" s="59">
        <f ca="1">AVERAGE(OFFSET($AM$3,0,0,'Données projet'!$E$10+1,1))-AVERAGE(OFFSET($H$3,0,0,'Données projet'!$E$10+1,1))</f>
        <v>123.60520571614535</v>
      </c>
      <c r="AO53" s="59">
        <f t="shared" si="36"/>
        <v>119.00926870519527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46.3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0.58365132426738375</v>
      </c>
      <c r="AV53" s="21">
        <f>EXP(-LN(2)/25)*AV52+(1-EXP(-LN(2)/25))/(LN(2)/25)*Calculateur!AQ53*Calculateur!AS53*VLOOKUP('Données projet'!$B$10,Paramètres!$A$1:$I$89,3,0)*0.475*44/12</f>
        <v>2.7435271451387395</v>
      </c>
      <c r="AW53" s="21">
        <f>EXP(-LN(2)/2)*AW52+(1-EXP(-LN(2)/2))/(LN(2)/2)*AQ53*AT53*VLOOKUP('Données projet'!$B$10,Paramètres!$A$1:$I$89,3,0)*0.475*44/12</f>
        <v>5.9704204014477983E-3</v>
      </c>
      <c r="AX53" s="21">
        <f t="shared" si="6"/>
        <v>3.3331488898075712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490</v>
      </c>
      <c r="BB53" s="12">
        <f>VLOOKUP(A53,'Données projet'!$A$87:$I$107,9,0)</f>
        <v>19.2</v>
      </c>
      <c r="BC53" s="12">
        <f t="array" ref="BC53">INDEX(BB:BB,MIN(IF(ISNUMBER(BB53:BB249),ROW(BB53:BB249),"")))</f>
        <v>19.2</v>
      </c>
      <c r="BD53" s="12">
        <f>IF('Données projet'!$A$88&gt;35,BD52+BC53-BL52,IF(A53&lt;'Données projet'!$A$88,$BA$205^A53,IF(A53='Données projet'!$A$88,'Données projet'!$B$88,BD52+BC53-BL52)))</f>
        <v>489.99999999999977</v>
      </c>
      <c r="BE53" s="13">
        <f>BD53*VLOOKUP('Données projet'!$B$11,Paramètres!$A$1:$I$89,3,0)*VLOOKUP('Données projet'!$B$11,Paramètres!$A$1:$I$89,5,0)</f>
        <v>235.68999999999991</v>
      </c>
      <c r="BF53" s="13">
        <f t="shared" si="37"/>
        <v>57.511237238087972</v>
      </c>
      <c r="BG53" s="20">
        <f t="shared" si="7"/>
        <v>510.65882152300293</v>
      </c>
      <c r="BH53" s="59">
        <f t="shared" si="8"/>
        <v>803.99215485633624</v>
      </c>
      <c r="BI53" s="59">
        <f ca="1">AVERAGE(OFFSET($BH$3,0,0,'Données projet'!$E$11+1,1))-AVERAGE(OFFSET($H$3,0,0,'Données projet'!$E$11+1,1))</f>
        <v>252.30925789500111</v>
      </c>
      <c r="BJ53" s="59">
        <f t="shared" si="38"/>
        <v>213.96033794804805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98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3.1174027424780202</v>
      </c>
      <c r="BQ53" s="21">
        <f>EXP(-LN(2)/25)*BQ52+(1-EXP(-LN(2)/25))/(LN(2)/25)*Calculateur!BL53*Calculateur!BN53*VLOOKUP('Données projet'!$B$11,Paramètres!$A$1:$I$89,3,0)*0.475*44/12</f>
        <v>5.3003273731647802</v>
      </c>
      <c r="BR53" s="21">
        <f>EXP(-LN(2)/2)*BR52+(1-EXP(-LN(2)/2))/(LN(2)/2)*BL53*BO53*VLOOKUP('Données projet'!$B$11,Paramètres!$A$1:$I$89,3,0)*0.475*44/12</f>
        <v>1.4040565045810633E-2</v>
      </c>
      <c r="BS53" s="22">
        <f t="shared" si="9"/>
        <v>8.4317706806886115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5.5</v>
      </c>
      <c r="N54" s="13">
        <f>IF('Données projet'!$A$36&gt;35,N53+M54-V53,IF(A54&lt;'Données projet'!$A$36,$K$205^A54,IF(A54='Données projet'!$A$36,'Données projet'!$B$36,N53+M54-V53)))</f>
        <v>112.49999999999997</v>
      </c>
      <c r="O54" s="13">
        <f>N54*VLOOKUP('Données projet'!$B$9,Paramètres!$A$1:$I$89,3,0)*VLOOKUP('Données projet'!$B$9,Paramètres!$A$1:$I$89,5,0)</f>
        <v>101.78999999999998</v>
      </c>
      <c r="P54" s="13">
        <f t="shared" si="33"/>
        <v>27.38799903683508</v>
      </c>
      <c r="Q54" s="20">
        <f t="shared" si="53"/>
        <v>224.98501498915437</v>
      </c>
      <c r="R54" s="59">
        <f t="shared" si="0"/>
        <v>518.31834832248774</v>
      </c>
      <c r="S54" s="59">
        <f ca="1">AVERAGE(OFFSET($R$3,0,0,'Données projet'!$E$9+1,1))-AVERAGE(OFFSET($H$3,0,0,'Données projet'!$E$9+1,1))</f>
        <v>138.8931001150624</v>
      </c>
      <c r="T54" s="59">
        <f t="shared" si="34"/>
        <v>48.964659354096625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203.09999999999997</v>
      </c>
      <c r="AJ54" s="13">
        <f>AI54*VLOOKUP('Données projet'!$B$10,Paramètres!$A$1:$I$89,3,0)*VLOOKUP('Données projet'!$B$10,Paramètres!$A$1:$I$89,5,0)</f>
        <v>95.050799999999981</v>
      </c>
      <c r="AK54" s="13">
        <f t="shared" si="35"/>
        <v>25.779458396145792</v>
      </c>
      <c r="AL54" s="20">
        <f t="shared" si="4"/>
        <v>210.44603337328724</v>
      </c>
      <c r="AM54" s="59">
        <f t="shared" si="5"/>
        <v>503.77936670662052</v>
      </c>
      <c r="AN54" s="59">
        <f ca="1">AVERAGE(OFFSET($AM$3,0,0,'Données projet'!$E$10+1,1))-AVERAGE(OFFSET($H$3,0,0,'Données projet'!$E$10+1,1))</f>
        <v>123.60520571614535</v>
      </c>
      <c r="AO54" s="59">
        <f t="shared" si="36"/>
        <v>119.00926870519527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0.5722062777906568</v>
      </c>
      <c r="AV54" s="21">
        <f>EXP(-LN(2)/25)*AV53+(1-EXP(-LN(2)/25))/(LN(2)/25)*Calculateur!AQ54*Calculateur!AS54*VLOOKUP('Données projet'!$B$10,Paramètres!$A$1:$I$89,3,0)*0.475*44/12</f>
        <v>2.6685052510790985</v>
      </c>
      <c r="AW54" s="21">
        <f>EXP(-LN(2)/2)*AW53+(1-EXP(-LN(2)/2))/(LN(2)/2)*AQ54*AT54*VLOOKUP('Données projet'!$B$10,Paramètres!$A$1:$I$89,3,0)*0.475*44/12</f>
        <v>4.2217247523982475E-3</v>
      </c>
      <c r="AX54" s="21">
        <f t="shared" si="6"/>
        <v>3.2449332536221536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17.3</v>
      </c>
      <c r="BD54" s="12">
        <f>IF('Données projet'!$A$88&gt;35,BD53+BC54-BL53,IF(A54&lt;'Données projet'!$A$88,$BA$205^A54,IF(A54='Données projet'!$A$88,'Données projet'!$B$88,BD53+BC54-BL53)))</f>
        <v>409.29999999999978</v>
      </c>
      <c r="BE54" s="13">
        <f>BD54*VLOOKUP('Données projet'!$B$11,Paramètres!$A$1:$I$89,3,0)*VLOOKUP('Données projet'!$B$11,Paramètres!$A$1:$I$89,5,0)</f>
        <v>196.87329999999989</v>
      </c>
      <c r="BF54" s="13">
        <f t="shared" si="37"/>
        <v>49.056384812793937</v>
      </c>
      <c r="BG54" s="20">
        <f t="shared" si="7"/>
        <v>428.32753438228252</v>
      </c>
      <c r="BH54" s="59">
        <f t="shared" si="8"/>
        <v>721.66086771561584</v>
      </c>
      <c r="BI54" s="59">
        <f ca="1">AVERAGE(OFFSET($BH$3,0,0,'Données projet'!$E$11+1,1))-AVERAGE(OFFSET($H$3,0,0,'Données projet'!$E$11+1,1))</f>
        <v>252.30925789500111</v>
      </c>
      <c r="BJ54" s="59">
        <f t="shared" si="38"/>
        <v>213.96033794804805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3.0562723761259485</v>
      </c>
      <c r="BQ54" s="21">
        <f>EXP(-LN(2)/25)*BQ53+(1-EXP(-LN(2)/25))/(LN(2)/25)*Calculateur!BL54*Calculateur!BN54*VLOOKUP('Données projet'!$B$11,Paramètres!$A$1:$I$89,3,0)*0.475*44/12</f>
        <v>5.1553896424134864</v>
      </c>
      <c r="BR54" s="21">
        <f>EXP(-LN(2)/2)*BR53+(1-EXP(-LN(2)/2))/(LN(2)/2)*BL54*BO54*VLOOKUP('Données projet'!$B$11,Paramètres!$A$1:$I$89,3,0)*0.475*44/12</f>
        <v>9.9281787555835065E-3</v>
      </c>
      <c r="BS54" s="22">
        <f t="shared" si="9"/>
        <v>8.2215901972950185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5.5</v>
      </c>
      <c r="N55" s="13">
        <f>IF('Données projet'!$A$36&gt;35,N54+M55-V54,IF(A55&lt;'Données projet'!$A$36,$K$205^A55,IF(A55='Données projet'!$A$36,'Données projet'!$B$36,N54+M55-V54)))</f>
        <v>117.99999999999997</v>
      </c>
      <c r="O55" s="13">
        <f>N55*VLOOKUP('Données projet'!$B$9,Paramètres!$A$1:$I$89,3,0)*VLOOKUP('Données projet'!$B$9,Paramètres!$A$1:$I$89,5,0)</f>
        <v>106.76639999999998</v>
      </c>
      <c r="P55" s="13">
        <f t="shared" si="33"/>
        <v>28.5678052620942</v>
      </c>
      <c r="Q55" s="20">
        <f t="shared" si="53"/>
        <v>235.707074164814</v>
      </c>
      <c r="R55" s="59">
        <f t="shared" si="0"/>
        <v>529.04040749814726</v>
      </c>
      <c r="S55" s="59">
        <f ca="1">AVERAGE(OFFSET($R$3,0,0,'Données projet'!$E$9+1,1))-AVERAGE(OFFSET($H$3,0,0,'Données projet'!$E$9+1,1))</f>
        <v>138.8931001150624</v>
      </c>
      <c r="T55" s="59">
        <f t="shared" si="34"/>
        <v>48.964659354096625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211.09999999999997</v>
      </c>
      <c r="AJ55" s="13">
        <f>AI55*VLOOKUP('Données projet'!$B$10,Paramètres!$A$1:$I$89,3,0)*VLOOKUP('Données projet'!$B$10,Paramètres!$A$1:$I$89,5,0)</f>
        <v>98.794799999999981</v>
      </c>
      <c r="AK55" s="13">
        <f t="shared" si="35"/>
        <v>26.674672963454121</v>
      </c>
      <c r="AL55" s="20">
        <f t="shared" si="4"/>
        <v>218.52599874468254</v>
      </c>
      <c r="AM55" s="59">
        <f t="shared" si="5"/>
        <v>511.85933207801588</v>
      </c>
      <c r="AN55" s="59">
        <f ca="1">AVERAGE(OFFSET($AM$3,0,0,'Données projet'!$E$10+1,1))-AVERAGE(OFFSET($H$3,0,0,'Données projet'!$E$10+1,1))</f>
        <v>123.60520571614535</v>
      </c>
      <c r="AO55" s="59">
        <f t="shared" si="36"/>
        <v>119.00926870519527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0.56098566169454944</v>
      </c>
      <c r="AV55" s="21">
        <f>EXP(-LN(2)/25)*AV54+(1-EXP(-LN(2)/25))/(LN(2)/25)*Calculateur!AQ55*Calculateur!AS55*VLOOKUP('Données projet'!$B$10,Paramètres!$A$1:$I$89,3,0)*0.475*44/12</f>
        <v>2.5955348346577485</v>
      </c>
      <c r="AW55" s="21">
        <f>EXP(-LN(2)/2)*AW54+(1-EXP(-LN(2)/2))/(LN(2)/2)*AQ55*AT55*VLOOKUP('Données projet'!$B$10,Paramètres!$A$1:$I$89,3,0)*0.475*44/12</f>
        <v>2.9852102007238992E-3</v>
      </c>
      <c r="AX55" s="21">
        <f t="shared" si="6"/>
        <v>3.1595057065530217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17.3</v>
      </c>
      <c r="BD55" s="12">
        <f>IF('Données projet'!$A$88&gt;35,BD54+BC55-BL54,IF(A55&lt;'Données projet'!$A$88,$BA$205^A55,IF(A55='Données projet'!$A$88,'Données projet'!$B$88,BD54+BC55-BL54)))</f>
        <v>426.5999999999998</v>
      </c>
      <c r="BE55" s="13">
        <f>BD55*VLOOKUP('Données projet'!$B$11,Paramètres!$A$1:$I$89,3,0)*VLOOKUP('Données projet'!$B$11,Paramètres!$A$1:$I$89,5,0)</f>
        <v>205.19459999999992</v>
      </c>
      <c r="BF55" s="13">
        <f t="shared" si="37"/>
        <v>50.884074335339101</v>
      </c>
      <c r="BG55" s="20">
        <f t="shared" si="7"/>
        <v>446.00369113404878</v>
      </c>
      <c r="BH55" s="59">
        <f t="shared" si="8"/>
        <v>739.33702446738209</v>
      </c>
      <c r="BI55" s="59">
        <f ca="1">AVERAGE(OFFSET($BH$3,0,0,'Données projet'!$E$11+1,1))-AVERAGE(OFFSET($H$3,0,0,'Données projet'!$E$11+1,1))</f>
        <v>252.30925789500111</v>
      </c>
      <c r="BJ55" s="59">
        <f t="shared" si="38"/>
        <v>213.96033794804805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2.9963407389721994</v>
      </c>
      <c r="BQ55" s="21">
        <f>EXP(-LN(2)/25)*BQ54+(1-EXP(-LN(2)/25))/(LN(2)/25)*Calculateur!BL55*Calculateur!BN55*VLOOKUP('Données projet'!$B$11,Paramètres!$A$1:$I$89,3,0)*0.475*44/12</f>
        <v>5.0144152415315313</v>
      </c>
      <c r="BR55" s="21">
        <f>EXP(-LN(2)/2)*BR54+(1-EXP(-LN(2)/2))/(LN(2)/2)*BL55*BO55*VLOOKUP('Données projet'!$B$11,Paramètres!$A$1:$I$89,3,0)*0.475*44/12</f>
        <v>7.0202825229053164E-3</v>
      </c>
      <c r="BS55" s="22">
        <f t="shared" si="9"/>
        <v>8.0177762630266365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5.5</v>
      </c>
      <c r="N56" s="13">
        <f>IF('Données projet'!$A$36&gt;35,N55+M56-V55,IF(A56&lt;'Données projet'!$A$36,$K$205^A56,IF(A56='Données projet'!$A$36,'Données projet'!$B$36,N55+M56-V55)))</f>
        <v>123.49999999999997</v>
      </c>
      <c r="O56" s="13">
        <f>N56*VLOOKUP('Données projet'!$B$9,Paramètres!$A$1:$I$89,3,0)*VLOOKUP('Données projet'!$B$9,Paramètres!$A$1:$I$89,5,0)</f>
        <v>111.74279999999997</v>
      </c>
      <c r="P56" s="13">
        <f t="shared" si="33"/>
        <v>29.741225429709573</v>
      </c>
      <c r="Q56" s="20">
        <f t="shared" si="53"/>
        <v>246.4180109567441</v>
      </c>
      <c r="R56" s="59">
        <f t="shared" si="0"/>
        <v>539.75134429007744</v>
      </c>
      <c r="S56" s="59">
        <f ca="1">AVERAGE(OFFSET($R$3,0,0,'Données projet'!$E$9+1,1))-AVERAGE(OFFSET($H$3,0,0,'Données projet'!$E$9+1,1))</f>
        <v>138.8931001150624</v>
      </c>
      <c r="T56" s="59">
        <f t="shared" si="34"/>
        <v>48.964659354096625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219.09999999999997</v>
      </c>
      <c r="AJ56" s="13">
        <f>AI56*VLOOKUP('Données projet'!$B$10,Paramètres!$A$1:$I$89,3,0)*VLOOKUP('Données projet'!$B$10,Paramètres!$A$1:$I$89,5,0)</f>
        <v>102.53879999999999</v>
      </c>
      <c r="AK56" s="13">
        <f t="shared" si="35"/>
        <v>27.565946279127903</v>
      </c>
      <c r="AL56" s="20">
        <f t="shared" si="4"/>
        <v>226.59909976948109</v>
      </c>
      <c r="AM56" s="59">
        <f t="shared" si="5"/>
        <v>519.93243310281446</v>
      </c>
      <c r="AN56" s="59">
        <f ca="1">AVERAGE(OFFSET($AM$3,0,0,'Données projet'!$E$10+1,1))-AVERAGE(OFFSET($H$3,0,0,'Données projet'!$E$10+1,1))</f>
        <v>123.60520571614535</v>
      </c>
      <c r="AO56" s="59">
        <f t="shared" si="36"/>
        <v>119.00926870519527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0.54998507503618677</v>
      </c>
      <c r="AV56" s="21">
        <f>EXP(-LN(2)/25)*AV55+(1-EXP(-LN(2)/25))/(LN(2)/25)*Calculateur!AQ56*Calculateur!AS56*VLOOKUP('Données projet'!$B$10,Paramètres!$A$1:$I$89,3,0)*0.475*44/12</f>
        <v>2.5245597981107877</v>
      </c>
      <c r="AW56" s="21">
        <f>EXP(-LN(2)/2)*AW55+(1-EXP(-LN(2)/2))/(LN(2)/2)*AQ56*AT56*VLOOKUP('Données projet'!$B$10,Paramètres!$A$1:$I$89,3,0)*0.475*44/12</f>
        <v>2.1108623761991237E-3</v>
      </c>
      <c r="AX56" s="21">
        <f t="shared" si="6"/>
        <v>3.0766557355231736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17.3</v>
      </c>
      <c r="BD56" s="12">
        <f>IF('Données projet'!$A$88&gt;35,BD55+BC56-BL55,IF(A56&lt;'Données projet'!$A$88,$BA$205^A56,IF(A56='Données projet'!$A$88,'Données projet'!$B$88,BD55+BC56-BL55)))</f>
        <v>443.89999999999981</v>
      </c>
      <c r="BE56" s="13">
        <f>BD56*VLOOKUP('Données projet'!$B$11,Paramètres!$A$1:$I$89,3,0)*VLOOKUP('Données projet'!$B$11,Paramètres!$A$1:$I$89,5,0)</f>
        <v>213.51589999999993</v>
      </c>
      <c r="BF56" s="13">
        <f t="shared" si="37"/>
        <v>52.703154281688931</v>
      </c>
      <c r="BG56" s="20">
        <f t="shared" si="7"/>
        <v>463.66485287394136</v>
      </c>
      <c r="BH56" s="59">
        <f t="shared" si="8"/>
        <v>756.99818620727467</v>
      </c>
      <c r="BI56" s="59">
        <f ca="1">AVERAGE(OFFSET($BH$3,0,0,'Données projet'!$E$11+1,1))-AVERAGE(OFFSET($H$3,0,0,'Données projet'!$E$11+1,1))</f>
        <v>252.30925789500111</v>
      </c>
      <c r="BJ56" s="59">
        <f t="shared" si="38"/>
        <v>213.96033794804805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2.9375843246683462</v>
      </c>
      <c r="BQ56" s="21">
        <f>EXP(-LN(2)/25)*BQ55+(1-EXP(-LN(2)/25))/(LN(2)/25)*Calculateur!BL56*Calculateur!BN56*VLOOKUP('Données projet'!$B$11,Paramètres!$A$1:$I$89,3,0)*0.475*44/12</f>
        <v>4.8772957930552145</v>
      </c>
      <c r="BR56" s="21">
        <f>EXP(-LN(2)/2)*BR55+(1-EXP(-LN(2)/2))/(LN(2)/2)*BL56*BO56*VLOOKUP('Données projet'!$B$11,Paramètres!$A$1:$I$89,3,0)*0.475*44/12</f>
        <v>4.9640893777917533E-3</v>
      </c>
      <c r="BS56" s="22">
        <f t="shared" si="9"/>
        <v>7.8198442071013528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5.5</v>
      </c>
      <c r="N57" s="13">
        <f>IF('Données projet'!$A$36&gt;35,N56+M57-V56,IF(A57&lt;'Données projet'!$A$36,$K$205^A57,IF(A57='Données projet'!$A$36,'Données projet'!$B$36,N56+M57-V56)))</f>
        <v>128.99999999999997</v>
      </c>
      <c r="O57" s="13">
        <f>N57*VLOOKUP('Données projet'!$B$9,Paramètres!$A$1:$I$89,3,0)*VLOOKUP('Données projet'!$B$9,Paramètres!$A$1:$I$89,5,0)</f>
        <v>116.71919999999997</v>
      </c>
      <c r="P57" s="13">
        <f t="shared" si="33"/>
        <v>30.908576435525887</v>
      </c>
      <c r="Q57" s="20">
        <f t="shared" si="53"/>
        <v>257.11837729187414</v>
      </c>
      <c r="R57" s="59">
        <f t="shared" si="0"/>
        <v>550.4517106252074</v>
      </c>
      <c r="S57" s="59">
        <f ca="1">AVERAGE(OFFSET($R$3,0,0,'Données projet'!$E$9+1,1))-AVERAGE(OFFSET($H$3,0,0,'Données projet'!$E$9+1,1))</f>
        <v>138.8931001150624</v>
      </c>
      <c r="T57" s="59">
        <f t="shared" si="34"/>
        <v>48.964659354096625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227.09999999999997</v>
      </c>
      <c r="AJ57" s="13">
        <f>AI57*VLOOKUP('Données projet'!$B$10,Paramètres!$A$1:$I$89,3,0)*VLOOKUP('Données projet'!$B$10,Paramètres!$A$1:$I$89,5,0)</f>
        <v>106.28279999999998</v>
      </c>
      <c r="AK57" s="13">
        <f t="shared" si="35"/>
        <v>28.453438732464605</v>
      </c>
      <c r="AL57" s="20">
        <f t="shared" si="4"/>
        <v>234.6656157923758</v>
      </c>
      <c r="AM57" s="59">
        <f t="shared" si="5"/>
        <v>527.99894912570915</v>
      </c>
      <c r="AN57" s="59">
        <f ca="1">AVERAGE(OFFSET($AM$3,0,0,'Données projet'!$E$10+1,1))-AVERAGE(OFFSET($H$3,0,0,'Données projet'!$E$10+1,1))</f>
        <v>123.60520571614535</v>
      </c>
      <c r="AO57" s="59">
        <f t="shared" si="36"/>
        <v>119.00926870519527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0.53920020317249917</v>
      </c>
      <c r="AV57" s="21">
        <f>EXP(-LN(2)/25)*AV56+(1-EXP(-LN(2)/25))/(LN(2)/25)*Calculateur!AQ57*Calculateur!AS57*VLOOKUP('Données projet'!$B$10,Paramètres!$A$1:$I$89,3,0)*0.475*44/12</f>
        <v>2.4555255776706182</v>
      </c>
      <c r="AW57" s="21">
        <f>EXP(-LN(2)/2)*AW56+(1-EXP(-LN(2)/2))/(LN(2)/2)*AQ57*AT57*VLOOKUP('Données projet'!$B$10,Paramètres!$A$1:$I$89,3,0)*0.475*44/12</f>
        <v>1.4926051003619496E-3</v>
      </c>
      <c r="AX57" s="21">
        <f t="shared" si="6"/>
        <v>2.9962183859434792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17.3</v>
      </c>
      <c r="BD57" s="12">
        <f>IF('Données projet'!$A$88&gt;35,BD56+BC57-BL56,IF(A57&lt;'Données projet'!$A$88,$BA$205^A57,IF(A57='Données projet'!$A$88,'Données projet'!$B$88,BD56+BC57-BL56)))</f>
        <v>461.19999999999982</v>
      </c>
      <c r="BE57" s="13">
        <f>BD57*VLOOKUP('Données projet'!$B$11,Paramètres!$A$1:$I$89,3,0)*VLOOKUP('Données projet'!$B$11,Paramètres!$A$1:$I$89,5,0)</f>
        <v>221.83719999999991</v>
      </c>
      <c r="BF57" s="13">
        <f t="shared" si="37"/>
        <v>54.513998591774438</v>
      </c>
      <c r="BG57" s="20">
        <f t="shared" si="7"/>
        <v>481.31167088067355</v>
      </c>
      <c r="BH57" s="59">
        <f t="shared" si="8"/>
        <v>774.6450042140068</v>
      </c>
      <c r="BI57" s="59">
        <f ca="1">AVERAGE(OFFSET($BH$3,0,0,'Données projet'!$E$11+1,1))-AVERAGE(OFFSET($H$3,0,0,'Données projet'!$E$11+1,1))</f>
        <v>252.30925789500111</v>
      </c>
      <c r="BJ57" s="59">
        <f t="shared" si="38"/>
        <v>213.96033794804805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2.8799800878111173</v>
      </c>
      <c r="BQ57" s="21">
        <f>EXP(-LN(2)/25)*BQ56+(1-EXP(-LN(2)/25))/(LN(2)/25)*Calculateur!BL57*Calculateur!BN57*VLOOKUP('Données projet'!$B$11,Paramètres!$A$1:$I$89,3,0)*0.475*44/12</f>
        <v>4.7439258831082816</v>
      </c>
      <c r="BR57" s="21">
        <f>EXP(-LN(2)/2)*BR56+(1-EXP(-LN(2)/2))/(LN(2)/2)*BL57*BO57*VLOOKUP('Données projet'!$B$11,Paramètres!$A$1:$I$89,3,0)*0.475*44/12</f>
        <v>3.5101412614526582E-3</v>
      </c>
      <c r="BS57" s="22">
        <f t="shared" si="9"/>
        <v>7.6274161121808515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5.5</v>
      </c>
      <c r="N58" s="13">
        <f>IF('Données projet'!$A$36&gt;35,N57+M58-V57,IF(A58&lt;'Données projet'!$A$36,$K$205^A58,IF(A58='Données projet'!$A$36,'Données projet'!$B$36,N57+M58-V57)))</f>
        <v>134.49999999999997</v>
      </c>
      <c r="O58" s="13">
        <f>N58*VLOOKUP('Données projet'!$B$9,Paramètres!$A$1:$I$89,3,0)*VLOOKUP('Données projet'!$B$9,Paramètres!$A$1:$I$89,5,0)</f>
        <v>121.69559999999997</v>
      </c>
      <c r="P58" s="13">
        <f t="shared" si="33"/>
        <v>32.070146624846785</v>
      </c>
      <c r="Q58" s="20">
        <f t="shared" si="53"/>
        <v>267.8086753716081</v>
      </c>
      <c r="R58" s="59">
        <f t="shared" si="0"/>
        <v>561.14200870494142</v>
      </c>
      <c r="S58" s="59">
        <f ca="1">AVERAGE(OFFSET($R$3,0,0,'Données projet'!$E$9+1,1))-AVERAGE(OFFSET($H$3,0,0,'Données projet'!$E$9+1,1))</f>
        <v>138.8931001150624</v>
      </c>
      <c r="T58" s="59">
        <f t="shared" si="34"/>
        <v>48.964659354096625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235.09999999999997</v>
      </c>
      <c r="AJ58" s="13">
        <f>AI58*VLOOKUP('Données projet'!$B$10,Paramètres!$A$1:$I$89,3,0)*VLOOKUP('Données projet'!$B$10,Paramètres!$A$1:$I$89,5,0)</f>
        <v>110.02679999999998</v>
      </c>
      <c r="AK58" s="13">
        <f t="shared" si="35"/>
        <v>29.337298772065111</v>
      </c>
      <c r="AL58" s="20">
        <f t="shared" si="4"/>
        <v>242.72580536134669</v>
      </c>
      <c r="AM58" s="59">
        <f t="shared" si="5"/>
        <v>536.05913869467997</v>
      </c>
      <c r="AN58" s="59">
        <f ca="1">AVERAGE(OFFSET($AM$3,0,0,'Données projet'!$E$10+1,1))-AVERAGE(OFFSET($H$3,0,0,'Données projet'!$E$10+1,1))</f>
        <v>123.60520571614535</v>
      </c>
      <c r="AO58" s="59">
        <f t="shared" si="36"/>
        <v>119.00926870519527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0.52862681606793627</v>
      </c>
      <c r="AV58" s="21">
        <f>EXP(-LN(2)/25)*AV57+(1-EXP(-LN(2)/25))/(LN(2)/25)*Calculateur!AQ58*Calculateur!AS58*VLOOKUP('Données projet'!$B$10,Paramètres!$A$1:$I$89,3,0)*0.475*44/12</f>
        <v>2.388379101618737</v>
      </c>
      <c r="AW58" s="21">
        <f>EXP(-LN(2)/2)*AW57+(1-EXP(-LN(2)/2))/(LN(2)/2)*AQ58*AT58*VLOOKUP('Données projet'!$B$10,Paramètres!$A$1:$I$89,3,0)*0.475*44/12</f>
        <v>1.0554311880995619E-3</v>
      </c>
      <c r="AX58" s="21">
        <f t="shared" si="6"/>
        <v>2.9180613488747729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17.3</v>
      </c>
      <c r="BD58" s="12">
        <f>IF('Données projet'!$A$88&gt;35,BD57+BC58-BL57,IF(A58&lt;'Données projet'!$A$88,$BA$205^A58,IF(A58='Données projet'!$A$88,'Données projet'!$B$88,BD57+BC58-BL57)))</f>
        <v>478.49999999999983</v>
      </c>
      <c r="BE58" s="13">
        <f>BD58*VLOOKUP('Données projet'!$B$11,Paramètres!$A$1:$I$89,3,0)*VLOOKUP('Données projet'!$B$11,Paramètres!$A$1:$I$89,5,0)</f>
        <v>230.15849999999992</v>
      </c>
      <c r="BF58" s="13">
        <f t="shared" si="37"/>
        <v>56.316951562687294</v>
      </c>
      <c r="BG58" s="20">
        <f t="shared" si="7"/>
        <v>498.94474480501361</v>
      </c>
      <c r="BH58" s="59">
        <f t="shared" si="8"/>
        <v>792.27807813834693</v>
      </c>
      <c r="BI58" s="59">
        <f ca="1">AVERAGE(OFFSET($BH$3,0,0,'Données projet'!$E$11+1,1))-AVERAGE(OFFSET($H$3,0,0,'Données projet'!$E$11+1,1))</f>
        <v>252.30925789500111</v>
      </c>
      <c r="BJ58" s="59">
        <f t="shared" si="38"/>
        <v>213.96033794804805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2.8235054349035433</v>
      </c>
      <c r="BQ58" s="21">
        <f>EXP(-LN(2)/25)*BQ57+(1-EXP(-LN(2)/25))/(LN(2)/25)*Calculateur!BL58*Calculateur!BN58*VLOOKUP('Données projet'!$B$11,Paramètres!$A$1:$I$89,3,0)*0.475*44/12</f>
        <v>4.6142029803624656</v>
      </c>
      <c r="BR58" s="21">
        <f>EXP(-LN(2)/2)*BR57+(1-EXP(-LN(2)/2))/(LN(2)/2)*BL58*BO58*VLOOKUP('Données projet'!$B$11,Paramètres!$A$1:$I$89,3,0)*0.475*44/12</f>
        <v>2.4820446888958766E-3</v>
      </c>
      <c r="BS58" s="22">
        <f t="shared" si="9"/>
        <v>7.4401904599549047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5.5</v>
      </c>
      <c r="N59" s="13">
        <f>IF('Données projet'!$A$36&gt;35,N58+M59-V58,IF(A59&lt;'Données projet'!$A$36,$K$205^A59,IF(A59='Données projet'!$A$36,'Données projet'!$B$36,N58+M59-V58)))</f>
        <v>139.99999999999997</v>
      </c>
      <c r="O59" s="13">
        <f>N59*VLOOKUP('Données projet'!$B$9,Paramètres!$A$1:$I$89,3,0)*VLOOKUP('Données projet'!$B$9,Paramètres!$A$1:$I$89,5,0)</f>
        <v>126.67199999999997</v>
      </c>
      <c r="P59" s="13">
        <f t="shared" si="33"/>
        <v>33.226199426361319</v>
      </c>
      <c r="Q59" s="20">
        <f t="shared" si="53"/>
        <v>278.48936400091259</v>
      </c>
      <c r="R59" s="59">
        <f t="shared" si="0"/>
        <v>571.82269733424596</v>
      </c>
      <c r="S59" s="59">
        <f ca="1">AVERAGE(OFFSET($R$3,0,0,'Données projet'!$E$9+1,1))-AVERAGE(OFFSET($H$3,0,0,'Données projet'!$E$9+1,1))</f>
        <v>138.8931001150624</v>
      </c>
      <c r="T59" s="59">
        <f t="shared" si="34"/>
        <v>48.964659354096625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</v>
      </c>
      <c r="AI59" s="13">
        <f>IF('Données projet'!$A$62&gt;35,AI58+AH59-AQ58,IF(A59&lt;'Données projet'!$A$62,$AF$205^A59,IF(A59='Données projet'!$A$62,'Données projet'!$B$62,AI58+AH59-AQ58)))</f>
        <v>243.09999999999997</v>
      </c>
      <c r="AJ59" s="13">
        <f>AI59*VLOOKUP('Données projet'!$B$10,Paramètres!$A$1:$I$89,3,0)*VLOOKUP('Données projet'!$B$10,Paramètres!$A$1:$I$89,5,0)</f>
        <v>113.77079999999999</v>
      </c>
      <c r="AK59" s="13">
        <f t="shared" si="35"/>
        <v>30.217664170580228</v>
      </c>
      <c r="AL59" s="20">
        <f t="shared" si="4"/>
        <v>250.77990843042718</v>
      </c>
      <c r="AM59" s="59">
        <f t="shared" si="5"/>
        <v>544.11324176376047</v>
      </c>
      <c r="AN59" s="59">
        <f ca="1">AVERAGE(OFFSET($AM$3,0,0,'Données projet'!$E$10+1,1))-AVERAGE(OFFSET($H$3,0,0,'Données projet'!$E$10+1,1))</f>
        <v>123.60520571614535</v>
      </c>
      <c r="AO59" s="59">
        <f t="shared" si="36"/>
        <v>119.00926870519527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0.51826076663536447</v>
      </c>
      <c r="AV59" s="21">
        <f>EXP(-LN(2)/25)*AV58+(1-EXP(-LN(2)/25))/(LN(2)/25)*Calculateur!AQ59*Calculateur!AS59*VLOOKUP('Données projet'!$B$10,Paramètres!$A$1:$I$89,3,0)*0.475*44/12</f>
        <v>2.3230687494855746</v>
      </c>
      <c r="AW59" s="21">
        <f>EXP(-LN(2)/2)*AW58+(1-EXP(-LN(2)/2))/(LN(2)/2)*AQ59*AT59*VLOOKUP('Données projet'!$B$10,Paramètres!$A$1:$I$89,3,0)*0.475*44/12</f>
        <v>7.4630255018097479E-4</v>
      </c>
      <c r="AX59" s="21">
        <f t="shared" si="6"/>
        <v>2.8420758186711197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17.3</v>
      </c>
      <c r="BD59" s="12">
        <f>IF('Données projet'!$A$88&gt;35,BD58+BC59-BL58,IF(A59&lt;'Données projet'!$A$88,$BA$205^A59,IF(A59='Données projet'!$A$88,'Données projet'!$B$88,BD58+BC59-BL58)))</f>
        <v>495.79999999999984</v>
      </c>
      <c r="BE59" s="13">
        <f>BD59*VLOOKUP('Données projet'!$B$11,Paramètres!$A$1:$I$89,3,0)*VLOOKUP('Données projet'!$B$11,Paramètres!$A$1:$I$89,5,0)</f>
        <v>238.47979999999993</v>
      </c>
      <c r="BF59" s="13">
        <f t="shared" si="37"/>
        <v>58.112331184574863</v>
      </c>
      <c r="BG59" s="20">
        <f t="shared" si="7"/>
        <v>516.56462847980106</v>
      </c>
      <c r="BH59" s="59">
        <f t="shared" si="8"/>
        <v>809.89796181313432</v>
      </c>
      <c r="BI59" s="59">
        <f ca="1">AVERAGE(OFFSET($BH$3,0,0,'Données projet'!$E$11+1,1))-AVERAGE(OFFSET($H$3,0,0,'Données projet'!$E$11+1,1))</f>
        <v>252.30925789500111</v>
      </c>
      <c r="BJ59" s="59">
        <f t="shared" si="38"/>
        <v>213.96033794804805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2.7681382154933503</v>
      </c>
      <c r="BQ59" s="21">
        <f>EXP(-LN(2)/25)*BQ58+(1-EXP(-LN(2)/25))/(LN(2)/25)*Calculateur!BL59*Calculateur!BN59*VLOOKUP('Données projet'!$B$11,Paramètres!$A$1:$I$89,3,0)*0.475*44/12</f>
        <v>4.4880273572140652</v>
      </c>
      <c r="BR59" s="21">
        <f>EXP(-LN(2)/2)*BR58+(1-EXP(-LN(2)/2))/(LN(2)/2)*BL59*BO59*VLOOKUP('Données projet'!$B$11,Paramètres!$A$1:$I$89,3,0)*0.475*44/12</f>
        <v>1.7550706307263291E-3</v>
      </c>
      <c r="BS59" s="22">
        <f t="shared" si="9"/>
        <v>7.2579206433381414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5.5</v>
      </c>
      <c r="N60" s="13">
        <f>IF('Données projet'!$A$36&gt;35,N59+M60-V59,IF(A60&lt;'Données projet'!$A$36,$K$205^A60,IF(A60='Données projet'!$A$36,'Données projet'!$B$36,N59+M60-V59)))</f>
        <v>145.49999999999997</v>
      </c>
      <c r="O60" s="13">
        <f>N60*VLOOKUP('Données projet'!$B$9,Paramètres!$A$1:$I$89,3,0)*VLOOKUP('Données projet'!$B$9,Paramètres!$A$1:$I$89,5,0)</f>
        <v>131.64839999999995</v>
      </c>
      <c r="P60" s="13">
        <f t="shared" si="33"/>
        <v>34.376976398956401</v>
      </c>
      <c r="Q60" s="20">
        <f t="shared" si="53"/>
        <v>289.16086389484894</v>
      </c>
      <c r="R60" s="59">
        <f t="shared" si="0"/>
        <v>582.4941972281822</v>
      </c>
      <c r="S60" s="59">
        <f ca="1">AVERAGE(OFFSET($R$3,0,0,'Données projet'!$E$9+1,1))-AVERAGE(OFFSET($H$3,0,0,'Données projet'!$E$9+1,1))</f>
        <v>138.8931001150624</v>
      </c>
      <c r="T60" s="59">
        <f t="shared" si="34"/>
        <v>48.964659354096625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</v>
      </c>
      <c r="AI60" s="13">
        <f>IF('Données projet'!$A$62&gt;35,AI59+AH60-AQ59,IF(A60&lt;'Données projet'!$A$62,$AF$205^A60,IF(A60='Données projet'!$A$62,'Données projet'!$B$62,AI59+AH60-AQ59)))</f>
        <v>251.09999999999997</v>
      </c>
      <c r="AJ60" s="13">
        <f>AI60*VLOOKUP('Données projet'!$B$10,Paramètres!$A$1:$I$89,3,0)*VLOOKUP('Données projet'!$B$10,Paramètres!$A$1:$I$89,5,0)</f>
        <v>117.51479999999998</v>
      </c>
      <c r="AK60" s="13">
        <f t="shared" si="35"/>
        <v>31.094663118298477</v>
      </c>
      <c r="AL60" s="20">
        <f t="shared" si="4"/>
        <v>258.82814826436976</v>
      </c>
      <c r="AM60" s="59">
        <f t="shared" si="5"/>
        <v>552.16148159770307</v>
      </c>
      <c r="AN60" s="59">
        <f ca="1">AVERAGE(OFFSET($AM$3,0,0,'Données projet'!$E$10+1,1))-AVERAGE(OFFSET($H$3,0,0,'Données projet'!$E$10+1,1))</f>
        <v>123.60520571614535</v>
      </c>
      <c r="AO60" s="59">
        <f t="shared" si="36"/>
        <v>119.00926870519527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0.50809798910949955</v>
      </c>
      <c r="AV60" s="21">
        <f>EXP(-LN(2)/25)*AV59+(1-EXP(-LN(2)/25))/(LN(2)/25)*Calculateur!AQ60*Calculateur!AS60*VLOOKUP('Données projet'!$B$10,Paramètres!$A$1:$I$89,3,0)*0.475*44/12</f>
        <v>2.2595443123660157</v>
      </c>
      <c r="AW60" s="21">
        <f>EXP(-LN(2)/2)*AW59+(1-EXP(-LN(2)/2))/(LN(2)/2)*AQ60*AT60*VLOOKUP('Données projet'!$B$10,Paramètres!$A$1:$I$89,3,0)*0.475*44/12</f>
        <v>5.2771559404978094E-4</v>
      </c>
      <c r="AX60" s="21">
        <f t="shared" si="6"/>
        <v>2.7681700170695649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17.3</v>
      </c>
      <c r="BD60" s="12">
        <f>IF('Données projet'!$A$88&gt;35,BD59+BC60-BL59,IF(A60&lt;'Données projet'!$A$88,$BA$205^A60,IF(A60='Données projet'!$A$88,'Données projet'!$B$88,BD59+BC60-BL59)))</f>
        <v>513.0999999999998</v>
      </c>
      <c r="BE60" s="13">
        <f>BD60*VLOOKUP('Données projet'!$B$11,Paramètres!$A$1:$I$89,3,0)*VLOOKUP('Données projet'!$B$11,Paramètres!$A$1:$I$89,5,0)</f>
        <v>246.80109999999991</v>
      </c>
      <c r="BF60" s="13">
        <f t="shared" si="37"/>
        <v>59.900431997854653</v>
      </c>
      <c r="BG60" s="20">
        <f t="shared" si="7"/>
        <v>534.17183489626336</v>
      </c>
      <c r="BH60" s="59">
        <f t="shared" si="8"/>
        <v>827.50516822959662</v>
      </c>
      <c r="BI60" s="59">
        <f ca="1">AVERAGE(OFFSET($BH$3,0,0,'Données projet'!$E$11+1,1))-AVERAGE(OFFSET($H$3,0,0,'Données projet'!$E$11+1,1))</f>
        <v>252.30925789500111</v>
      </c>
      <c r="BJ60" s="59">
        <f t="shared" si="38"/>
        <v>213.96033794804805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2.7138567134851219</v>
      </c>
      <c r="BQ60" s="21">
        <f>EXP(-LN(2)/25)*BQ59+(1-EXP(-LN(2)/25))/(LN(2)/25)*Calculateur!BL60*Calculateur!BN60*VLOOKUP('Données projet'!$B$11,Paramètres!$A$1:$I$89,3,0)*0.475*44/12</f>
        <v>4.3653020131159455</v>
      </c>
      <c r="BR60" s="21">
        <f>EXP(-LN(2)/2)*BR59+(1-EXP(-LN(2)/2))/(LN(2)/2)*BL60*BO60*VLOOKUP('Données projet'!$B$11,Paramètres!$A$1:$I$89,3,0)*0.475*44/12</f>
        <v>1.2410223444479383E-3</v>
      </c>
      <c r="BS60" s="22">
        <f t="shared" si="9"/>
        <v>7.0803997489455153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5.5</v>
      </c>
      <c r="N61" s="13">
        <f>IF('Données projet'!$A$36&gt;35,N60+M61-V60,IF(A61&lt;'Données projet'!$A$36,$K$205^A61,IF(A61='Données projet'!$A$36,'Données projet'!$B$36,N60+M61-V60)))</f>
        <v>150.99999999999997</v>
      </c>
      <c r="O61" s="13">
        <f>N61*VLOOKUP('Données projet'!$B$9,Paramètres!$A$1:$I$89,3,0)*VLOOKUP('Données projet'!$B$9,Paramètres!$A$1:$I$89,5,0)</f>
        <v>136.62479999999999</v>
      </c>
      <c r="P61" s="13">
        <f t="shared" si="33"/>
        <v>35.522699804888632</v>
      </c>
      <c r="Q61" s="20">
        <f t="shared" si="53"/>
        <v>299.82356216018104</v>
      </c>
      <c r="R61" s="59">
        <f t="shared" si="0"/>
        <v>593.15689549351441</v>
      </c>
      <c r="S61" s="59">
        <f ca="1">AVERAGE(OFFSET($R$3,0,0,'Données projet'!$E$9+1,1))-AVERAGE(OFFSET($H$3,0,0,'Données projet'!$E$9+1,1))</f>
        <v>138.8931001150624</v>
      </c>
      <c r="T61" s="59">
        <f t="shared" si="34"/>
        <v>48.964659354096625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</v>
      </c>
      <c r="AI61" s="13">
        <f>IF('Données projet'!$A$62&gt;35,AI60+AH61-AQ60,IF(A61&lt;'Données projet'!$A$62,$AF$205^A61,IF(A61='Données projet'!$A$62,'Données projet'!$B$62,AI60+AH61-AQ60)))</f>
        <v>259.09999999999997</v>
      </c>
      <c r="AJ61" s="13">
        <f>AI61*VLOOKUP('Données projet'!$B$10,Paramètres!$A$1:$I$89,3,0)*VLOOKUP('Données projet'!$B$10,Paramètres!$A$1:$I$89,5,0)</f>
        <v>121.25879999999998</v>
      </c>
      <c r="AK61" s="13">
        <f t="shared" si="35"/>
        <v>31.968415173452456</v>
      </c>
      <c r="AL61" s="20">
        <f t="shared" si="4"/>
        <v>266.87073309376296</v>
      </c>
      <c r="AM61" s="59">
        <f t="shared" si="5"/>
        <v>560.20406642709622</v>
      </c>
      <c r="AN61" s="59">
        <f ca="1">AVERAGE(OFFSET($AM$3,0,0,'Données projet'!$E$10+1,1))-AVERAGE(OFFSET($H$3,0,0,'Données projet'!$E$10+1,1))</f>
        <v>123.60520571614535</v>
      </c>
      <c r="AO61" s="59">
        <f t="shared" si="36"/>
        <v>119.00926870519527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0.49813449745223465</v>
      </c>
      <c r="AV61" s="21">
        <f>EXP(-LN(2)/25)*AV60+(1-EXP(-LN(2)/25))/(LN(2)/25)*Calculateur!AQ61*Calculateur!AS61*VLOOKUP('Données projet'!$B$10,Paramètres!$A$1:$I$89,3,0)*0.475*44/12</f>
        <v>2.1977569543200959</v>
      </c>
      <c r="AW61" s="21">
        <f>EXP(-LN(2)/2)*AW60+(1-EXP(-LN(2)/2))/(LN(2)/2)*AQ61*AT61*VLOOKUP('Données projet'!$B$10,Paramètres!$A$1:$I$89,3,0)*0.475*44/12</f>
        <v>3.731512750904874E-4</v>
      </c>
      <c r="AX61" s="21">
        <f t="shared" si="6"/>
        <v>2.6962646030474211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17.3</v>
      </c>
      <c r="BD61" s="12">
        <f>IF('Données projet'!$A$88&gt;35,BD60+BC61-BL60,IF(A61&lt;'Données projet'!$A$88,$BA$205^A61,IF(A61='Données projet'!$A$88,'Données projet'!$B$88,BD60+BC61-BL60)))</f>
        <v>530.39999999999975</v>
      </c>
      <c r="BE61" s="13">
        <f>BD61*VLOOKUP('Données projet'!$B$11,Paramètres!$A$1:$I$89,3,0)*VLOOKUP('Données projet'!$B$11,Paramètres!$A$1:$I$89,5,0)</f>
        <v>255.12239999999989</v>
      </c>
      <c r="BF61" s="13">
        <f t="shared" si="37"/>
        <v>61.681527554261443</v>
      </c>
      <c r="BG61" s="20">
        <f t="shared" si="7"/>
        <v>551.7668404903385</v>
      </c>
      <c r="BH61" s="59">
        <f t="shared" si="8"/>
        <v>845.10017382367187</v>
      </c>
      <c r="BI61" s="59">
        <f ca="1">AVERAGE(OFFSET($BH$3,0,0,'Données projet'!$E$11+1,1))-AVERAGE(OFFSET($H$3,0,0,'Données projet'!$E$11+1,1))</f>
        <v>252.30925789500111</v>
      </c>
      <c r="BJ61" s="59">
        <f t="shared" si="38"/>
        <v>213.96033794804805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2.6606396386228277</v>
      </c>
      <c r="BQ61" s="21">
        <f>EXP(-LN(2)/25)*BQ60+(1-EXP(-LN(2)/25))/(LN(2)/25)*Calculateur!BL61*Calculateur!BN61*VLOOKUP('Données projet'!$B$11,Paramètres!$A$1:$I$89,3,0)*0.475*44/12</f>
        <v>4.245932600006034</v>
      </c>
      <c r="BR61" s="21">
        <f>EXP(-LN(2)/2)*BR60+(1-EXP(-LN(2)/2))/(LN(2)/2)*BL61*BO61*VLOOKUP('Données projet'!$B$11,Paramètres!$A$1:$I$89,3,0)*0.475*44/12</f>
        <v>8.7753531536316454E-4</v>
      </c>
      <c r="BS61" s="22">
        <f t="shared" si="9"/>
        <v>6.907449773944224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5.5</v>
      </c>
      <c r="N62" s="13">
        <f>IF('Données projet'!$A$36&gt;35,N61+M62-V61,IF(A62&lt;'Données projet'!$A$36,$K$205^A62,IF(A62='Données projet'!$A$36,'Données projet'!$B$36,N61+M62-V61)))</f>
        <v>156.49999999999997</v>
      </c>
      <c r="O62" s="13">
        <f>N62*VLOOKUP('Données projet'!$B$9,Paramètres!$A$1:$I$89,3,0)*VLOOKUP('Données projet'!$B$9,Paramètres!$A$1:$I$89,5,0)</f>
        <v>141.60119999999998</v>
      </c>
      <c r="P62" s="13">
        <f t="shared" si="33"/>
        <v>36.66357479752002</v>
      </c>
      <c r="Q62" s="20">
        <f t="shared" si="53"/>
        <v>310.47781610568063</v>
      </c>
      <c r="R62" s="59">
        <f t="shared" si="0"/>
        <v>603.81114943901389</v>
      </c>
      <c r="S62" s="59">
        <f ca="1">AVERAGE(OFFSET($R$3,0,0,'Données projet'!$E$9+1,1))-AVERAGE(OFFSET($H$3,0,0,'Données projet'!$E$9+1,1))</f>
        <v>138.8931001150624</v>
      </c>
      <c r="T62" s="59">
        <f t="shared" si="34"/>
        <v>48.964659354096625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</v>
      </c>
      <c r="AI62" s="13">
        <f>IF('Données projet'!$A$62&gt;35,AI61+AH62-AQ61,IF(A62&lt;'Données projet'!$A$62,$AF$205^A62,IF(A62='Données projet'!$A$62,'Données projet'!$B$62,AI61+AH62-AQ61)))</f>
        <v>267.09999999999997</v>
      </c>
      <c r="AJ62" s="13">
        <f>AI62*VLOOKUP('Données projet'!$B$10,Paramètres!$A$1:$I$89,3,0)*VLOOKUP('Données projet'!$B$10,Paramètres!$A$1:$I$89,5,0)</f>
        <v>125.00279999999998</v>
      </c>
      <c r="AK62" s="13">
        <f t="shared" si="35"/>
        <v>32.839032091861341</v>
      </c>
      <c r="AL62" s="20">
        <f t="shared" si="4"/>
        <v>274.90785755999178</v>
      </c>
      <c r="AM62" s="59">
        <f t="shared" si="5"/>
        <v>568.2411908933251</v>
      </c>
      <c r="AN62" s="59">
        <f ca="1">AVERAGE(OFFSET($AM$3,0,0,'Données projet'!$E$10+1,1))-AVERAGE(OFFSET($H$3,0,0,'Données projet'!$E$10+1,1))</f>
        <v>123.60520571614535</v>
      </c>
      <c r="AO62" s="59">
        <f t="shared" si="36"/>
        <v>119.00926870519527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0.48836638378923886</v>
      </c>
      <c r="AV62" s="21">
        <f>EXP(-LN(2)/25)*AV61+(1-EXP(-LN(2)/25))/(LN(2)/25)*Calculateur!AQ62*Calculateur!AS62*VLOOKUP('Données projet'!$B$10,Paramètres!$A$1:$I$89,3,0)*0.475*44/12</f>
        <v>2.1376591748291975</v>
      </c>
      <c r="AW62" s="21">
        <f>EXP(-LN(2)/2)*AW61+(1-EXP(-LN(2)/2))/(LN(2)/2)*AQ62*AT62*VLOOKUP('Données projet'!$B$10,Paramètres!$A$1:$I$89,3,0)*0.475*44/12</f>
        <v>2.6385779702489047E-4</v>
      </c>
      <c r="AX62" s="21">
        <f t="shared" si="6"/>
        <v>2.6262894164154611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17.3</v>
      </c>
      <c r="BD62" s="12">
        <f>IF('Données projet'!$A$88&gt;35,BD61+BC62-BL61,IF(A62&lt;'Données projet'!$A$88,$BA$205^A62,IF(A62='Données projet'!$A$88,'Données projet'!$B$88,BD61+BC62-BL61)))</f>
        <v>547.6999999999997</v>
      </c>
      <c r="BE62" s="13">
        <f>BD62*VLOOKUP('Données projet'!$B$11,Paramètres!$A$1:$I$89,3,0)*VLOOKUP('Données projet'!$B$11,Paramètres!$A$1:$I$89,5,0)</f>
        <v>263.44369999999986</v>
      </c>
      <c r="BF62" s="13">
        <f t="shared" si="37"/>
        <v>63.45587254778787</v>
      </c>
      <c r="BG62" s="20">
        <f t="shared" si="7"/>
        <v>569.35008885406353</v>
      </c>
      <c r="BH62" s="59">
        <f t="shared" si="8"/>
        <v>862.6834221873969</v>
      </c>
      <c r="BI62" s="59">
        <f ca="1">AVERAGE(OFFSET($BH$3,0,0,'Données projet'!$E$11+1,1))-AVERAGE(OFFSET($H$3,0,0,'Données projet'!$E$11+1,1))</f>
        <v>252.30925789500111</v>
      </c>
      <c r="BJ62" s="59">
        <f t="shared" si="38"/>
        <v>213.96033794804805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2.6084661181393725</v>
      </c>
      <c r="BQ62" s="21">
        <f>EXP(-LN(2)/25)*BQ61+(1-EXP(-LN(2)/25))/(LN(2)/25)*Calculateur!BL62*Calculateur!BN62*VLOOKUP('Données projet'!$B$11,Paramètres!$A$1:$I$89,3,0)*0.475*44/12</f>
        <v>4.1298273497749776</v>
      </c>
      <c r="BR62" s="21">
        <f>EXP(-LN(2)/2)*BR61+(1-EXP(-LN(2)/2))/(LN(2)/2)*BL62*BO62*VLOOKUP('Données projet'!$B$11,Paramètres!$A$1:$I$89,3,0)*0.475*44/12</f>
        <v>6.2051117222396916E-4</v>
      </c>
      <c r="BS62" s="22">
        <f t="shared" si="9"/>
        <v>6.7389139790865737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162</v>
      </c>
      <c r="L63" s="12">
        <f>VLOOKUP(A63,'Données projet'!$A$35:$I$55,9,0)</f>
        <v>5.5</v>
      </c>
      <c r="M63" s="12">
        <f t="array" ref="M63">INDEX(L:L,MIN(IF(ISNUMBER(L63:L259),ROW(L63:L259),"")))</f>
        <v>5.5</v>
      </c>
      <c r="N63" s="13">
        <f>IF('Données projet'!$A$36&gt;35,N62+M63-V62,IF(A63&lt;'Données projet'!$A$36,$K$205^A63,IF(A63='Données projet'!$A$36,'Données projet'!$B$36,N62+M63-V62)))</f>
        <v>161.99999999999997</v>
      </c>
      <c r="O63" s="13">
        <f>N63*VLOOKUP('Données projet'!$B$9,Paramètres!$A$1:$I$89,3,0)*VLOOKUP('Données projet'!$B$9,Paramètres!$A$1:$I$89,5,0)</f>
        <v>146.57759999999996</v>
      </c>
      <c r="P63" s="13">
        <f t="shared" si="33"/>
        <v>37.799791292871213</v>
      </c>
      <c r="Q63" s="20">
        <f t="shared" si="53"/>
        <v>321.12395650175063</v>
      </c>
      <c r="R63" s="59">
        <f t="shared" si="0"/>
        <v>614.45728983508388</v>
      </c>
      <c r="S63" s="59">
        <f ca="1">AVERAGE(OFFSET($R$3,0,0,'Données projet'!$E$9+1,1))-AVERAGE(OFFSET($H$3,0,0,'Données projet'!$E$9+1,1))</f>
        <v>138.8931001150624</v>
      </c>
      <c r="T63" s="59">
        <f t="shared" si="34"/>
        <v>48.964659354096625</v>
      </c>
      <c r="U63" s="15">
        <f>IF(ISNA(VLOOKUP(A63,'Données projet'!$A$35:$I$55,3,0)),0,VLOOKUP(A63,'Données projet'!$A$35:$I$55,3,0))</f>
        <v>3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275.10000000000002</v>
      </c>
      <c r="AG63" s="12">
        <f>VLOOKUP(A63,'Données projet'!$A$61:$I$81,9,0)</f>
        <v>8</v>
      </c>
      <c r="AH63" s="12">
        <f t="array" ref="AH63">INDEX(AG:AG,MIN(IF(ISNUMBER(AG63:AG259),ROW(AG63:AG259),"")))</f>
        <v>8</v>
      </c>
      <c r="AI63" s="13">
        <f>IF('Données projet'!$A$62&gt;35,AI62+AH63-AQ62,IF(A63&lt;'Données projet'!$A$62,$AF$205^A63,IF(A63='Données projet'!$A$62,'Données projet'!$B$62,AI62+AH63-AQ62)))</f>
        <v>275.09999999999997</v>
      </c>
      <c r="AJ63" s="13">
        <f>AI63*VLOOKUP('Données projet'!$B$10,Paramètres!$A$1:$I$89,3,0)*VLOOKUP('Données projet'!$B$10,Paramètres!$A$1:$I$89,5,0)</f>
        <v>128.74679999999998</v>
      </c>
      <c r="AK63" s="13">
        <f t="shared" si="35"/>
        <v>33.706618554384562</v>
      </c>
      <c r="AL63" s="20">
        <f t="shared" si="4"/>
        <v>282.93970398221973</v>
      </c>
      <c r="AM63" s="59">
        <f t="shared" si="5"/>
        <v>576.27303731555298</v>
      </c>
      <c r="AN63" s="59">
        <f ca="1">AVERAGE(OFFSET($AM$3,0,0,'Données projet'!$E$10+1,1))-AVERAGE(OFFSET($H$3,0,0,'Données projet'!$E$10+1,1))</f>
        <v>123.60520571614535</v>
      </c>
      <c r="AO63" s="59">
        <f t="shared" si="36"/>
        <v>119.00926870519527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46.3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0.47878981687721339</v>
      </c>
      <c r="AV63" s="21">
        <f>EXP(-LN(2)/25)*AV62+(1-EXP(-LN(2)/25))/(LN(2)/25)*Calculateur!AQ63*Calculateur!AS63*VLOOKUP('Données projet'!$B$10,Paramètres!$A$1:$I$89,3,0)*0.475*44/12</f>
        <v>2.0792047722788829</v>
      </c>
      <c r="AW63" s="21">
        <f>EXP(-LN(2)/2)*AW62+(1-EXP(-LN(2)/2))/(LN(2)/2)*AQ63*AT63*VLOOKUP('Données projet'!$B$10,Paramètres!$A$1:$I$89,3,0)*0.475*44/12</f>
        <v>1.865756375452437E-4</v>
      </c>
      <c r="AX63" s="21">
        <f t="shared" si="6"/>
        <v>2.5581811647936417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565</v>
      </c>
      <c r="BB63" s="12">
        <f>VLOOKUP(A63,'Données projet'!$A$87:$I$107,9,0)</f>
        <v>17.3</v>
      </c>
      <c r="BC63" s="12">
        <f t="array" ref="BC63">INDEX(BB:BB,MIN(IF(ISNUMBER(BB63:BB259),ROW(BB63:BB259),"")))</f>
        <v>17.3</v>
      </c>
      <c r="BD63" s="12">
        <f>IF('Données projet'!$A$88&gt;35,BD62+BC63-BL62,IF(A63&lt;'Données projet'!$A$88,$BA$205^A63,IF(A63='Données projet'!$A$88,'Données projet'!$B$88,BD62+BC63-BL62)))</f>
        <v>564.99999999999966</v>
      </c>
      <c r="BE63" s="13">
        <f>BD63*VLOOKUP('Données projet'!$B$11,Paramètres!$A$1:$I$89,3,0)*VLOOKUP('Données projet'!$B$11,Paramètres!$A$1:$I$89,5,0)</f>
        <v>271.76499999999982</v>
      </c>
      <c r="BF63" s="13">
        <f t="shared" si="37"/>
        <v>65.223704668824254</v>
      </c>
      <c r="BG63" s="20">
        <f t="shared" si="7"/>
        <v>586.92199396486865</v>
      </c>
      <c r="BH63" s="59">
        <f t="shared" si="8"/>
        <v>880.25532729820202</v>
      </c>
      <c r="BI63" s="59">
        <f ca="1">AVERAGE(OFFSET($BH$3,0,0,'Données projet'!$E$11+1,1))-AVERAGE(OFFSET($H$3,0,0,'Données projet'!$E$11+1,1))</f>
        <v>252.30925789500111</v>
      </c>
      <c r="BJ63" s="59">
        <f t="shared" si="38"/>
        <v>213.96033794804805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95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2.5573156885698927</v>
      </c>
      <c r="BQ63" s="21">
        <f>EXP(-LN(2)/25)*BQ62+(1-EXP(-LN(2)/25))/(LN(2)/25)*Calculateur!BL63*Calculateur!BN63*VLOOKUP('Données projet'!$B$11,Paramètres!$A$1:$I$89,3,0)*0.475*44/12</f>
        <v>4.0168970037171992</v>
      </c>
      <c r="BR63" s="21">
        <f>EXP(-LN(2)/2)*BR62+(1-EXP(-LN(2)/2))/(LN(2)/2)*BL63*BO63*VLOOKUP('Données projet'!$B$11,Paramètres!$A$1:$I$89,3,0)*0.475*44/12</f>
        <v>4.3876765768158227E-4</v>
      </c>
      <c r="BS63" s="22">
        <f t="shared" si="9"/>
        <v>6.5746514599447732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5.2</v>
      </c>
      <c r="N64" s="13">
        <f>IF('Données projet'!$A$36&gt;35,N63+M64-V63,IF(A64&lt;'Données projet'!$A$36,$K$205^A64,IF(A64='Données projet'!$A$36,'Données projet'!$B$36,N63+M64-V63)))</f>
        <v>139.19999999999996</v>
      </c>
      <c r="O64" s="13">
        <f>N64*VLOOKUP('Données projet'!$B$9,Paramètres!$A$1:$I$89,3,0)*VLOOKUP('Données projet'!$B$9,Paramètres!$A$1:$I$89,5,0)</f>
        <v>125.94815999999997</v>
      </c>
      <c r="P64" s="13">
        <f t="shared" si="33"/>
        <v>33.058379686398482</v>
      </c>
      <c r="Q64" s="20">
        <f t="shared" si="53"/>
        <v>276.93638995381065</v>
      </c>
      <c r="R64" s="59">
        <f t="shared" si="0"/>
        <v>570.26972328714396</v>
      </c>
      <c r="S64" s="59">
        <f ca="1">AVERAGE(OFFSET($R$3,0,0,'Données projet'!$E$9+1,1))-AVERAGE(OFFSET($H$3,0,0,'Données projet'!$E$9+1,1))</f>
        <v>138.8931001150624</v>
      </c>
      <c r="T64" s="59">
        <f t="shared" si="34"/>
        <v>48.964659354096625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7.5</v>
      </c>
      <c r="AI64" s="13">
        <f>IF('Données projet'!$A$62&gt;35,AI63+AH64-AQ63,IF(A64&lt;'Données projet'!$A$62,$AF$205^A64,IF(A64='Données projet'!$A$62,'Données projet'!$B$62,AI63+AH64-AQ63)))</f>
        <v>236.29999999999995</v>
      </c>
      <c r="AJ64" s="13">
        <f>AI64*VLOOKUP('Données projet'!$B$10,Paramètres!$A$1:$I$89,3,0)*VLOOKUP('Données projet'!$B$10,Paramètres!$A$1:$I$89,5,0)</f>
        <v>110.58839999999998</v>
      </c>
      <c r="AK64" s="13">
        <f t="shared" si="35"/>
        <v>29.469573129181672</v>
      </c>
      <c r="AL64" s="20">
        <f t="shared" si="4"/>
        <v>243.93430319999138</v>
      </c>
      <c r="AM64" s="59">
        <f t="shared" si="5"/>
        <v>537.26763653332466</v>
      </c>
      <c r="AN64" s="59">
        <f ca="1">AVERAGE(OFFSET($AM$3,0,0,'Données projet'!$E$10+1,1))-AVERAGE(OFFSET($H$3,0,0,'Données projet'!$E$10+1,1))</f>
        <v>123.60520571614535</v>
      </c>
      <c r="AO64" s="59">
        <f t="shared" si="36"/>
        <v>119.00926870519527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0.46940104060120369</v>
      </c>
      <c r="AV64" s="21">
        <f>EXP(-LN(2)/25)*AV63+(1-EXP(-LN(2)/25))/(LN(2)/25)*Calculateur!AQ64*Calculateur!AS64*VLOOKUP('Données projet'!$B$10,Paramètres!$A$1:$I$89,3,0)*0.475*44/12</f>
        <v>2.0223488084402899</v>
      </c>
      <c r="AW64" s="21">
        <f>EXP(-LN(2)/2)*AW63+(1-EXP(-LN(2)/2))/(LN(2)/2)*AQ64*AT64*VLOOKUP('Données projet'!$B$10,Paramètres!$A$1:$I$89,3,0)*0.475*44/12</f>
        <v>1.3192889851244523E-4</v>
      </c>
      <c r="AX64" s="21">
        <f t="shared" si="6"/>
        <v>2.491881777940006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15.3</v>
      </c>
      <c r="BD64" s="12">
        <f>IF('Données projet'!$A$88&gt;35,BD63+BC64-BL63,IF(A64&lt;'Données projet'!$A$88,$BA$205^A64,IF(A64='Données projet'!$A$88,'Données projet'!$B$88,BD63+BC64-BL63)))</f>
        <v>485.29999999999961</v>
      </c>
      <c r="BE64" s="13">
        <f>BD64*VLOOKUP('Données projet'!$B$11,Paramètres!$A$1:$I$89,3,0)*VLOOKUP('Données projet'!$B$11,Paramètres!$A$1:$I$89,5,0)</f>
        <v>233.42929999999984</v>
      </c>
      <c r="BF64" s="13">
        <f t="shared" si="37"/>
        <v>57.023536469378328</v>
      </c>
      <c r="BG64" s="20">
        <f t="shared" si="7"/>
        <v>505.87202351750028</v>
      </c>
      <c r="BH64" s="59">
        <f t="shared" si="8"/>
        <v>799.2053568508336</v>
      </c>
      <c r="BI64" s="59">
        <f ca="1">AVERAGE(OFFSET($BH$3,0,0,'Données projet'!$E$11+1,1))-AVERAGE(OFFSET($H$3,0,0,'Données projet'!$E$11+1,1))</f>
        <v>252.30925789500111</v>
      </c>
      <c r="BJ64" s="59">
        <f t="shared" si="38"/>
        <v>213.96033794804805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2.5071682877255888</v>
      </c>
      <c r="BQ64" s="21">
        <f>EXP(-LN(2)/25)*BQ63+(1-EXP(-LN(2)/25))/(LN(2)/25)*Calculateur!BL64*Calculateur!BN64*VLOOKUP('Données projet'!$B$11,Paramètres!$A$1:$I$89,3,0)*0.475*44/12</f>
        <v>3.9070547439111198</v>
      </c>
      <c r="BR64" s="21">
        <f>EXP(-LN(2)/2)*BR63+(1-EXP(-LN(2)/2))/(LN(2)/2)*BL64*BO64*VLOOKUP('Données projet'!$B$11,Paramètres!$A$1:$I$89,3,0)*0.475*44/12</f>
        <v>3.1025558611198458E-4</v>
      </c>
      <c r="BS64" s="22">
        <f t="shared" si="9"/>
        <v>6.4145332872228211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5.2</v>
      </c>
      <c r="N65" s="13">
        <f>IF('Données projet'!$A$36&gt;35,N64+M65-V64,IF(A65&lt;'Données projet'!$A$36,$K$205^A65,IF(A65='Données projet'!$A$36,'Données projet'!$B$36,N64+M65-V64)))</f>
        <v>144.39999999999995</v>
      </c>
      <c r="O65" s="13">
        <f>N65*VLOOKUP('Données projet'!$B$9,Paramètres!$A$1:$I$89,3,0)*VLOOKUP('Données projet'!$B$9,Paramètres!$A$1:$I$89,5,0)</f>
        <v>130.65311999999994</v>
      </c>
      <c r="P65" s="13">
        <f t="shared" si="33"/>
        <v>34.147232142951147</v>
      </c>
      <c r="Q65" s="20">
        <f t="shared" si="53"/>
        <v>287.02727998230642</v>
      </c>
      <c r="R65" s="59">
        <f t="shared" si="0"/>
        <v>580.36061331563974</v>
      </c>
      <c r="S65" s="59">
        <f ca="1">AVERAGE(OFFSET($R$3,0,0,'Données projet'!$E$9+1,1))-AVERAGE(OFFSET($H$3,0,0,'Données projet'!$E$9+1,1))</f>
        <v>138.8931001150624</v>
      </c>
      <c r="T65" s="59">
        <f t="shared" si="34"/>
        <v>48.964659354096625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7.5</v>
      </c>
      <c r="AI65" s="13">
        <f>IF('Données projet'!$A$62&gt;35,AI64+AH65-AQ64,IF(A65&lt;'Données projet'!$A$62,$AF$205^A65,IF(A65='Données projet'!$A$62,'Données projet'!$B$62,AI64+AH65-AQ64)))</f>
        <v>243.79999999999995</v>
      </c>
      <c r="AJ65" s="13">
        <f>AI65*VLOOKUP('Données projet'!$B$10,Paramètres!$A$1:$I$89,3,0)*VLOOKUP('Données projet'!$B$10,Paramètres!$A$1:$I$89,5,0)</f>
        <v>114.09839999999998</v>
      </c>
      <c r="AK65" s="13">
        <f t="shared" si="35"/>
        <v>30.294534186150837</v>
      </c>
      <c r="AL65" s="20">
        <f t="shared" si="4"/>
        <v>251.48436037421268</v>
      </c>
      <c r="AM65" s="59">
        <f t="shared" si="5"/>
        <v>544.81769370754603</v>
      </c>
      <c r="AN65" s="59">
        <f ca="1">AVERAGE(OFFSET($AM$3,0,0,'Données projet'!$E$10+1,1))-AVERAGE(OFFSET($H$3,0,0,'Données projet'!$E$10+1,1))</f>
        <v>123.60520571614535</v>
      </c>
      <c r="AO65" s="59">
        <f t="shared" si="36"/>
        <v>119.00926870519527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0.46019637250137846</v>
      </c>
      <c r="AV65" s="21">
        <f>EXP(-LN(2)/25)*AV64+(1-EXP(-LN(2)/25))/(LN(2)/25)*Calculateur!AQ65*Calculateur!AS65*VLOOKUP('Données projet'!$B$10,Paramètres!$A$1:$I$89,3,0)*0.475*44/12</f>
        <v>1.9670475739227884</v>
      </c>
      <c r="AW65" s="21">
        <f>EXP(-LN(2)/2)*AW64+(1-EXP(-LN(2)/2))/(LN(2)/2)*AQ65*AT65*VLOOKUP('Données projet'!$B$10,Paramètres!$A$1:$I$89,3,0)*0.475*44/12</f>
        <v>9.3287818772621849E-5</v>
      </c>
      <c r="AX65" s="21">
        <f t="shared" si="6"/>
        <v>2.4273372342429393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15.3</v>
      </c>
      <c r="BD65" s="12">
        <f>IF('Données projet'!$A$88&gt;35,BD64+BC65-BL64,IF(A65&lt;'Données projet'!$A$88,$BA$205^A65,IF(A65='Données projet'!$A$88,'Données projet'!$B$88,BD64+BC65-BL64)))</f>
        <v>500.59999999999962</v>
      </c>
      <c r="BE65" s="13">
        <f>BD65*VLOOKUP('Données projet'!$B$11,Paramètres!$A$1:$I$89,3,0)*VLOOKUP('Données projet'!$B$11,Paramètres!$A$1:$I$89,5,0)</f>
        <v>240.78859999999983</v>
      </c>
      <c r="BF65" s="13">
        <f t="shared" si="37"/>
        <v>58.60916920625705</v>
      </c>
      <c r="BG65" s="20">
        <f t="shared" si="7"/>
        <v>521.45111470089739</v>
      </c>
      <c r="BH65" s="59">
        <f t="shared" si="8"/>
        <v>814.78444803423076</v>
      </c>
      <c r="BI65" s="59">
        <f ca="1">AVERAGE(OFFSET($BH$3,0,0,'Données projet'!$E$11+1,1))-AVERAGE(OFFSET($H$3,0,0,'Données projet'!$E$11+1,1))</f>
        <v>252.30925789500111</v>
      </c>
      <c r="BJ65" s="59">
        <f t="shared" si="38"/>
        <v>213.96033794804805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2.4580042468249474</v>
      </c>
      <c r="BQ65" s="21">
        <f>EXP(-LN(2)/25)*BQ64+(1-EXP(-LN(2)/25))/(LN(2)/25)*Calculateur!BL65*Calculateur!BN65*VLOOKUP('Données projet'!$B$11,Paramètres!$A$1:$I$89,3,0)*0.475*44/12</f>
        <v>3.800216126475791</v>
      </c>
      <c r="BR65" s="21">
        <f>EXP(-LN(2)/2)*BR64+(1-EXP(-LN(2)/2))/(LN(2)/2)*BL65*BO65*VLOOKUP('Données projet'!$B$11,Paramètres!$A$1:$I$89,3,0)*0.475*44/12</f>
        <v>2.1938382884079114E-4</v>
      </c>
      <c r="BS65" s="22">
        <f t="shared" si="9"/>
        <v>6.2584397571295796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5.2</v>
      </c>
      <c r="N66" s="13">
        <f>IF('Données projet'!$A$36&gt;35,N65+M66-V65,IF(A66&lt;'Données projet'!$A$36,$K$205^A66,IF(A66='Données projet'!$A$36,'Données projet'!$B$36,N65+M66-V65)))</f>
        <v>149.59999999999994</v>
      </c>
      <c r="O66" s="13">
        <f>N66*VLOOKUP('Données projet'!$B$9,Paramètres!$A$1:$I$89,3,0)*VLOOKUP('Données projet'!$B$9,Paramètres!$A$1:$I$89,5,0)</f>
        <v>135.35807999999994</v>
      </c>
      <c r="P66" s="13">
        <f t="shared" si="33"/>
        <v>35.231528980112806</v>
      </c>
      <c r="Q66" s="20">
        <f t="shared" si="53"/>
        <v>297.11023564036304</v>
      </c>
      <c r="R66" s="59">
        <f t="shared" si="0"/>
        <v>590.4435689736963</v>
      </c>
      <c r="S66" s="59">
        <f ca="1">AVERAGE(OFFSET($R$3,0,0,'Données projet'!$E$9+1,1))-AVERAGE(OFFSET($H$3,0,0,'Données projet'!$E$9+1,1))</f>
        <v>138.8931001150624</v>
      </c>
      <c r="T66" s="59">
        <f t="shared" si="34"/>
        <v>48.964659354096625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7.5</v>
      </c>
      <c r="AI66" s="13">
        <f>IF('Données projet'!$A$62&gt;35,AI65+AH66-AQ65,IF(A66&lt;'Données projet'!$A$62,$AF$205^A66,IF(A66='Données projet'!$A$62,'Données projet'!$B$62,AI65+AH66-AQ65)))</f>
        <v>251.29999999999995</v>
      </c>
      <c r="AJ66" s="13">
        <f>AI66*VLOOKUP('Données projet'!$B$10,Paramètres!$A$1:$I$89,3,0)*VLOOKUP('Données projet'!$B$10,Paramètres!$A$1:$I$89,5,0)</f>
        <v>117.60839999999997</v>
      </c>
      <c r="AK66" s="13">
        <f t="shared" si="35"/>
        <v>31.11654601042537</v>
      </c>
      <c r="AL66" s="20">
        <f t="shared" si="4"/>
        <v>259.02928096815748</v>
      </c>
      <c r="AM66" s="59">
        <f t="shared" si="5"/>
        <v>552.36261430149079</v>
      </c>
      <c r="AN66" s="59">
        <f ca="1">AVERAGE(OFFSET($AM$3,0,0,'Données projet'!$E$10+1,1))-AVERAGE(OFFSET($H$3,0,0,'Données projet'!$E$10+1,1))</f>
        <v>123.60520571614535</v>
      </c>
      <c r="AO66" s="59">
        <f t="shared" si="36"/>
        <v>119.00926870519527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0.45117220232869759</v>
      </c>
      <c r="AV66" s="21">
        <f>EXP(-LN(2)/25)*AV65+(1-EXP(-LN(2)/25))/(LN(2)/25)*Calculateur!AQ66*Calculateur!AS66*VLOOKUP('Données projet'!$B$10,Paramètres!$A$1:$I$89,3,0)*0.475*44/12</f>
        <v>1.9132585545713336</v>
      </c>
      <c r="AW66" s="21">
        <f>EXP(-LN(2)/2)*AW65+(1-EXP(-LN(2)/2))/(LN(2)/2)*AQ66*AT66*VLOOKUP('Données projet'!$B$10,Paramètres!$A$1:$I$89,3,0)*0.475*44/12</f>
        <v>6.5964449256222617E-5</v>
      </c>
      <c r="AX66" s="21">
        <f t="shared" si="6"/>
        <v>2.3644967213492873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15.3</v>
      </c>
      <c r="BD66" s="12">
        <f>IF('Données projet'!$A$88&gt;35,BD65+BC66-BL65,IF(A66&lt;'Données projet'!$A$88,$BA$205^A66,IF(A66='Données projet'!$A$88,'Données projet'!$B$88,BD65+BC66-BL65)))</f>
        <v>515.89999999999964</v>
      </c>
      <c r="BE66" s="13">
        <f>BD66*VLOOKUP('Données projet'!$B$11,Paramètres!$A$1:$I$89,3,0)*VLOOKUP('Données projet'!$B$11,Paramètres!$A$1:$I$89,5,0)</f>
        <v>248.14789999999982</v>
      </c>
      <c r="BF66" s="13">
        <f t="shared" si="37"/>
        <v>60.189170038071069</v>
      </c>
      <c r="BG66" s="20">
        <f t="shared" si="7"/>
        <v>537.02039698297347</v>
      </c>
      <c r="BH66" s="59">
        <f t="shared" si="8"/>
        <v>830.35373031630684</v>
      </c>
      <c r="BI66" s="59">
        <f ca="1">AVERAGE(OFFSET($BH$3,0,0,'Données projet'!$E$11+1,1))-AVERAGE(OFFSET($H$3,0,0,'Données projet'!$E$11+1,1))</f>
        <v>252.30925789500111</v>
      </c>
      <c r="BJ66" s="59">
        <f t="shared" si="38"/>
        <v>213.96033794804805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2.4098042827792638</v>
      </c>
      <c r="BQ66" s="21">
        <f>EXP(-LN(2)/25)*BQ65+(1-EXP(-LN(2)/25))/(LN(2)/25)*Calculateur!BL66*Calculateur!BN66*VLOOKUP('Données projet'!$B$11,Paramètres!$A$1:$I$89,3,0)*0.475*44/12</f>
        <v>3.6962990166526297</v>
      </c>
      <c r="BR66" s="21">
        <f>EXP(-LN(2)/2)*BR65+(1-EXP(-LN(2)/2))/(LN(2)/2)*BL66*BO66*VLOOKUP('Données projet'!$B$11,Paramètres!$A$1:$I$89,3,0)*0.475*44/12</f>
        <v>1.5512779305599229E-4</v>
      </c>
      <c r="BS66" s="22">
        <f t="shared" si="9"/>
        <v>6.1062584272249492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5.2</v>
      </c>
      <c r="N67" s="13">
        <f>IF('Données projet'!$A$36&gt;35,N66+M67-V66,IF(A67&lt;'Données projet'!$A$36,$K$205^A67,IF(A67='Données projet'!$A$36,'Données projet'!$B$36,N66+M67-V66)))</f>
        <v>154.79999999999993</v>
      </c>
      <c r="O67" s="13">
        <f>N67*VLOOKUP('Données projet'!$B$9,Paramètres!$A$1:$I$89,3,0)*VLOOKUP('Données projet'!$B$9,Paramètres!$A$1:$I$89,5,0)</f>
        <v>140.06303999999992</v>
      </c>
      <c r="P67" s="13">
        <f t="shared" si="33"/>
        <v>36.311446695369504</v>
      </c>
      <c r="Q67" s="20">
        <f t="shared" ref="Q67:Q98" si="54">(O67+P67)*0.475*44/12</f>
        <v>307.18556432776842</v>
      </c>
      <c r="R67" s="59">
        <f t="shared" ref="R67:R130" si="55">Q67+(I67+J67)*44/12</f>
        <v>600.51889766110173</v>
      </c>
      <c r="S67" s="59">
        <f ca="1">AVERAGE(OFFSET($R$3,0,0,'Données projet'!$E$9+1,1))-AVERAGE(OFFSET($H$3,0,0,'Données projet'!$E$9+1,1))</f>
        <v>138.8931001150624</v>
      </c>
      <c r="T67" s="59">
        <f t="shared" si="34"/>
        <v>48.964659354096625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7.5</v>
      </c>
      <c r="AI67" s="13">
        <f>IF('Données projet'!$A$62&gt;35,AI66+AH67-AQ66,IF(A67&lt;'Données projet'!$A$62,$AF$205^A67,IF(A67='Données projet'!$A$62,'Données projet'!$B$62,AI66+AH67-AQ66)))</f>
        <v>258.79999999999995</v>
      </c>
      <c r="AJ67" s="13">
        <f>AI67*VLOOKUP('Données projet'!$B$10,Paramètres!$A$1:$I$89,3,0)*VLOOKUP('Données projet'!$B$10,Paramètres!$A$1:$I$89,5,0)</f>
        <v>121.11839999999998</v>
      </c>
      <c r="AK67" s="13">
        <f t="shared" si="35"/>
        <v>31.935706725782151</v>
      </c>
      <c r="AL67" s="20">
        <f t="shared" si="4"/>
        <v>266.56923588073721</v>
      </c>
      <c r="AM67" s="59">
        <f t="shared" si="5"/>
        <v>559.90256921407058</v>
      </c>
      <c r="AN67" s="59">
        <f ca="1">AVERAGE(OFFSET($AM$3,0,0,'Données projet'!$E$10+1,1))-AVERAGE(OFFSET($H$3,0,0,'Données projet'!$E$10+1,1))</f>
        <v>123.60520571614535</v>
      </c>
      <c r="AO67" s="59">
        <f t="shared" si="36"/>
        <v>119.00926870519527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0.44232499062890268</v>
      </c>
      <c r="AV67" s="21">
        <f>EXP(-LN(2)/25)*AV66+(1-EXP(-LN(2)/25))/(LN(2)/25)*Calculateur!AQ67*Calculateur!AS67*VLOOKUP('Données projet'!$B$10,Paramètres!$A$1:$I$89,3,0)*0.475*44/12</f>
        <v>1.860940398782686</v>
      </c>
      <c r="AW67" s="21">
        <f>EXP(-LN(2)/2)*AW66+(1-EXP(-LN(2)/2))/(LN(2)/2)*AQ67*AT67*VLOOKUP('Données projet'!$B$10,Paramètres!$A$1:$I$89,3,0)*0.475*44/12</f>
        <v>4.6643909386310924E-5</v>
      </c>
      <c r="AX67" s="21">
        <f t="shared" si="6"/>
        <v>2.3033120333209753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15.3</v>
      </c>
      <c r="BD67" s="12">
        <f>IF('Données projet'!$A$88&gt;35,BD66+BC67-BL66,IF(A67&lt;'Données projet'!$A$88,$BA$205^A67,IF(A67='Données projet'!$A$88,'Données projet'!$B$88,BD66+BC67-BL66)))</f>
        <v>531.19999999999959</v>
      </c>
      <c r="BE67" s="13">
        <f>BD67*VLOOKUP('Données projet'!$B$11,Paramètres!$A$1:$I$89,3,0)*VLOOKUP('Données projet'!$B$11,Paramètres!$A$1:$I$89,5,0)</f>
        <v>255.50719999999981</v>
      </c>
      <c r="BF67" s="13">
        <f t="shared" si="37"/>
        <v>61.763725165286317</v>
      </c>
      <c r="BG67" s="20">
        <f t="shared" si="7"/>
        <v>552.5801946628734</v>
      </c>
      <c r="BH67" s="59">
        <f t="shared" si="8"/>
        <v>845.91352799620677</v>
      </c>
      <c r="BI67" s="59">
        <f ca="1">AVERAGE(OFFSET($BH$3,0,0,'Données projet'!$E$11+1,1))-AVERAGE(OFFSET($H$3,0,0,'Données projet'!$E$11+1,1))</f>
        <v>252.30925789500111</v>
      </c>
      <c r="BJ67" s="59">
        <f t="shared" si="38"/>
        <v>213.96033794804805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2.3625494906294406</v>
      </c>
      <c r="BQ67" s="21">
        <f>EXP(-LN(2)/25)*BQ66+(1-EXP(-LN(2)/25))/(LN(2)/25)*Calculateur!BL67*Calculateur!BN67*VLOOKUP('Données projet'!$B$11,Paramètres!$A$1:$I$89,3,0)*0.475*44/12</f>
        <v>3.5952235256623464</v>
      </c>
      <c r="BR67" s="21">
        <f>EXP(-LN(2)/2)*BR66+(1-EXP(-LN(2)/2))/(LN(2)/2)*BL67*BO67*VLOOKUP('Données projet'!$B$11,Paramètres!$A$1:$I$89,3,0)*0.475*44/12</f>
        <v>1.0969191442039557E-4</v>
      </c>
      <c r="BS67" s="22">
        <f t="shared" si="9"/>
        <v>5.9578827082062071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5.2</v>
      </c>
      <c r="N68" s="13">
        <f>IF('Données projet'!$A$36&gt;35,N67+M68-V67,IF(A68&lt;'Données projet'!$A$36,$K$205^A68,IF(A68='Données projet'!$A$36,'Données projet'!$B$36,N67+M68-V67)))</f>
        <v>159.99999999999991</v>
      </c>
      <c r="O68" s="13">
        <f>N68*VLOOKUP('Données projet'!$B$9,Paramètres!$A$1:$I$89,3,0)*VLOOKUP('Données projet'!$B$9,Paramètres!$A$1:$I$89,5,0)</f>
        <v>144.76799999999992</v>
      </c>
      <c r="P68" s="13">
        <f t="shared" si="33"/>
        <v>37.387149255707826</v>
      </c>
      <c r="Q68" s="20">
        <f t="shared" si="54"/>
        <v>317.2535516203576</v>
      </c>
      <c r="R68" s="59">
        <f t="shared" si="55"/>
        <v>610.58688495369097</v>
      </c>
      <c r="S68" s="59">
        <f ca="1">AVERAGE(OFFSET($R$3,0,0,'Données projet'!$E$9+1,1))-AVERAGE(OFFSET($H$3,0,0,'Données projet'!$E$9+1,1))</f>
        <v>138.8931001150624</v>
      </c>
      <c r="T68" s="59">
        <f t="shared" si="34"/>
        <v>48.964659354096625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7.5</v>
      </c>
      <c r="AI68" s="13">
        <f>IF('Données projet'!$A$62&gt;35,AI67+AH68-AQ67,IF(A68&lt;'Données projet'!$A$62,$AF$205^A68,IF(A68='Données projet'!$A$62,'Données projet'!$B$62,AI67+AH68-AQ67)))</f>
        <v>266.29999999999995</v>
      </c>
      <c r="AJ68" s="13">
        <f>AI68*VLOOKUP('Données projet'!$B$10,Paramètres!$A$1:$I$89,3,0)*VLOOKUP('Données projet'!$B$10,Paramètres!$A$1:$I$89,5,0)</f>
        <v>124.62839999999998</v>
      </c>
      <c r="AK68" s="13">
        <f t="shared" si="35"/>
        <v>32.752108445357337</v>
      </c>
      <c r="AL68" s="20">
        <f t="shared" ref="AL68:AL131" si="58">(AJ68+AK68)*0.475*44/12</f>
        <v>274.10438554233065</v>
      </c>
      <c r="AM68" s="59">
        <f t="shared" ref="AM68:AM131" si="59">AL68+(AD68+AE68)*44/12</f>
        <v>567.4377188756639</v>
      </c>
      <c r="AN68" s="59">
        <f ca="1">AVERAGE(OFFSET($AM$3,0,0,'Données projet'!$E$10+1,1))-AVERAGE(OFFSET($H$3,0,0,'Données projet'!$E$10+1,1))</f>
        <v>123.60520571614535</v>
      </c>
      <c r="AO68" s="59">
        <f t="shared" si="36"/>
        <v>119.00926870519527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0.43365126735427445</v>
      </c>
      <c r="AV68" s="21">
        <f>EXP(-LN(2)/25)*AV67+(1-EXP(-LN(2)/25))/(LN(2)/25)*Calculateur!AQ68*Calculateur!AS68*VLOOKUP('Données projet'!$B$10,Paramètres!$A$1:$I$89,3,0)*0.475*44/12</f>
        <v>1.810052885715371</v>
      </c>
      <c r="AW68" s="21">
        <f>EXP(-LN(2)/2)*AW67+(1-EXP(-LN(2)/2))/(LN(2)/2)*AQ68*AT68*VLOOKUP('Données projet'!$B$10,Paramètres!$A$1:$I$89,3,0)*0.475*44/12</f>
        <v>3.2982224628111308E-5</v>
      </c>
      <c r="AX68" s="21">
        <f t="shared" ref="AX68:AX131" si="60">SUM(AU68:AW68)</f>
        <v>2.2437371352942739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15.3</v>
      </c>
      <c r="BD68" s="12">
        <f>IF('Données projet'!$A$88&gt;35,BD67+BC68-BL67,IF(A68&lt;'Données projet'!$A$88,$BA$205^A68,IF(A68='Données projet'!$A$88,'Données projet'!$B$88,BD67+BC68-BL67)))</f>
        <v>546.49999999999955</v>
      </c>
      <c r="BE68" s="13">
        <f>BD68*VLOOKUP('Données projet'!$B$11,Paramètres!$A$1:$I$89,3,0)*VLOOKUP('Données projet'!$B$11,Paramètres!$A$1:$I$89,5,0)</f>
        <v>262.8664999999998</v>
      </c>
      <c r="BF68" s="13">
        <f t="shared" si="37"/>
        <v>63.33300945221184</v>
      </c>
      <c r="BG68" s="20">
        <f t="shared" ref="BG68:BG131" si="61">(BE68+BF68)*0.475*44/12</f>
        <v>568.13081229593536</v>
      </c>
      <c r="BH68" s="59">
        <f t="shared" ref="BH68:BH131" si="62">BG68+(AY68+AZ68)*44/12</f>
        <v>861.46414562926861</v>
      </c>
      <c r="BI68" s="59">
        <f ca="1">AVERAGE(OFFSET($BH$3,0,0,'Données projet'!$E$11+1,1))-AVERAGE(OFFSET($H$3,0,0,'Données projet'!$E$11+1,1))</f>
        <v>252.30925789500111</v>
      </c>
      <c r="BJ68" s="59">
        <f t="shared" si="38"/>
        <v>213.96033794804805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2.3162213361310986</v>
      </c>
      <c r="BQ68" s="21">
        <f>EXP(-LN(2)/25)*BQ67+(1-EXP(-LN(2)/25))/(LN(2)/25)*Calculateur!BL68*Calculateur!BN68*VLOOKUP('Données projet'!$B$11,Paramètres!$A$1:$I$89,3,0)*0.475*44/12</f>
        <v>3.4969119492885214</v>
      </c>
      <c r="BR68" s="21">
        <f>EXP(-LN(2)/2)*BR67+(1-EXP(-LN(2)/2))/(LN(2)/2)*BL68*BO68*VLOOKUP('Données projet'!$B$11,Paramètres!$A$1:$I$89,3,0)*0.475*44/12</f>
        <v>7.7563896527996145E-5</v>
      </c>
      <c r="BS68" s="22">
        <f t="shared" ref="BS68:BS131" si="63">SUM(BP68:BR68)</f>
        <v>5.8132108493161478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5.2</v>
      </c>
      <c r="N69" s="13">
        <f>IF('Données projet'!$A$36&gt;35,N68+M69-V68,IF(A69&lt;'Données projet'!$A$36,$K$205^A69,IF(A69='Données projet'!$A$36,'Données projet'!$B$36,N68+M69-V68)))</f>
        <v>165.1999999999999</v>
      </c>
      <c r="O69" s="13">
        <f>N69*VLOOKUP('Données projet'!$B$9,Paramètres!$A$1:$I$89,3,0)*VLOOKUP('Données projet'!$B$9,Paramètres!$A$1:$I$89,5,0)</f>
        <v>149.47295999999989</v>
      </c>
      <c r="P69" s="13">
        <f t="shared" ref="P69:P132" si="87">EXP(-1.0587+0.8836*LN(O69)+0.284)</f>
        <v>38.458789365254951</v>
      </c>
      <c r="Q69" s="20">
        <f t="shared" si="54"/>
        <v>327.31446347781883</v>
      </c>
      <c r="R69" s="59">
        <f t="shared" si="55"/>
        <v>620.64779681115215</v>
      </c>
      <c r="S69" s="59">
        <f ca="1">AVERAGE(OFFSET($R$3,0,0,'Données projet'!$E$9+1,1))-AVERAGE(OFFSET($H$3,0,0,'Données projet'!$E$9+1,1))</f>
        <v>138.8931001150624</v>
      </c>
      <c r="T69" s="59">
        <f t="shared" ref="T69:T132" si="88">$T$3</f>
        <v>48.964659354096625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7.5</v>
      </c>
      <c r="AI69" s="13">
        <f>IF('Données projet'!$A$62&gt;35,AI68+AH69-AQ68,IF(A69&lt;'Données projet'!$A$62,$AF$205^A69,IF(A69='Données projet'!$A$62,'Données projet'!$B$62,AI68+AH69-AQ68)))</f>
        <v>273.79999999999995</v>
      </c>
      <c r="AJ69" s="13">
        <f>AI69*VLOOKUP('Données projet'!$B$10,Paramètres!$A$1:$I$89,3,0)*VLOOKUP('Données projet'!$B$10,Paramètres!$A$1:$I$89,5,0)</f>
        <v>128.13839999999999</v>
      </c>
      <c r="AK69" s="13">
        <f t="shared" ref="AK69:AK132" si="89">EXP(-1.0587+0.8836*LN(AJ69)+0.284)</f>
        <v>33.565837798615647</v>
      </c>
      <c r="AL69" s="20">
        <f t="shared" si="58"/>
        <v>281.63488083258886</v>
      </c>
      <c r="AM69" s="59">
        <f t="shared" si="59"/>
        <v>574.96821416592218</v>
      </c>
      <c r="AN69" s="59">
        <f ca="1">AVERAGE(OFFSET($AM$3,0,0,'Données projet'!$E$10+1,1))-AVERAGE(OFFSET($H$3,0,0,'Données projet'!$E$10+1,1))</f>
        <v>123.60520571614535</v>
      </c>
      <c r="AO69" s="59">
        <f t="shared" ref="AO69:AO132" si="90">$AO$3</f>
        <v>119.00926870519527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0.42514763050261289</v>
      </c>
      <c r="AV69" s="21">
        <f>EXP(-LN(2)/25)*AV68+(1-EXP(-LN(2)/25))/(LN(2)/25)*Calculateur!AQ69*Calculateur!AS69*VLOOKUP('Données projet'!$B$10,Paramètres!$A$1:$I$89,3,0)*0.475*44/12</f>
        <v>1.7605568943689398</v>
      </c>
      <c r="AW69" s="21">
        <f>EXP(-LN(2)/2)*AW68+(1-EXP(-LN(2)/2))/(LN(2)/2)*AQ69*AT69*VLOOKUP('Données projet'!$B$10,Paramètres!$A$1:$I$89,3,0)*0.475*44/12</f>
        <v>2.3321954693155462E-5</v>
      </c>
      <c r="AX69" s="21">
        <f t="shared" si="60"/>
        <v>2.185727846826246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15.3</v>
      </c>
      <c r="BD69" s="12">
        <f>IF('Données projet'!$A$88&gt;35,BD68+BC69-BL68,IF(A69&lt;'Données projet'!$A$88,$BA$205^A69,IF(A69='Données projet'!$A$88,'Données projet'!$B$88,BD68+BC69-BL68)))</f>
        <v>561.7999999999995</v>
      </c>
      <c r="BE69" s="13">
        <f>BD69*VLOOKUP('Données projet'!$B$11,Paramètres!$A$1:$I$89,3,0)*VLOOKUP('Données projet'!$B$11,Paramètres!$A$1:$I$89,5,0)</f>
        <v>270.22579999999977</v>
      </c>
      <c r="BF69" s="13">
        <f t="shared" ref="BF69:BF132" si="91">EXP(-1.0587+0.8836*LN(BE69)+0.284)</f>
        <v>64.897187414967973</v>
      </c>
      <c r="BG69" s="20">
        <f t="shared" si="61"/>
        <v>583.67253641440209</v>
      </c>
      <c r="BH69" s="59">
        <f t="shared" si="62"/>
        <v>877.00586974773546</v>
      </c>
      <c r="BI69" s="59">
        <f ca="1">AVERAGE(OFFSET($BH$3,0,0,'Données projet'!$E$11+1,1))-AVERAGE(OFFSET($H$3,0,0,'Données projet'!$E$11+1,1))</f>
        <v>252.30925789500111</v>
      </c>
      <c r="BJ69" s="59">
        <f t="shared" ref="BJ69:BJ132" si="92">$BJ$3</f>
        <v>213.96033794804805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2.2708016484850848</v>
      </c>
      <c r="BQ69" s="21">
        <f>EXP(-LN(2)/25)*BQ68+(1-EXP(-LN(2)/25))/(LN(2)/25)*Calculateur!BL69*Calculateur!BN69*VLOOKUP('Données projet'!$B$11,Paramètres!$A$1:$I$89,3,0)*0.475*44/12</f>
        <v>3.4012887081406196</v>
      </c>
      <c r="BR69" s="21">
        <f>EXP(-LN(2)/2)*BR68+(1-EXP(-LN(2)/2))/(LN(2)/2)*BL69*BO69*VLOOKUP('Données projet'!$B$11,Paramètres!$A$1:$I$89,3,0)*0.475*44/12</f>
        <v>5.4845957210197784E-5</v>
      </c>
      <c r="BS69" s="22">
        <f t="shared" si="63"/>
        <v>5.6721452025829144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5.2</v>
      </c>
      <c r="N70" s="13">
        <f>IF('Données projet'!$A$36&gt;35,N69+M70-V69,IF(A70&lt;'Données projet'!$A$36,$K$205^A70,IF(A70='Données projet'!$A$36,'Données projet'!$B$36,N69+M70-V69)))</f>
        <v>170.39999999999989</v>
      </c>
      <c r="O70" s="13">
        <f>N70*VLOOKUP('Données projet'!$B$9,Paramètres!$A$1:$I$89,3,0)*VLOOKUP('Données projet'!$B$9,Paramètres!$A$1:$I$89,5,0)</f>
        <v>154.17791999999992</v>
      </c>
      <c r="P70" s="13">
        <f t="shared" si="87"/>
        <v>39.526509568829233</v>
      </c>
      <c r="Q70" s="20">
        <f t="shared" si="54"/>
        <v>337.36854816571076</v>
      </c>
      <c r="R70" s="59">
        <f t="shared" si="55"/>
        <v>630.70188149904402</v>
      </c>
      <c r="S70" s="59">
        <f ca="1">AVERAGE(OFFSET($R$3,0,0,'Données projet'!$E$9+1,1))-AVERAGE(OFFSET($H$3,0,0,'Données projet'!$E$9+1,1))</f>
        <v>138.8931001150624</v>
      </c>
      <c r="T70" s="59">
        <f t="shared" si="88"/>
        <v>48.964659354096625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7.5</v>
      </c>
      <c r="AI70" s="13">
        <f>IF('Données projet'!$A$62&gt;35,AI69+AH70-AQ69,IF(A70&lt;'Données projet'!$A$62,$AF$205^A70,IF(A70='Données projet'!$A$62,'Données projet'!$B$62,AI69+AH70-AQ69)))</f>
        <v>281.29999999999995</v>
      </c>
      <c r="AJ70" s="13">
        <f>AI70*VLOOKUP('Données projet'!$B$10,Paramètres!$A$1:$I$89,3,0)*VLOOKUP('Données projet'!$B$10,Paramètres!$A$1:$I$89,5,0)</f>
        <v>131.64839999999998</v>
      </c>
      <c r="AK70" s="13">
        <f t="shared" si="89"/>
        <v>34.376976398956401</v>
      </c>
      <c r="AL70" s="20">
        <f t="shared" si="58"/>
        <v>289.160863894849</v>
      </c>
      <c r="AM70" s="59">
        <f t="shared" si="59"/>
        <v>582.49419722818232</v>
      </c>
      <c r="AN70" s="59">
        <f ca="1">AVERAGE(OFFSET($AM$3,0,0,'Données projet'!$E$10+1,1))-AVERAGE(OFFSET($H$3,0,0,'Données projet'!$E$10+1,1))</f>
        <v>123.60520571614535</v>
      </c>
      <c r="AO70" s="59">
        <f t="shared" si="90"/>
        <v>119.00926870519527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0.41681074478290608</v>
      </c>
      <c r="AV70" s="21">
        <f>EXP(-LN(2)/25)*AV69+(1-EXP(-LN(2)/25))/(LN(2)/25)*Calculateur!AQ70*Calculateur!AS70*VLOOKUP('Données projet'!$B$10,Paramètres!$A$1:$I$89,3,0)*0.475*44/12</f>
        <v>1.7124143735087578</v>
      </c>
      <c r="AW70" s="21">
        <f>EXP(-LN(2)/2)*AW69+(1-EXP(-LN(2)/2))/(LN(2)/2)*AQ70*AT70*VLOOKUP('Données projet'!$B$10,Paramètres!$A$1:$I$89,3,0)*0.475*44/12</f>
        <v>1.6491112314055654E-5</v>
      </c>
      <c r="AX70" s="21">
        <f t="shared" si="60"/>
        <v>2.1292416094039779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15.3</v>
      </c>
      <c r="BD70" s="12">
        <f>IF('Données projet'!$A$88&gt;35,BD69+BC70-BL69,IF(A70&lt;'Données projet'!$A$88,$BA$205^A70,IF(A70='Données projet'!$A$88,'Données projet'!$B$88,BD69+BC70-BL69)))</f>
        <v>577.09999999999945</v>
      </c>
      <c r="BE70" s="13">
        <f>BD70*VLOOKUP('Données projet'!$B$11,Paramètres!$A$1:$I$89,3,0)*VLOOKUP('Données projet'!$B$11,Paramètres!$A$1:$I$89,5,0)</f>
        <v>277.58509999999973</v>
      </c>
      <c r="BF70" s="13">
        <f t="shared" si="91"/>
        <v>66.45641409880281</v>
      </c>
      <c r="BG70" s="20">
        <f t="shared" si="61"/>
        <v>599.2056370554144</v>
      </c>
      <c r="BH70" s="59">
        <f t="shared" si="62"/>
        <v>892.53897038874766</v>
      </c>
      <c r="BI70" s="59">
        <f ca="1">AVERAGE(OFFSET($BH$3,0,0,'Données projet'!$E$11+1,1))-AVERAGE(OFFSET($H$3,0,0,'Données projet'!$E$11+1,1))</f>
        <v>252.30925789500111</v>
      </c>
      <c r="BJ70" s="59">
        <f t="shared" si="92"/>
        <v>213.96033794804805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2.2262726132105355</v>
      </c>
      <c r="BQ70" s="21">
        <f>EXP(-LN(2)/25)*BQ69+(1-EXP(-LN(2)/25))/(LN(2)/25)*Calculateur!BL70*Calculateur!BN70*VLOOKUP('Données projet'!$B$11,Paramètres!$A$1:$I$89,3,0)*0.475*44/12</f>
        <v>3.308280289550515</v>
      </c>
      <c r="BR70" s="21">
        <f>EXP(-LN(2)/2)*BR69+(1-EXP(-LN(2)/2))/(LN(2)/2)*BL70*BO70*VLOOKUP('Données projet'!$B$11,Paramètres!$A$1:$I$89,3,0)*0.475*44/12</f>
        <v>3.8781948263998072E-5</v>
      </c>
      <c r="BS70" s="22">
        <f t="shared" si="63"/>
        <v>5.5345916847093148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5.2</v>
      </c>
      <c r="N71" s="13">
        <f>IF('Données projet'!$A$36&gt;35,N70+M71-V70,IF(A71&lt;'Données projet'!$A$36,$K$205^A71,IF(A71='Données projet'!$A$36,'Données projet'!$B$36,N70+M71-V70)))</f>
        <v>175.59999999999988</v>
      </c>
      <c r="O71" s="13">
        <f>N71*VLOOKUP('Données projet'!$B$9,Paramètres!$A$1:$I$89,3,0)*VLOOKUP('Données projet'!$B$9,Paramètres!$A$1:$I$89,5,0)</f>
        <v>158.88287999999989</v>
      </c>
      <c r="P71" s="13">
        <f t="shared" si="87"/>
        <v>40.590443217000136</v>
      </c>
      <c r="Q71" s="20">
        <f t="shared" si="54"/>
        <v>347.41603793627502</v>
      </c>
      <c r="R71" s="59">
        <f t="shared" si="55"/>
        <v>640.74937126960833</v>
      </c>
      <c r="S71" s="59">
        <f ca="1">AVERAGE(OFFSET($R$3,0,0,'Données projet'!$E$9+1,1))-AVERAGE(OFFSET($H$3,0,0,'Données projet'!$E$9+1,1))</f>
        <v>138.8931001150624</v>
      </c>
      <c r="T71" s="59">
        <f t="shared" si="88"/>
        <v>48.964659354096625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7.5</v>
      </c>
      <c r="AI71" s="13">
        <f>IF('Données projet'!$A$62&gt;35,AI70+AH71-AQ70,IF(A71&lt;'Données projet'!$A$62,$AF$205^A71,IF(A71='Données projet'!$A$62,'Données projet'!$B$62,AI70+AH71-AQ70)))</f>
        <v>288.79999999999995</v>
      </c>
      <c r="AJ71" s="13">
        <f>AI71*VLOOKUP('Données projet'!$B$10,Paramètres!$A$1:$I$89,3,0)*VLOOKUP('Données projet'!$B$10,Paramètres!$A$1:$I$89,5,0)</f>
        <v>135.15839999999997</v>
      </c>
      <c r="AK71" s="13">
        <f t="shared" si="89"/>
        <v>35.185601260047996</v>
      </c>
      <c r="AL71" s="20">
        <f t="shared" si="58"/>
        <v>296.68246886125024</v>
      </c>
      <c r="AM71" s="59">
        <f t="shared" si="59"/>
        <v>590.01580219458356</v>
      </c>
      <c r="AN71" s="59">
        <f ca="1">AVERAGE(OFFSET($AM$3,0,0,'Données projet'!$E$10+1,1))-AVERAGE(OFFSET($H$3,0,0,'Données projet'!$E$10+1,1))</f>
        <v>123.60520571614535</v>
      </c>
      <c r="AO71" s="59">
        <f t="shared" si="90"/>
        <v>119.00926870519527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0.40863734030716453</v>
      </c>
      <c r="AV71" s="21">
        <f>EXP(-LN(2)/25)*AV70+(1-EXP(-LN(2)/25))/(LN(2)/25)*Calculateur!AQ71*Calculateur!AS71*VLOOKUP('Données projet'!$B$10,Paramètres!$A$1:$I$89,3,0)*0.475*44/12</f>
        <v>1.6655883124132027</v>
      </c>
      <c r="AW71" s="21">
        <f>EXP(-LN(2)/2)*AW70+(1-EXP(-LN(2)/2))/(LN(2)/2)*AQ71*AT71*VLOOKUP('Données projet'!$B$10,Paramètres!$A$1:$I$89,3,0)*0.475*44/12</f>
        <v>1.1660977346577731E-5</v>
      </c>
      <c r="AX71" s="21">
        <f t="shared" si="60"/>
        <v>2.0742373136977137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15.3</v>
      </c>
      <c r="BD71" s="12">
        <f>IF('Données projet'!$A$88&gt;35,BD70+BC71-BL70,IF(A71&lt;'Données projet'!$A$88,$BA$205^A71,IF(A71='Données projet'!$A$88,'Données projet'!$B$88,BD70+BC71-BL70)))</f>
        <v>592.39999999999941</v>
      </c>
      <c r="BE71" s="13">
        <f>BD71*VLOOKUP('Données projet'!$B$11,Paramètres!$A$1:$I$89,3,0)*VLOOKUP('Données projet'!$B$11,Paramètres!$A$1:$I$89,5,0)</f>
        <v>284.94439999999975</v>
      </c>
      <c r="BF71" s="13">
        <f t="shared" si="91"/>
        <v>68.010835859755218</v>
      </c>
      <c r="BG71" s="20">
        <f t="shared" si="61"/>
        <v>614.73036912240661</v>
      </c>
      <c r="BH71" s="59">
        <f t="shared" si="62"/>
        <v>908.06370245573999</v>
      </c>
      <c r="BI71" s="59">
        <f ca="1">AVERAGE(OFFSET($BH$3,0,0,'Données projet'!$E$11+1,1))-AVERAGE(OFFSET($H$3,0,0,'Données projet'!$E$11+1,1))</f>
        <v>252.30925789500111</v>
      </c>
      <c r="BJ71" s="59">
        <f t="shared" si="92"/>
        <v>213.96033794804805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2.1826167651576904</v>
      </c>
      <c r="BQ71" s="21">
        <f>EXP(-LN(2)/25)*BQ70+(1-EXP(-LN(2)/25))/(LN(2)/25)*Calculateur!BL71*Calculateur!BN71*VLOOKUP('Données projet'!$B$11,Paramètres!$A$1:$I$89,3,0)*0.475*44/12</f>
        <v>3.217815191057857</v>
      </c>
      <c r="BR71" s="21">
        <f>EXP(-LN(2)/2)*BR70+(1-EXP(-LN(2)/2))/(LN(2)/2)*BL71*BO71*VLOOKUP('Données projet'!$B$11,Paramètres!$A$1:$I$89,3,0)*0.475*44/12</f>
        <v>2.7422978605098892E-5</v>
      </c>
      <c r="BS71" s="22">
        <f t="shared" si="63"/>
        <v>5.4004593791941522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5.2</v>
      </c>
      <c r="N72" s="13">
        <f>IF('Données projet'!$A$36&gt;35,N71+M72-V71,IF(A72&lt;'Données projet'!$A$36,$K$205^A72,IF(A72='Données projet'!$A$36,'Données projet'!$B$36,N71+M72-V71)))</f>
        <v>180.79999999999987</v>
      </c>
      <c r="O72" s="13">
        <f>N72*VLOOKUP('Données projet'!$B$9,Paramètres!$A$1:$I$89,3,0)*VLOOKUP('Données projet'!$B$9,Paramètres!$A$1:$I$89,5,0)</f>
        <v>163.58783999999989</v>
      </c>
      <c r="P72" s="13">
        <f t="shared" si="87"/>
        <v>41.650715313623969</v>
      </c>
      <c r="Q72" s="20">
        <f t="shared" si="54"/>
        <v>357.45715050456153</v>
      </c>
      <c r="R72" s="59">
        <f t="shared" si="55"/>
        <v>650.79048383789484</v>
      </c>
      <c r="S72" s="59">
        <f ca="1">AVERAGE(OFFSET($R$3,0,0,'Données projet'!$E$9+1,1))-AVERAGE(OFFSET($H$3,0,0,'Données projet'!$E$9+1,1))</f>
        <v>138.8931001150624</v>
      </c>
      <c r="T72" s="59">
        <f t="shared" si="88"/>
        <v>48.964659354096625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7.5</v>
      </c>
      <c r="AI72" s="13">
        <f>IF('Données projet'!$A$62&gt;35,AI71+AH72-AQ71,IF(A72&lt;'Données projet'!$A$62,$AF$205^A72,IF(A72='Données projet'!$A$62,'Données projet'!$B$62,AI71+AH72-AQ71)))</f>
        <v>296.29999999999995</v>
      </c>
      <c r="AJ72" s="13">
        <f>AI72*VLOOKUP('Données projet'!$B$10,Paramètres!$A$1:$I$89,3,0)*VLOOKUP('Données projet'!$B$10,Paramètres!$A$1:$I$89,5,0)</f>
        <v>138.66839999999996</v>
      </c>
      <c r="AK72" s="13">
        <f t="shared" si="89"/>
        <v>35.991785167697529</v>
      </c>
      <c r="AL72" s="20">
        <f t="shared" si="58"/>
        <v>304.19982250040647</v>
      </c>
      <c r="AM72" s="59">
        <f t="shared" si="59"/>
        <v>597.53315583373978</v>
      </c>
      <c r="AN72" s="59">
        <f ca="1">AVERAGE(OFFSET($AM$3,0,0,'Données projet'!$E$10+1,1))-AVERAGE(OFFSET($H$3,0,0,'Données projet'!$E$10+1,1))</f>
        <v>123.60520571614535</v>
      </c>
      <c r="AO72" s="59">
        <f t="shared" si="90"/>
        <v>119.00926870519527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0.40062421130790782</v>
      </c>
      <c r="AV72" s="21">
        <f>EXP(-LN(2)/25)*AV71+(1-EXP(-LN(2)/25))/(LN(2)/25)*Calculateur!AQ72*Calculateur!AS72*VLOOKUP('Données projet'!$B$10,Paramètres!$A$1:$I$89,3,0)*0.475*44/12</f>
        <v>1.620042712420781</v>
      </c>
      <c r="AW72" s="21">
        <f>EXP(-LN(2)/2)*AW71+(1-EXP(-LN(2)/2))/(LN(2)/2)*AQ72*AT72*VLOOKUP('Données projet'!$B$10,Paramètres!$A$1:$I$89,3,0)*0.475*44/12</f>
        <v>8.2455561570278271E-6</v>
      </c>
      <c r="AX72" s="21">
        <f t="shared" si="60"/>
        <v>2.0206751692848459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15.3</v>
      </c>
      <c r="BD72" s="12">
        <f>IF('Données projet'!$A$88&gt;35,BD71+BC72-BL71,IF(A72&lt;'Données projet'!$A$88,$BA$205^A72,IF(A72='Données projet'!$A$88,'Données projet'!$B$88,BD71+BC72-BL71)))</f>
        <v>607.69999999999936</v>
      </c>
      <c r="BE72" s="13">
        <f>BD72*VLOOKUP('Données projet'!$B$11,Paramètres!$A$1:$I$89,3,0)*VLOOKUP('Données projet'!$B$11,Paramètres!$A$1:$I$89,5,0)</f>
        <v>292.30369999999971</v>
      </c>
      <c r="BF72" s="13">
        <f t="shared" si="91"/>
        <v>69.560591063292193</v>
      </c>
      <c r="BG72" s="20">
        <f t="shared" si="61"/>
        <v>630.24697360189998</v>
      </c>
      <c r="BH72" s="59">
        <f t="shared" si="62"/>
        <v>923.58030693523324</v>
      </c>
      <c r="BI72" s="59">
        <f ca="1">AVERAGE(OFFSET($BH$3,0,0,'Données projet'!$E$11+1,1))-AVERAGE(OFFSET($H$3,0,0,'Données projet'!$E$11+1,1))</f>
        <v>252.30925789500111</v>
      </c>
      <c r="BJ72" s="59">
        <f t="shared" si="92"/>
        <v>213.96033794804805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2.1398169816577233</v>
      </c>
      <c r="BQ72" s="21">
        <f>EXP(-LN(2)/25)*BQ71+(1-EXP(-LN(2)/25))/(LN(2)/25)*Calculateur!BL72*Calculateur!BN72*VLOOKUP('Données projet'!$B$11,Paramètres!$A$1:$I$89,3,0)*0.475*44/12</f>
        <v>3.1298238654408332</v>
      </c>
      <c r="BR72" s="21">
        <f>EXP(-LN(2)/2)*BR71+(1-EXP(-LN(2)/2))/(LN(2)/2)*BL72*BO72*VLOOKUP('Données projet'!$B$11,Paramètres!$A$1:$I$89,3,0)*0.475*44/12</f>
        <v>1.9390974131999036E-5</v>
      </c>
      <c r="BS72" s="22">
        <f t="shared" si="63"/>
        <v>5.2696602380726887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186</v>
      </c>
      <c r="L73" s="12">
        <f>VLOOKUP(A73,'Données projet'!$A$35:$I$55,9,0)</f>
        <v>5.2</v>
      </c>
      <c r="M73" s="12">
        <f t="array" ref="M73">INDEX(L:L,MIN(IF(ISNUMBER(L73:L269),ROW(L73:L269),"")))</f>
        <v>5.2</v>
      </c>
      <c r="N73" s="13">
        <f>IF('Données projet'!$A$36&gt;35,N72+M73-V72,IF(A73&lt;'Données projet'!$A$36,$K$205^A73,IF(A73='Données projet'!$A$36,'Données projet'!$B$36,N72+M73-V72)))</f>
        <v>185.99999999999986</v>
      </c>
      <c r="O73" s="13">
        <f>N73*VLOOKUP('Données projet'!$B$9,Paramètres!$A$1:$I$89,3,0)*VLOOKUP('Données projet'!$B$9,Paramètres!$A$1:$I$89,5,0)</f>
        <v>168.29279999999986</v>
      </c>
      <c r="P73" s="13">
        <f t="shared" si="87"/>
        <v>42.707443263135069</v>
      </c>
      <c r="Q73" s="20">
        <f t="shared" si="54"/>
        <v>367.49209034995994</v>
      </c>
      <c r="R73" s="59">
        <f t="shared" si="55"/>
        <v>660.82542368329325</v>
      </c>
      <c r="S73" s="59">
        <f ca="1">AVERAGE(OFFSET($R$3,0,0,'Données projet'!$E$9+1,1))-AVERAGE(OFFSET($H$3,0,0,'Données projet'!$E$9+1,1))</f>
        <v>138.8931001150624</v>
      </c>
      <c r="T73" s="59">
        <f t="shared" si="88"/>
        <v>48.964659354096625</v>
      </c>
      <c r="U73" s="15">
        <f>IF(ISNA(VLOOKUP(A73,'Données projet'!$A$35:$I$55,3,0)),0,VLOOKUP(A73,'Données projet'!$A$35:$I$55,3,0))</f>
        <v>4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303.8</v>
      </c>
      <c r="AG73" s="12">
        <f>VLOOKUP(A73,'Données projet'!$A$61:$I$81,9,0)</f>
        <v>7.5</v>
      </c>
      <c r="AH73" s="12">
        <f t="array" ref="AH73">INDEX(AG:AG,MIN(IF(ISNUMBER(AG73:AG269),ROW(AG73:AG269),"")))</f>
        <v>7.5</v>
      </c>
      <c r="AI73" s="13">
        <f>IF('Données projet'!$A$62&gt;35,AI72+AH73-AQ72,IF(A73&lt;'Données projet'!$A$62,$AF$205^A73,IF(A73='Données projet'!$A$62,'Données projet'!$B$62,AI72+AH73-AQ72)))</f>
        <v>303.79999999999995</v>
      </c>
      <c r="AJ73" s="13">
        <f>AI73*VLOOKUP('Données projet'!$B$10,Paramètres!$A$1:$I$89,3,0)*VLOOKUP('Données projet'!$B$10,Paramètres!$A$1:$I$89,5,0)</f>
        <v>142.17839999999998</v>
      </c>
      <c r="AK73" s="13">
        <f t="shared" si="89"/>
        <v>36.795597013009356</v>
      </c>
      <c r="AL73" s="20">
        <f t="shared" si="58"/>
        <v>311.71304479765791</v>
      </c>
      <c r="AM73" s="59">
        <f t="shared" si="59"/>
        <v>605.04637813099123</v>
      </c>
      <c r="AN73" s="59">
        <f ca="1">AVERAGE(OFFSET($AM$3,0,0,'Données projet'!$E$10+1,1))-AVERAGE(OFFSET($H$3,0,0,'Données projet'!$E$10+1,1))</f>
        <v>123.60520571614535</v>
      </c>
      <c r="AO73" s="59">
        <f t="shared" si="90"/>
        <v>119.00926870519527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46.3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0.39276821488080044</v>
      </c>
      <c r="AV73" s="21">
        <f>EXP(-LN(2)/25)*AV72+(1-EXP(-LN(2)/25))/(LN(2)/25)*Calculateur!AQ73*Calculateur!AS73*VLOOKUP('Données projet'!$B$10,Paramètres!$A$1:$I$89,3,0)*0.475*44/12</f>
        <v>1.5757425592552912</v>
      </c>
      <c r="AW73" s="21">
        <f>EXP(-LN(2)/2)*AW72+(1-EXP(-LN(2)/2))/(LN(2)/2)*AQ73*AT73*VLOOKUP('Données projet'!$B$10,Paramètres!$A$1:$I$89,3,0)*0.475*44/12</f>
        <v>5.8304886732888656E-6</v>
      </c>
      <c r="AX73" s="21">
        <f t="shared" si="60"/>
        <v>1.9685166046247649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623</v>
      </c>
      <c r="BB73" s="12">
        <f>VLOOKUP(A73,'Données projet'!$A$87:$I$107,9,0)</f>
        <v>15.3</v>
      </c>
      <c r="BC73" s="12">
        <f t="array" ref="BC73">INDEX(BB:BB,MIN(IF(ISNUMBER(BB73:BB269),ROW(BB73:BB269),"")))</f>
        <v>15.3</v>
      </c>
      <c r="BD73" s="12">
        <f>IF('Données projet'!$A$88&gt;35,BD72+BC73-BL72,IF(A73&lt;'Données projet'!$A$88,$BA$205^A73,IF(A73='Données projet'!$A$88,'Données projet'!$B$88,BD72+BC73-BL72)))</f>
        <v>622.99999999999932</v>
      </c>
      <c r="BE73" s="13">
        <f>BD73*VLOOKUP('Données projet'!$B$11,Paramètres!$A$1:$I$89,3,0)*VLOOKUP('Données projet'!$B$11,Paramètres!$A$1:$I$89,5,0)</f>
        <v>299.66299999999967</v>
      </c>
      <c r="BF73" s="13">
        <f t="shared" si="91"/>
        <v>71.105810710609106</v>
      </c>
      <c r="BG73" s="20">
        <f t="shared" si="61"/>
        <v>645.75567865431015</v>
      </c>
      <c r="BH73" s="59">
        <f t="shared" si="62"/>
        <v>939.08901198764352</v>
      </c>
      <c r="BI73" s="59">
        <f ca="1">AVERAGE(OFFSET($BH$3,0,0,'Données projet'!$E$11+1,1))-AVERAGE(OFFSET($H$3,0,0,'Données projet'!$E$11+1,1))</f>
        <v>252.30925789500111</v>
      </c>
      <c r="BJ73" s="59">
        <f t="shared" si="92"/>
        <v>213.96033794804805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78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2.0978564758069003</v>
      </c>
      <c r="BQ73" s="21">
        <f>EXP(-LN(2)/25)*BQ72+(1-EXP(-LN(2)/25))/(LN(2)/25)*Calculateur!BL73*Calculateur!BN73*VLOOKUP('Données projet'!$B$11,Paramètres!$A$1:$I$89,3,0)*0.475*44/12</f>
        <v>3.0442386672500699</v>
      </c>
      <c r="BR73" s="21">
        <f>EXP(-LN(2)/2)*BR72+(1-EXP(-LN(2)/2))/(LN(2)/2)*BL73*BO73*VLOOKUP('Données projet'!$B$11,Paramètres!$A$1:$I$89,3,0)*0.475*44/12</f>
        <v>1.3711489302549446E-5</v>
      </c>
      <c r="BS73" s="22">
        <f t="shared" si="63"/>
        <v>5.1421088545462723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4.8</v>
      </c>
      <c r="N74" s="13">
        <f>IF('Données projet'!$A$36&gt;35,N73+M74-V73,IF(A74&lt;'Données projet'!$A$36,$K$205^A74,IF(A74='Données projet'!$A$36,'Données projet'!$B$36,N73+M74-V73)))</f>
        <v>162.79999999999987</v>
      </c>
      <c r="O74" s="13">
        <f>N74*VLOOKUP('Données projet'!$B$9,Paramètres!$A$1:$I$89,3,0)*VLOOKUP('Données projet'!$B$9,Paramètres!$A$1:$I$89,5,0)</f>
        <v>147.30143999999987</v>
      </c>
      <c r="P74" s="13">
        <f t="shared" si="87"/>
        <v>37.964681731408312</v>
      </c>
      <c r="Q74" s="20">
        <f t="shared" si="54"/>
        <v>322.6718286822026</v>
      </c>
      <c r="R74" s="59">
        <f t="shared" si="55"/>
        <v>616.00516201553592</v>
      </c>
      <c r="S74" s="59">
        <f ca="1">AVERAGE(OFFSET($R$3,0,0,'Données projet'!$E$9+1,1))-AVERAGE(OFFSET($H$3,0,0,'Données projet'!$E$9+1,1))</f>
        <v>138.8931001150624</v>
      </c>
      <c r="T74" s="59">
        <f t="shared" si="88"/>
        <v>48.964659354096625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7.7</v>
      </c>
      <c r="AI74" s="13">
        <f>IF('Données projet'!$A$62&gt;35,AI73+AH74-AQ73,IF(A74&lt;'Données projet'!$A$62,$AF$205^A74,IF(A74='Données projet'!$A$62,'Données projet'!$B$62,AI73+AH74-AQ73)))</f>
        <v>265.19999999999993</v>
      </c>
      <c r="AJ74" s="13">
        <f>AI74*VLOOKUP('Données projet'!$B$10,Paramètres!$A$1:$I$89,3,0)*VLOOKUP('Données projet'!$B$10,Paramètres!$A$1:$I$89,5,0)</f>
        <v>124.11359999999996</v>
      </c>
      <c r="AK74" s="13">
        <f t="shared" si="89"/>
        <v>32.632538771598028</v>
      </c>
      <c r="AL74" s="20">
        <f t="shared" si="58"/>
        <v>272.99952502719981</v>
      </c>
      <c r="AM74" s="59">
        <f t="shared" si="59"/>
        <v>566.33285836053312</v>
      </c>
      <c r="AN74" s="59">
        <f ca="1">AVERAGE(OFFSET($AM$3,0,0,'Données projet'!$E$10+1,1))-AVERAGE(OFFSET($H$3,0,0,'Données projet'!$E$10+1,1))</f>
        <v>123.60520571614535</v>
      </c>
      <c r="AO74" s="59">
        <f t="shared" si="90"/>
        <v>119.00926870519527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0.38506626975194397</v>
      </c>
      <c r="AV74" s="21">
        <f>EXP(-LN(2)/25)*AV73+(1-EXP(-LN(2)/25))/(LN(2)/25)*Calculateur!AQ74*Calculateur!AS74*VLOOKUP('Données projet'!$B$10,Paramètres!$A$1:$I$89,3,0)*0.475*44/12</f>
        <v>1.5326537961077555</v>
      </c>
      <c r="AW74" s="21">
        <f>EXP(-LN(2)/2)*AW73+(1-EXP(-LN(2)/2))/(LN(2)/2)*AQ74*AT74*VLOOKUP('Données projet'!$B$10,Paramètres!$A$1:$I$89,3,0)*0.475*44/12</f>
        <v>4.1227780785139136E-6</v>
      </c>
      <c r="AX74" s="21">
        <f t="shared" si="60"/>
        <v>1.917724188637778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13.3</v>
      </c>
      <c r="BD74" s="12">
        <f>IF('Données projet'!$A$88&gt;35,BD73+BC74-BL73,IF(A74&lt;'Données projet'!$A$88,$BA$205^A74,IF(A74='Données projet'!$A$88,'Données projet'!$B$88,BD73+BC74-BL73)))</f>
        <v>558.29999999999927</v>
      </c>
      <c r="BE74" s="13">
        <f>BD74*VLOOKUP('Données projet'!$B$11,Paramètres!$A$1:$I$89,3,0)*VLOOKUP('Données projet'!$B$11,Paramètres!$A$1:$I$89,5,0)</f>
        <v>268.54229999999967</v>
      </c>
      <c r="BF74" s="13">
        <f t="shared" si="91"/>
        <v>64.53981115621778</v>
      </c>
      <c r="BG74" s="20">
        <f t="shared" si="61"/>
        <v>580.11801026374542</v>
      </c>
      <c r="BH74" s="59">
        <f t="shared" si="62"/>
        <v>873.45134359707868</v>
      </c>
      <c r="BI74" s="59">
        <f ca="1">AVERAGE(OFFSET($BH$3,0,0,'Données projet'!$E$11+1,1))-AVERAGE(OFFSET($H$3,0,0,'Données projet'!$E$11+1,1))</f>
        <v>252.30925789500111</v>
      </c>
      <c r="BJ74" s="59">
        <f t="shared" si="92"/>
        <v>213.96033794804805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2.0567187898824306</v>
      </c>
      <c r="BQ74" s="21">
        <f>EXP(-LN(2)/25)*BQ73+(1-EXP(-LN(2)/25))/(LN(2)/25)*Calculateur!BL74*Calculateur!BN74*VLOOKUP('Données projet'!$B$11,Paramètres!$A$1:$I$89,3,0)*0.475*44/12</f>
        <v>2.9609938008045629</v>
      </c>
      <c r="BR74" s="21">
        <f>EXP(-LN(2)/2)*BR73+(1-EXP(-LN(2)/2))/(LN(2)/2)*BL74*BO74*VLOOKUP('Données projet'!$B$11,Paramètres!$A$1:$I$89,3,0)*0.475*44/12</f>
        <v>9.6954870659995181E-6</v>
      </c>
      <c r="BS74" s="22">
        <f t="shared" si="63"/>
        <v>5.0177222861740596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4.8</v>
      </c>
      <c r="N75" s="13">
        <f>IF('Données projet'!$A$36&gt;35,N74+M75-V74,IF(A75&lt;'Données projet'!$A$36,$K$205^A75,IF(A75='Données projet'!$A$36,'Données projet'!$B$36,N74+M75-V74)))</f>
        <v>167.59999999999988</v>
      </c>
      <c r="O75" s="13">
        <f>N75*VLOOKUP('Données projet'!$B$9,Paramètres!$A$1:$I$89,3,0)*VLOOKUP('Données projet'!$B$9,Paramètres!$A$1:$I$89,5,0)</f>
        <v>151.6444799999999</v>
      </c>
      <c r="P75" s="13">
        <f t="shared" si="87"/>
        <v>38.952062117783541</v>
      </c>
      <c r="Q75" s="20">
        <f t="shared" si="54"/>
        <v>331.95564418847277</v>
      </c>
      <c r="R75" s="59">
        <f t="shared" si="55"/>
        <v>625.28897752180615</v>
      </c>
      <c r="S75" s="59">
        <f ca="1">AVERAGE(OFFSET($R$3,0,0,'Données projet'!$E$9+1,1))-AVERAGE(OFFSET($H$3,0,0,'Données projet'!$E$9+1,1))</f>
        <v>138.8931001150624</v>
      </c>
      <c r="T75" s="59">
        <f t="shared" si="88"/>
        <v>48.964659354096625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7.7</v>
      </c>
      <c r="AI75" s="13">
        <f>IF('Données projet'!$A$62&gt;35,AI74+AH75-AQ74,IF(A75&lt;'Données projet'!$A$62,$AF$205^A75,IF(A75='Données projet'!$A$62,'Données projet'!$B$62,AI74+AH75-AQ74)))</f>
        <v>272.89999999999992</v>
      </c>
      <c r="AJ75" s="13">
        <f>AI75*VLOOKUP('Données projet'!$B$10,Paramètres!$A$1:$I$89,3,0)*VLOOKUP('Données projet'!$B$10,Paramètres!$A$1:$I$89,5,0)</f>
        <v>127.71719999999996</v>
      </c>
      <c r="AK75" s="13">
        <f t="shared" si="89"/>
        <v>33.468328632580821</v>
      </c>
      <c r="AL75" s="20">
        <f t="shared" si="58"/>
        <v>280.73146236841148</v>
      </c>
      <c r="AM75" s="59">
        <f t="shared" si="59"/>
        <v>574.06479570174474</v>
      </c>
      <c r="AN75" s="59">
        <f ca="1">AVERAGE(OFFSET($AM$3,0,0,'Données projet'!$E$10+1,1))-AVERAGE(OFFSET($H$3,0,0,'Données projet'!$E$10+1,1))</f>
        <v>123.60520571614535</v>
      </c>
      <c r="AO75" s="59">
        <f t="shared" si="90"/>
        <v>119.00926870519527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0.3775153550693417</v>
      </c>
      <c r="AV75" s="21">
        <f>EXP(-LN(2)/25)*AV74+(1-EXP(-LN(2)/25))/(LN(2)/25)*Calculateur!AQ75*Calculateur!AS75*VLOOKUP('Données projet'!$B$10,Paramètres!$A$1:$I$89,3,0)*0.475*44/12</f>
        <v>1.4907432974544288</v>
      </c>
      <c r="AW75" s="21">
        <f>EXP(-LN(2)/2)*AW74+(1-EXP(-LN(2)/2))/(LN(2)/2)*AQ75*AT75*VLOOKUP('Données projet'!$B$10,Paramètres!$A$1:$I$89,3,0)*0.475*44/12</f>
        <v>2.9152443366444328E-6</v>
      </c>
      <c r="AX75" s="21">
        <f t="shared" si="60"/>
        <v>1.8682615677681071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13.3</v>
      </c>
      <c r="BD75" s="12">
        <f>IF('Données projet'!$A$88&gt;35,BD74+BC75-BL74,IF(A75&lt;'Données projet'!$A$88,$BA$205^A75,IF(A75='Données projet'!$A$88,'Données projet'!$B$88,BD74+BC75-BL74)))</f>
        <v>571.59999999999923</v>
      </c>
      <c r="BE75" s="13">
        <f>BD75*VLOOKUP('Données projet'!$B$11,Paramètres!$A$1:$I$89,3,0)*VLOOKUP('Données projet'!$B$11,Paramètres!$A$1:$I$89,5,0)</f>
        <v>274.93959999999964</v>
      </c>
      <c r="BF75" s="13">
        <f t="shared" si="91"/>
        <v>65.896468407085521</v>
      </c>
      <c r="BG75" s="20">
        <f t="shared" si="61"/>
        <v>593.62281914234006</v>
      </c>
      <c r="BH75" s="59">
        <f t="shared" si="62"/>
        <v>886.95615247567343</v>
      </c>
      <c r="BI75" s="59">
        <f ca="1">AVERAGE(OFFSET($BH$3,0,0,'Données projet'!$E$11+1,1))-AVERAGE(OFFSET($H$3,0,0,'Données projet'!$E$11+1,1))</f>
        <v>252.30925789500111</v>
      </c>
      <c r="BJ75" s="59">
        <f t="shared" si="92"/>
        <v>213.96033794804805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2.0163877888874291</v>
      </c>
      <c r="BQ75" s="21">
        <f>EXP(-LN(2)/25)*BQ74+(1-EXP(-LN(2)/25))/(LN(2)/25)*Calculateur!BL75*Calculateur!BN75*VLOOKUP('Données projet'!$B$11,Paramètres!$A$1:$I$89,3,0)*0.475*44/12</f>
        <v>2.8800252696096655</v>
      </c>
      <c r="BR75" s="21">
        <f>EXP(-LN(2)/2)*BR74+(1-EXP(-LN(2)/2))/(LN(2)/2)*BL75*BO75*VLOOKUP('Données projet'!$B$11,Paramètres!$A$1:$I$89,3,0)*0.475*44/12</f>
        <v>6.855744651274723E-6</v>
      </c>
      <c r="BS75" s="22">
        <f t="shared" si="63"/>
        <v>4.8964199142417453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4.8</v>
      </c>
      <c r="N76" s="13">
        <f>IF('Données projet'!$A$36&gt;35,N75+M76-V75,IF(A76&lt;'Données projet'!$A$36,$K$205^A76,IF(A76='Données projet'!$A$36,'Données projet'!$B$36,N75+M76-V75)))</f>
        <v>172.39999999999989</v>
      </c>
      <c r="O76" s="13">
        <f>N76*VLOOKUP('Données projet'!$B$9,Paramètres!$A$1:$I$89,3,0)*VLOOKUP('Données projet'!$B$9,Paramètres!$A$1:$I$89,5,0)</f>
        <v>155.9875199999999</v>
      </c>
      <c r="P76" s="13">
        <f t="shared" si="87"/>
        <v>39.936155927663087</v>
      </c>
      <c r="Q76" s="20">
        <f t="shared" si="54"/>
        <v>341.23373557401305</v>
      </c>
      <c r="R76" s="59">
        <f t="shared" si="55"/>
        <v>634.56706890734631</v>
      </c>
      <c r="S76" s="59">
        <f ca="1">AVERAGE(OFFSET($R$3,0,0,'Données projet'!$E$9+1,1))-AVERAGE(OFFSET($H$3,0,0,'Données projet'!$E$9+1,1))</f>
        <v>138.8931001150624</v>
      </c>
      <c r="T76" s="59">
        <f t="shared" si="88"/>
        <v>48.964659354096625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7.7</v>
      </c>
      <c r="AI76" s="13">
        <f>IF('Données projet'!$A$62&gt;35,AI75+AH76-AQ75,IF(A76&lt;'Données projet'!$A$62,$AF$205^A76,IF(A76='Données projet'!$A$62,'Données projet'!$B$62,AI75+AH76-AQ75)))</f>
        <v>280.59999999999991</v>
      </c>
      <c r="AJ76" s="13">
        <f>AI76*VLOOKUP('Données projet'!$B$10,Paramètres!$A$1:$I$89,3,0)*VLOOKUP('Données projet'!$B$10,Paramètres!$A$1:$I$89,5,0)</f>
        <v>131.32079999999996</v>
      </c>
      <c r="AK76" s="13">
        <f t="shared" si="89"/>
        <v>34.301377644087616</v>
      </c>
      <c r="AL76" s="20">
        <f t="shared" si="58"/>
        <v>288.45862606345253</v>
      </c>
      <c r="AM76" s="59">
        <f t="shared" si="59"/>
        <v>581.79195939678584</v>
      </c>
      <c r="AN76" s="59">
        <f ca="1">AVERAGE(OFFSET($AM$3,0,0,'Données projet'!$E$10+1,1))-AVERAGE(OFFSET($H$3,0,0,'Données projet'!$E$10+1,1))</f>
        <v>123.60520571614535</v>
      </c>
      <c r="AO76" s="59">
        <f t="shared" si="90"/>
        <v>119.00926870519527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0.37011250921806205</v>
      </c>
      <c r="AV76" s="21">
        <f>EXP(-LN(2)/25)*AV75+(1-EXP(-LN(2)/25))/(LN(2)/25)*Calculateur!AQ76*Calculateur!AS76*VLOOKUP('Données projet'!$B$10,Paramètres!$A$1:$I$89,3,0)*0.475*44/12</f>
        <v>1.4499788435907546</v>
      </c>
      <c r="AW76" s="21">
        <f>EXP(-LN(2)/2)*AW75+(1-EXP(-LN(2)/2))/(LN(2)/2)*AQ76*AT76*VLOOKUP('Données projet'!$B$10,Paramètres!$A$1:$I$89,3,0)*0.475*44/12</f>
        <v>2.0613890392569568E-6</v>
      </c>
      <c r="AX76" s="21">
        <f t="shared" si="60"/>
        <v>1.8200934141978558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13.3</v>
      </c>
      <c r="BD76" s="12">
        <f>IF('Données projet'!$A$88&gt;35,BD75+BC76-BL75,IF(A76&lt;'Données projet'!$A$88,$BA$205^A76,IF(A76='Données projet'!$A$88,'Données projet'!$B$88,BD75+BC76-BL75)))</f>
        <v>584.89999999999918</v>
      </c>
      <c r="BE76" s="13">
        <f>BD76*VLOOKUP('Données projet'!$B$11,Paramètres!$A$1:$I$89,3,0)*VLOOKUP('Données projet'!$B$11,Paramètres!$A$1:$I$89,5,0)</f>
        <v>281.33689999999962</v>
      </c>
      <c r="BF76" s="13">
        <f t="shared" si="91"/>
        <v>67.249455912229507</v>
      </c>
      <c r="BG76" s="20">
        <f t="shared" si="61"/>
        <v>607.1212365471323</v>
      </c>
      <c r="BH76" s="59">
        <f t="shared" si="62"/>
        <v>900.45456988046567</v>
      </c>
      <c r="BI76" s="59">
        <f ca="1">AVERAGE(OFFSET($BH$3,0,0,'Données projet'!$E$11+1,1))-AVERAGE(OFFSET($H$3,0,0,'Données projet'!$E$11+1,1))</f>
        <v>252.30925789500111</v>
      </c>
      <c r="BJ76" s="59">
        <f t="shared" si="92"/>
        <v>213.96033794804805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1.9768476542224578</v>
      </c>
      <c r="BQ76" s="21">
        <f>EXP(-LN(2)/25)*BQ75+(1-EXP(-LN(2)/25))/(LN(2)/25)*Calculateur!BL76*Calculateur!BN76*VLOOKUP('Données projet'!$B$11,Paramètres!$A$1:$I$89,3,0)*0.475*44/12</f>
        <v>2.8012708271582425</v>
      </c>
      <c r="BR76" s="21">
        <f>EXP(-LN(2)/2)*BR75+(1-EXP(-LN(2)/2))/(LN(2)/2)*BL76*BO76*VLOOKUP('Données projet'!$B$11,Paramètres!$A$1:$I$89,3,0)*0.475*44/12</f>
        <v>4.847743532999759E-6</v>
      </c>
      <c r="BS76" s="22">
        <f t="shared" si="63"/>
        <v>4.7781233291242327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4.8</v>
      </c>
      <c r="N77" s="13">
        <f>IF('Données projet'!$A$36&gt;35,N76+M77-V76,IF(A77&lt;'Données projet'!$A$36,$K$205^A77,IF(A77='Données projet'!$A$36,'Données projet'!$B$36,N76+M77-V76)))</f>
        <v>177.1999999999999</v>
      </c>
      <c r="O77" s="13">
        <f>N77*VLOOKUP('Données projet'!$B$9,Paramètres!$A$1:$I$89,3,0)*VLOOKUP('Données projet'!$B$9,Paramètres!$A$1:$I$89,5,0)</f>
        <v>160.33055999999991</v>
      </c>
      <c r="P77" s="13">
        <f t="shared" si="87"/>
        <v>40.917065179252795</v>
      </c>
      <c r="Q77" s="20">
        <f t="shared" si="54"/>
        <v>350.50628052053179</v>
      </c>
      <c r="R77" s="59">
        <f t="shared" si="55"/>
        <v>643.8396138538651</v>
      </c>
      <c r="S77" s="59">
        <f ca="1">AVERAGE(OFFSET($R$3,0,0,'Données projet'!$E$9+1,1))-AVERAGE(OFFSET($H$3,0,0,'Données projet'!$E$9+1,1))</f>
        <v>138.8931001150624</v>
      </c>
      <c r="T77" s="59">
        <f t="shared" si="88"/>
        <v>48.964659354096625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7.7</v>
      </c>
      <c r="AI77" s="13">
        <f>IF('Données projet'!$A$62&gt;35,AI76+AH77-AQ76,IF(A77&lt;'Données projet'!$A$62,$AF$205^A77,IF(A77='Données projet'!$A$62,'Données projet'!$B$62,AI76+AH77-AQ76)))</f>
        <v>288.2999999999999</v>
      </c>
      <c r="AJ77" s="13">
        <f>AI77*VLOOKUP('Données projet'!$B$10,Paramètres!$A$1:$I$89,3,0)*VLOOKUP('Données projet'!$B$10,Paramètres!$A$1:$I$89,5,0)</f>
        <v>134.92439999999993</v>
      </c>
      <c r="AK77" s="13">
        <f t="shared" si="89"/>
        <v>35.131769660365201</v>
      </c>
      <c r="AL77" s="20">
        <f t="shared" si="58"/>
        <v>296.18116215846925</v>
      </c>
      <c r="AM77" s="59">
        <f t="shared" si="59"/>
        <v>589.51449549180256</v>
      </c>
      <c r="AN77" s="59">
        <f ca="1">AVERAGE(OFFSET($AM$3,0,0,'Données projet'!$E$10+1,1))-AVERAGE(OFFSET($H$3,0,0,'Données projet'!$E$10+1,1))</f>
        <v>123.60520571614535</v>
      </c>
      <c r="AO77" s="59">
        <f t="shared" si="90"/>
        <v>119.00926870519527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0.36285482865863589</v>
      </c>
      <c r="AV77" s="21">
        <f>EXP(-LN(2)/25)*AV76+(1-EXP(-LN(2)/25))/(LN(2)/25)*Calculateur!AQ77*Calculateur!AS77*VLOOKUP('Données projet'!$B$10,Paramètres!$A$1:$I$89,3,0)*0.475*44/12</f>
        <v>1.4103290958616921</v>
      </c>
      <c r="AW77" s="21">
        <f>EXP(-LN(2)/2)*AW76+(1-EXP(-LN(2)/2))/(LN(2)/2)*AQ77*AT77*VLOOKUP('Données projet'!$B$10,Paramètres!$A$1:$I$89,3,0)*0.475*44/12</f>
        <v>1.4576221683222164E-6</v>
      </c>
      <c r="AX77" s="21">
        <f t="shared" si="60"/>
        <v>1.7731853821424963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13.3</v>
      </c>
      <c r="BD77" s="12">
        <f>IF('Données projet'!$A$88&gt;35,BD76+BC77-BL76,IF(A77&lt;'Données projet'!$A$88,$BA$205^A77,IF(A77='Données projet'!$A$88,'Données projet'!$B$88,BD76+BC77-BL76)))</f>
        <v>598.19999999999914</v>
      </c>
      <c r="BE77" s="13">
        <f>BD77*VLOOKUP('Données projet'!$B$11,Paramètres!$A$1:$I$89,3,0)*VLOOKUP('Données projet'!$B$11,Paramètres!$A$1:$I$89,5,0)</f>
        <v>287.73419999999959</v>
      </c>
      <c r="BF77" s="13">
        <f t="shared" si="91"/>
        <v>68.598866723891007</v>
      </c>
      <c r="BG77" s="20">
        <f t="shared" si="61"/>
        <v>620.61342454410953</v>
      </c>
      <c r="BH77" s="59">
        <f t="shared" si="62"/>
        <v>913.94675787744291</v>
      </c>
      <c r="BI77" s="59">
        <f ca="1">AVERAGE(OFFSET($BH$3,0,0,'Données projet'!$E$11+1,1))-AVERAGE(OFFSET($H$3,0,0,'Données projet'!$E$11+1,1))</f>
        <v>252.30925789500111</v>
      </c>
      <c r="BJ77" s="59">
        <f t="shared" si="92"/>
        <v>213.96033794804805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1.9380828774811658</v>
      </c>
      <c r="BQ77" s="21">
        <f>EXP(-LN(2)/25)*BQ76+(1-EXP(-LN(2)/25))/(LN(2)/25)*Calculateur!BL77*Calculateur!BN77*VLOOKUP('Données projet'!$B$11,Paramètres!$A$1:$I$89,3,0)*0.475*44/12</f>
        <v>2.7246699290771699</v>
      </c>
      <c r="BR77" s="21">
        <f>EXP(-LN(2)/2)*BR76+(1-EXP(-LN(2)/2))/(LN(2)/2)*BL77*BO77*VLOOKUP('Données projet'!$B$11,Paramètres!$A$1:$I$89,3,0)*0.475*44/12</f>
        <v>3.4278723256373615E-6</v>
      </c>
      <c r="BS77" s="22">
        <f t="shared" si="63"/>
        <v>4.6627562344306615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4.8</v>
      </c>
      <c r="N78" s="13">
        <f>IF('Données projet'!$A$36&gt;35,N77+M78-V77,IF(A78&lt;'Données projet'!$A$36,$K$205^A78,IF(A78='Données projet'!$A$36,'Données projet'!$B$36,N77+M78-V77)))</f>
        <v>181.99999999999991</v>
      </c>
      <c r="O78" s="13">
        <f>N78*VLOOKUP('Données projet'!$B$9,Paramètres!$A$1:$I$89,3,0)*VLOOKUP('Données projet'!$B$9,Paramètres!$A$1:$I$89,5,0)</f>
        <v>164.67359999999991</v>
      </c>
      <c r="P78" s="13">
        <f t="shared" si="87"/>
        <v>41.894886049196984</v>
      </c>
      <c r="Q78" s="20">
        <f t="shared" si="54"/>
        <v>359.77344653568457</v>
      </c>
      <c r="R78" s="59">
        <f t="shared" si="55"/>
        <v>653.10677986901783</v>
      </c>
      <c r="S78" s="59">
        <f ca="1">AVERAGE(OFFSET($R$3,0,0,'Données projet'!$E$9+1,1))-AVERAGE(OFFSET($H$3,0,0,'Données projet'!$E$9+1,1))</f>
        <v>138.8931001150624</v>
      </c>
      <c r="T78" s="59">
        <f t="shared" si="88"/>
        <v>48.964659354096625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7.7</v>
      </c>
      <c r="AI78" s="13">
        <f>IF('Données projet'!$A$62&gt;35,AI77+AH78-AQ77,IF(A78&lt;'Données projet'!$A$62,$AF$205^A78,IF(A78='Données projet'!$A$62,'Données projet'!$B$62,AI77+AH78-AQ77)))</f>
        <v>295.99999999999989</v>
      </c>
      <c r="AJ78" s="13">
        <f>AI78*VLOOKUP('Données projet'!$B$10,Paramètres!$A$1:$I$89,3,0)*VLOOKUP('Données projet'!$B$10,Paramètres!$A$1:$I$89,5,0)</f>
        <v>138.52799999999996</v>
      </c>
      <c r="AK78" s="13">
        <f t="shared" si="89"/>
        <v>35.959583801423776</v>
      </c>
      <c r="AL78" s="20">
        <f t="shared" si="58"/>
        <v>303.89920845414628</v>
      </c>
      <c r="AM78" s="59">
        <f t="shared" si="59"/>
        <v>597.23254178747959</v>
      </c>
      <c r="AN78" s="59">
        <f ca="1">AVERAGE(OFFSET($AM$3,0,0,'Données projet'!$E$10+1,1))-AVERAGE(OFFSET($H$3,0,0,'Données projet'!$E$10+1,1))</f>
        <v>123.60520571614535</v>
      </c>
      <c r="AO78" s="59">
        <f t="shared" si="90"/>
        <v>119.00926870519527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0.35573946678823204</v>
      </c>
      <c r="AV78" s="21">
        <f>EXP(-LN(2)/25)*AV77+(1-EXP(-LN(2)/25))/(LN(2)/25)*Calculateur!AQ78*Calculateur!AS78*VLOOKUP('Données projet'!$B$10,Paramètres!$A$1:$I$89,3,0)*0.475*44/12</f>
        <v>1.3717635725693702</v>
      </c>
      <c r="AW78" s="21">
        <f>EXP(-LN(2)/2)*AW77+(1-EXP(-LN(2)/2))/(LN(2)/2)*AQ78*AT78*VLOOKUP('Données projet'!$B$10,Paramètres!$A$1:$I$89,3,0)*0.475*44/12</f>
        <v>1.0306945196284784E-6</v>
      </c>
      <c r="AX78" s="21">
        <f t="shared" si="60"/>
        <v>1.727504070052122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13.3</v>
      </c>
      <c r="BD78" s="12">
        <f>IF('Données projet'!$A$88&gt;35,BD77+BC78-BL77,IF(A78&lt;'Données projet'!$A$88,$BA$205^A78,IF(A78='Données projet'!$A$88,'Données projet'!$B$88,BD77+BC78-BL77)))</f>
        <v>611.49999999999909</v>
      </c>
      <c r="BE78" s="13">
        <f>BD78*VLOOKUP('Données projet'!$B$11,Paramètres!$A$1:$I$89,3,0)*VLOOKUP('Données projet'!$B$11,Paramètres!$A$1:$I$89,5,0)</f>
        <v>294.13149999999956</v>
      </c>
      <c r="BF78" s="13">
        <f t="shared" si="91"/>
        <v>69.944789520343832</v>
      </c>
      <c r="BG78" s="20">
        <f t="shared" si="61"/>
        <v>634.09953758126471</v>
      </c>
      <c r="BH78" s="59">
        <f t="shared" si="62"/>
        <v>927.43287091459797</v>
      </c>
      <c r="BI78" s="59">
        <f ca="1">AVERAGE(OFFSET($BH$3,0,0,'Données projet'!$E$11+1,1))-AVERAGE(OFFSET($H$3,0,0,'Données projet'!$E$11+1,1))</f>
        <v>252.30925789500111</v>
      </c>
      <c r="BJ78" s="59">
        <f t="shared" si="92"/>
        <v>213.96033794804805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1.9000782543675914</v>
      </c>
      <c r="BQ78" s="21">
        <f>EXP(-LN(2)/25)*BQ77+(1-EXP(-LN(2)/25))/(LN(2)/25)*Calculateur!BL78*Calculateur!BN78*VLOOKUP('Données projet'!$B$11,Paramètres!$A$1:$I$89,3,0)*0.475*44/12</f>
        <v>2.6501636865823905</v>
      </c>
      <c r="BR78" s="21">
        <f>EXP(-LN(2)/2)*BR77+(1-EXP(-LN(2)/2))/(LN(2)/2)*BL78*BO78*VLOOKUP('Données projet'!$B$11,Paramètres!$A$1:$I$89,3,0)*0.475*44/12</f>
        <v>2.4238717664998795E-6</v>
      </c>
      <c r="BS78" s="22">
        <f t="shared" si="63"/>
        <v>4.5502443648217481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4.8</v>
      </c>
      <c r="N79" s="13">
        <f>IF('Données projet'!$A$36&gt;35,N78+M79-V78,IF(A79&lt;'Données projet'!$A$36,$K$205^A79,IF(A79='Données projet'!$A$36,'Données projet'!$B$36,N78+M79-V78)))</f>
        <v>186.79999999999993</v>
      </c>
      <c r="O79" s="13">
        <f>N79*VLOOKUP('Données projet'!$B$9,Paramètres!$A$1:$I$89,3,0)*VLOOKUP('Données projet'!$B$9,Paramètres!$A$1:$I$89,5,0)</f>
        <v>169.01663999999994</v>
      </c>
      <c r="P79" s="13">
        <f t="shared" si="87"/>
        <v>42.869709352189666</v>
      </c>
      <c r="Q79" s="20">
        <f t="shared" si="54"/>
        <v>369.03539178839679</v>
      </c>
      <c r="R79" s="59">
        <f t="shared" si="55"/>
        <v>662.36872512173011</v>
      </c>
      <c r="S79" s="59">
        <f ca="1">AVERAGE(OFFSET($R$3,0,0,'Données projet'!$E$9+1,1))-AVERAGE(OFFSET($H$3,0,0,'Données projet'!$E$9+1,1))</f>
        <v>138.8931001150624</v>
      </c>
      <c r="T79" s="59">
        <f t="shared" si="88"/>
        <v>48.964659354096625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7.7</v>
      </c>
      <c r="AI79" s="13">
        <f>IF('Données projet'!$A$62&gt;35,AI78+AH79-AQ78,IF(A79&lt;'Données projet'!$A$62,$AF$205^A79,IF(A79='Données projet'!$A$62,'Données projet'!$B$62,AI78+AH79-AQ78)))</f>
        <v>303.69999999999987</v>
      </c>
      <c r="AJ79" s="13">
        <f>AI79*VLOOKUP('Données projet'!$B$10,Paramètres!$A$1:$I$89,3,0)*VLOOKUP('Données projet'!$B$10,Paramètres!$A$1:$I$89,5,0)</f>
        <v>142.13159999999993</v>
      </c>
      <c r="AK79" s="13">
        <f t="shared" si="89"/>
        <v>36.784894836428784</v>
      </c>
      <c r="AL79" s="20">
        <f t="shared" si="58"/>
        <v>311.6128951734467</v>
      </c>
      <c r="AM79" s="59">
        <f t="shared" si="59"/>
        <v>604.94622850678002</v>
      </c>
      <c r="AN79" s="59">
        <f ca="1">AVERAGE(OFFSET($AM$3,0,0,'Données projet'!$E$10+1,1))-AVERAGE(OFFSET($H$3,0,0,'Données projet'!$E$10+1,1))</f>
        <v>123.60520571614535</v>
      </c>
      <c r="AO79" s="59">
        <f t="shared" si="90"/>
        <v>119.00926870519527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0.34876363282416462</v>
      </c>
      <c r="AV79" s="21">
        <f>EXP(-LN(2)/25)*AV78+(1-EXP(-LN(2)/25))/(LN(2)/25)*Calculateur!AQ79*Calculateur!AS79*VLOOKUP('Données projet'!$B$10,Paramètres!$A$1:$I$89,3,0)*0.475*44/12</f>
        <v>1.3342526255395497</v>
      </c>
      <c r="AW79" s="21">
        <f>EXP(-LN(2)/2)*AW78+(1-EXP(-LN(2)/2))/(LN(2)/2)*AQ79*AT79*VLOOKUP('Données projet'!$B$10,Paramètres!$A$1:$I$89,3,0)*0.475*44/12</f>
        <v>7.288110841611082E-7</v>
      </c>
      <c r="AX79" s="21">
        <f t="shared" si="60"/>
        <v>1.6830169871747984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13.3</v>
      </c>
      <c r="BD79" s="12">
        <f>IF('Données projet'!$A$88&gt;35,BD78+BC79-BL78,IF(A79&lt;'Données projet'!$A$88,$BA$205^A79,IF(A79='Données projet'!$A$88,'Données projet'!$B$88,BD78+BC79-BL78)))</f>
        <v>624.79999999999905</v>
      </c>
      <c r="BE79" s="13">
        <f>BD79*VLOOKUP('Données projet'!$B$11,Paramètres!$A$1:$I$89,3,0)*VLOOKUP('Données projet'!$B$11,Paramètres!$A$1:$I$89,5,0)</f>
        <v>300.52879999999953</v>
      </c>
      <c r="BF79" s="13">
        <f t="shared" si="91"/>
        <v>71.287308902085229</v>
      </c>
      <c r="BG79" s="20">
        <f t="shared" si="61"/>
        <v>647.5797230044642</v>
      </c>
      <c r="BH79" s="59">
        <f t="shared" si="62"/>
        <v>940.91305633779757</v>
      </c>
      <c r="BI79" s="59">
        <f ca="1">AVERAGE(OFFSET($BH$3,0,0,'Données projet'!$E$11+1,1))-AVERAGE(OFFSET($H$3,0,0,'Données projet'!$E$11+1,1))</f>
        <v>252.30925789500111</v>
      </c>
      <c r="BJ79" s="59">
        <f t="shared" si="92"/>
        <v>213.96033794804805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1.8628188787327429</v>
      </c>
      <c r="BQ79" s="21">
        <f>EXP(-LN(2)/25)*BQ78+(1-EXP(-LN(2)/25))/(LN(2)/25)*Calculateur!BL79*Calculateur!BN79*VLOOKUP('Données projet'!$B$11,Paramètres!$A$1:$I$89,3,0)*0.475*44/12</f>
        <v>2.5776948212067436</v>
      </c>
      <c r="BR79" s="21">
        <f>EXP(-LN(2)/2)*BR78+(1-EXP(-LN(2)/2))/(LN(2)/2)*BL79*BO79*VLOOKUP('Données projet'!$B$11,Paramètres!$A$1:$I$89,3,0)*0.475*44/12</f>
        <v>1.7139361628186808E-6</v>
      </c>
      <c r="BS79" s="22">
        <f t="shared" si="63"/>
        <v>4.4405154138756497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4.8</v>
      </c>
      <c r="N80" s="13">
        <f>IF('Données projet'!$A$36&gt;35,N79+M80-V79,IF(A80&lt;'Données projet'!$A$36,$K$205^A80,IF(A80='Données projet'!$A$36,'Données projet'!$B$36,N79+M80-V79)))</f>
        <v>191.59999999999994</v>
      </c>
      <c r="O80" s="13">
        <f>N80*VLOOKUP('Données projet'!$B$9,Paramètres!$A$1:$I$89,3,0)*VLOOKUP('Données projet'!$B$9,Paramètres!$A$1:$I$89,5,0)</f>
        <v>173.35967999999994</v>
      </c>
      <c r="P80" s="13">
        <f t="shared" si="87"/>
        <v>43.841620969901918</v>
      </c>
      <c r="Q80" s="20">
        <f t="shared" si="54"/>
        <v>378.29226585591238</v>
      </c>
      <c r="R80" s="59">
        <f t="shared" si="55"/>
        <v>671.62559918924569</v>
      </c>
      <c r="S80" s="59">
        <f ca="1">AVERAGE(OFFSET($R$3,0,0,'Données projet'!$E$9+1,1))-AVERAGE(OFFSET($H$3,0,0,'Données projet'!$E$9+1,1))</f>
        <v>138.8931001150624</v>
      </c>
      <c r="T80" s="59">
        <f t="shared" si="88"/>
        <v>48.964659354096625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7.7</v>
      </c>
      <c r="AI80" s="13">
        <f>IF('Données projet'!$A$62&gt;35,AI79+AH80-AQ79,IF(A80&lt;'Données projet'!$A$62,$AF$205^A80,IF(A80='Données projet'!$A$62,'Données projet'!$B$62,AI79+AH80-AQ79)))</f>
        <v>311.39999999999986</v>
      </c>
      <c r="AJ80" s="13">
        <f>AI80*VLOOKUP('Données projet'!$B$10,Paramètres!$A$1:$I$89,3,0)*VLOOKUP('Données projet'!$B$10,Paramètres!$A$1:$I$89,5,0)</f>
        <v>145.73519999999994</v>
      </c>
      <c r="AK80" s="13">
        <f t="shared" si="89"/>
        <v>37.607773527116223</v>
      </c>
      <c r="AL80" s="20">
        <f t="shared" si="58"/>
        <v>319.3223455597273</v>
      </c>
      <c r="AM80" s="59">
        <f t="shared" si="59"/>
        <v>612.65567889306067</v>
      </c>
      <c r="AN80" s="59">
        <f ca="1">AVERAGE(OFFSET($AM$3,0,0,'Données projet'!$E$10+1,1))-AVERAGE(OFFSET($H$3,0,0,'Données projet'!$E$10+1,1))</f>
        <v>123.60520571614535</v>
      </c>
      <c r="AO80" s="59">
        <f t="shared" si="90"/>
        <v>119.00926870519527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0.34192459070929393</v>
      </c>
      <c r="AV80" s="21">
        <f>EXP(-LN(2)/25)*AV79+(1-EXP(-LN(2)/25))/(LN(2)/25)*Calculateur!AQ80*Calculateur!AS80*VLOOKUP('Données projet'!$B$10,Paramètres!$A$1:$I$89,3,0)*0.475*44/12</f>
        <v>1.2977674173288747</v>
      </c>
      <c r="AW80" s="21">
        <f>EXP(-LN(2)/2)*AW79+(1-EXP(-LN(2)/2))/(LN(2)/2)*AQ80*AT80*VLOOKUP('Données projet'!$B$10,Paramètres!$A$1:$I$89,3,0)*0.475*44/12</f>
        <v>5.153472598142392E-7</v>
      </c>
      <c r="AX80" s="21">
        <f t="shared" si="60"/>
        <v>1.6396925233854283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13.3</v>
      </c>
      <c r="BD80" s="12">
        <f>IF('Données projet'!$A$88&gt;35,BD79+BC80-BL79,IF(A80&lt;'Données projet'!$A$88,$BA$205^A80,IF(A80='Données projet'!$A$88,'Données projet'!$B$88,BD79+BC80-BL79)))</f>
        <v>638.099999999999</v>
      </c>
      <c r="BE80" s="13">
        <f>BD80*VLOOKUP('Données projet'!$B$11,Paramètres!$A$1:$I$89,3,0)*VLOOKUP('Données projet'!$B$11,Paramètres!$A$1:$I$89,5,0)</f>
        <v>306.92609999999956</v>
      </c>
      <c r="BF80" s="13">
        <f t="shared" si="91"/>
        <v>72.626505662095198</v>
      </c>
      <c r="BG80" s="20">
        <f t="shared" si="61"/>
        <v>661.05412152814836</v>
      </c>
      <c r="BH80" s="59">
        <f t="shared" si="62"/>
        <v>954.38745486148173</v>
      </c>
      <c r="BI80" s="59">
        <f ca="1">AVERAGE(OFFSET($BH$3,0,0,'Données projet'!$E$11+1,1))-AVERAGE(OFFSET($H$3,0,0,'Données projet'!$E$11+1,1))</f>
        <v>252.30925789500111</v>
      </c>
      <c r="BJ80" s="59">
        <f t="shared" si="92"/>
        <v>213.96033794804805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1.8262901367281186</v>
      </c>
      <c r="BQ80" s="21">
        <f>EXP(-LN(2)/25)*BQ79+(1-EXP(-LN(2)/25))/(LN(2)/25)*Calculateur!BL80*Calculateur!BN80*VLOOKUP('Données projet'!$B$11,Paramètres!$A$1:$I$89,3,0)*0.475*44/12</f>
        <v>2.5072076207657661</v>
      </c>
      <c r="BR80" s="21">
        <f>EXP(-LN(2)/2)*BR79+(1-EXP(-LN(2)/2))/(LN(2)/2)*BL80*BO80*VLOOKUP('Données projet'!$B$11,Paramètres!$A$1:$I$89,3,0)*0.475*44/12</f>
        <v>1.2119358832499398E-6</v>
      </c>
      <c r="BS80" s="22">
        <f t="shared" si="63"/>
        <v>4.3334989694297681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4.8</v>
      </c>
      <c r="N81" s="13">
        <f>IF('Données projet'!$A$36&gt;35,N80+M81-V80,IF(A81&lt;'Données projet'!$A$36,$K$205^A81,IF(A81='Données projet'!$A$36,'Données projet'!$B$36,N80+M81-V80)))</f>
        <v>196.39999999999995</v>
      </c>
      <c r="O81" s="13">
        <f>N81*VLOOKUP('Données projet'!$B$9,Paramètres!$A$1:$I$89,3,0)*VLOOKUP('Données projet'!$B$9,Paramètres!$A$1:$I$89,5,0)</f>
        <v>177.70271999999994</v>
      </c>
      <c r="P81" s="13">
        <f t="shared" si="87"/>
        <v>44.810702235717677</v>
      </c>
      <c r="Q81" s="20">
        <f t="shared" si="54"/>
        <v>387.54421039387483</v>
      </c>
      <c r="R81" s="59">
        <f t="shared" si="55"/>
        <v>680.87754372720815</v>
      </c>
      <c r="S81" s="59">
        <f ca="1">AVERAGE(OFFSET($R$3,0,0,'Données projet'!$E$9+1,1))-AVERAGE(OFFSET($H$3,0,0,'Données projet'!$E$9+1,1))</f>
        <v>138.8931001150624</v>
      </c>
      <c r="T81" s="59">
        <f t="shared" si="88"/>
        <v>48.964659354096625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7.7</v>
      </c>
      <c r="AI81" s="13">
        <f>IF('Données projet'!$A$62&gt;35,AI80+AH81-AQ80,IF(A81&lt;'Données projet'!$A$62,$AF$205^A81,IF(A81='Données projet'!$A$62,'Données projet'!$B$62,AI80+AH81-AQ80)))</f>
        <v>319.09999999999985</v>
      </c>
      <c r="AJ81" s="13">
        <f>AI81*VLOOKUP('Données projet'!$B$10,Paramètres!$A$1:$I$89,3,0)*VLOOKUP('Données projet'!$B$10,Paramètres!$A$1:$I$89,5,0)</f>
        <v>149.33879999999994</v>
      </c>
      <c r="AK81" s="13">
        <f t="shared" si="89"/>
        <v>38.428286936285446</v>
      </c>
      <c r="AL81" s="20">
        <f t="shared" si="58"/>
        <v>327.02767641403034</v>
      </c>
      <c r="AM81" s="59">
        <f t="shared" si="59"/>
        <v>620.3610097473636</v>
      </c>
      <c r="AN81" s="59">
        <f ca="1">AVERAGE(OFFSET($AM$3,0,0,'Données projet'!$E$10+1,1))-AVERAGE(OFFSET($H$3,0,0,'Données projet'!$E$10+1,1))</f>
        <v>123.60520571614535</v>
      </c>
      <c r="AO81" s="59">
        <f t="shared" si="90"/>
        <v>119.00926870519527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0.33521965803889209</v>
      </c>
      <c r="AV81" s="21">
        <f>EXP(-LN(2)/25)*AV80+(1-EXP(-LN(2)/25))/(LN(2)/25)*Calculateur!AQ81*Calculateur!AS81*VLOOKUP('Données projet'!$B$10,Paramètres!$A$1:$I$89,3,0)*0.475*44/12</f>
        <v>1.2622798990553943</v>
      </c>
      <c r="AW81" s="21">
        <f>EXP(-LN(2)/2)*AW80+(1-EXP(-LN(2)/2))/(LN(2)/2)*AQ81*AT81*VLOOKUP('Données projet'!$B$10,Paramètres!$A$1:$I$89,3,0)*0.475*44/12</f>
        <v>3.644055420805541E-7</v>
      </c>
      <c r="AX81" s="21">
        <f t="shared" si="60"/>
        <v>1.5974999214998284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13.3</v>
      </c>
      <c r="BD81" s="12">
        <f>IF('Données projet'!$A$88&gt;35,BD80+BC81-BL80,IF(A81&lt;'Données projet'!$A$88,$BA$205^A81,IF(A81='Données projet'!$A$88,'Données projet'!$B$88,BD80+BC81-BL80)))</f>
        <v>651.39999999999895</v>
      </c>
      <c r="BE81" s="13">
        <f>BD81*VLOOKUP('Données projet'!$B$11,Paramètres!$A$1:$I$89,3,0)*VLOOKUP('Données projet'!$B$11,Paramètres!$A$1:$I$89,5,0)</f>
        <v>313.32339999999948</v>
      </c>
      <c r="BF81" s="13">
        <f t="shared" si="91"/>
        <v>73.962457032927716</v>
      </c>
      <c r="BG81" s="20">
        <f t="shared" si="61"/>
        <v>674.52286766568147</v>
      </c>
      <c r="BH81" s="59">
        <f t="shared" si="62"/>
        <v>967.85620099901485</v>
      </c>
      <c r="BI81" s="59">
        <f ca="1">AVERAGE(OFFSET($BH$3,0,0,'Données projet'!$E$11+1,1))-AVERAGE(OFFSET($H$3,0,0,'Données projet'!$E$11+1,1))</f>
        <v>252.30925789500111</v>
      </c>
      <c r="BJ81" s="59">
        <f t="shared" si="92"/>
        <v>213.96033794804805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1.7904777010738724</v>
      </c>
      <c r="BQ81" s="21">
        <f>EXP(-LN(2)/25)*BQ80+(1-EXP(-LN(2)/25))/(LN(2)/25)*Calculateur!BL81*Calculateur!BN81*VLOOKUP('Données projet'!$B$11,Paramètres!$A$1:$I$89,3,0)*0.475*44/12</f>
        <v>2.4386478965276077</v>
      </c>
      <c r="BR81" s="21">
        <f>EXP(-LN(2)/2)*BR80+(1-EXP(-LN(2)/2))/(LN(2)/2)*BL81*BO81*VLOOKUP('Données projet'!$B$11,Paramètres!$A$1:$I$89,3,0)*0.475*44/12</f>
        <v>8.5696808140934038E-7</v>
      </c>
      <c r="BS81" s="22">
        <f t="shared" si="63"/>
        <v>4.2291264545695615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4.8</v>
      </c>
      <c r="N82" s="13">
        <f>IF('Données projet'!$A$36&gt;35,N81+M82-V81,IF(A82&lt;'Données projet'!$A$36,$K$205^A82,IF(A82='Données projet'!$A$36,'Données projet'!$B$36,N81+M82-V81)))</f>
        <v>201.19999999999996</v>
      </c>
      <c r="O82" s="13">
        <f>N82*VLOOKUP('Données projet'!$B$9,Paramètres!$A$1:$I$89,3,0)*VLOOKUP('Données projet'!$B$9,Paramètres!$A$1:$I$89,5,0)</f>
        <v>182.04575999999994</v>
      </c>
      <c r="P82" s="13">
        <f t="shared" si="87"/>
        <v>45.777030280798314</v>
      </c>
      <c r="Q82" s="20">
        <f t="shared" si="54"/>
        <v>396.79135973905687</v>
      </c>
      <c r="R82" s="59">
        <f t="shared" si="55"/>
        <v>690.12469307239019</v>
      </c>
      <c r="S82" s="59">
        <f ca="1">AVERAGE(OFFSET($R$3,0,0,'Données projet'!$E$9+1,1))-AVERAGE(OFFSET($H$3,0,0,'Données projet'!$E$9+1,1))</f>
        <v>138.8931001150624</v>
      </c>
      <c r="T82" s="59">
        <f t="shared" si="88"/>
        <v>48.964659354096625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7.7</v>
      </c>
      <c r="AI82" s="13">
        <f>IF('Données projet'!$A$62&gt;35,AI81+AH82-AQ81,IF(A82&lt;'Données projet'!$A$62,$AF$205^A82,IF(A82='Données projet'!$A$62,'Données projet'!$B$62,AI81+AH82-AQ81)))</f>
        <v>326.79999999999984</v>
      </c>
      <c r="AJ82" s="13">
        <f>AI82*VLOOKUP('Données projet'!$B$10,Paramètres!$A$1:$I$89,3,0)*VLOOKUP('Données projet'!$B$10,Paramètres!$A$1:$I$89,5,0)</f>
        <v>152.94239999999994</v>
      </c>
      <c r="AK82" s="13">
        <f t="shared" si="89"/>
        <v>39.246498705676878</v>
      </c>
      <c r="AL82" s="20">
        <f t="shared" si="58"/>
        <v>334.72899857905378</v>
      </c>
      <c r="AM82" s="59">
        <f t="shared" si="59"/>
        <v>628.06233191238709</v>
      </c>
      <c r="AN82" s="59">
        <f ca="1">AVERAGE(OFFSET($AM$3,0,0,'Données projet'!$E$10+1,1))-AVERAGE(OFFSET($H$3,0,0,'Données projet'!$E$10+1,1))</f>
        <v>123.60520571614535</v>
      </c>
      <c r="AO82" s="59">
        <f t="shared" si="90"/>
        <v>119.00926870519527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0.32864620500855168</v>
      </c>
      <c r="AV82" s="21">
        <f>EXP(-LN(2)/25)*AV81+(1-EXP(-LN(2)/25))/(LN(2)/25)*Calculateur!AQ82*Calculateur!AS82*VLOOKUP('Données projet'!$B$10,Paramètres!$A$1:$I$89,3,0)*0.475*44/12</f>
        <v>1.2277627888353095</v>
      </c>
      <c r="AW82" s="21">
        <f>EXP(-LN(2)/2)*AW81+(1-EXP(-LN(2)/2))/(LN(2)/2)*AQ82*AT82*VLOOKUP('Données projet'!$B$10,Paramètres!$A$1:$I$89,3,0)*0.475*44/12</f>
        <v>2.576736299071196E-7</v>
      </c>
      <c r="AX82" s="21">
        <f t="shared" si="60"/>
        <v>1.5564092515174912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13.3</v>
      </c>
      <c r="BD82" s="12">
        <f>IF('Données projet'!$A$88&gt;35,BD81+BC82-BL81,IF(A82&lt;'Données projet'!$A$88,$BA$205^A82,IF(A82='Données projet'!$A$88,'Données projet'!$B$88,BD81+BC82-BL81)))</f>
        <v>664.69999999999891</v>
      </c>
      <c r="BE82" s="13">
        <f>BD82*VLOOKUP('Données projet'!$B$11,Paramètres!$A$1:$I$89,3,0)*VLOOKUP('Données projet'!$B$11,Paramètres!$A$1:$I$89,5,0)</f>
        <v>319.72069999999951</v>
      </c>
      <c r="BF82" s="13">
        <f t="shared" si="91"/>
        <v>75.295236913052307</v>
      </c>
      <c r="BG82" s="20">
        <f t="shared" si="61"/>
        <v>687.98609012356519</v>
      </c>
      <c r="BH82" s="59">
        <f t="shared" si="62"/>
        <v>981.31942345689845</v>
      </c>
      <c r="BI82" s="59">
        <f ca="1">AVERAGE(OFFSET($BH$3,0,0,'Données projet'!$E$11+1,1))-AVERAGE(OFFSET($H$3,0,0,'Données projet'!$E$11+1,1))</f>
        <v>252.30925789500111</v>
      </c>
      <c r="BJ82" s="59">
        <f t="shared" si="92"/>
        <v>213.96033794804805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1.755367525439377</v>
      </c>
      <c r="BQ82" s="21">
        <f>EXP(-LN(2)/25)*BQ81+(1-EXP(-LN(2)/25))/(LN(2)/25)*Calculateur!BL82*Calculateur!BN82*VLOOKUP('Données projet'!$B$11,Paramètres!$A$1:$I$89,3,0)*0.475*44/12</f>
        <v>2.3719629415541412</v>
      </c>
      <c r="BR82" s="21">
        <f>EXP(-LN(2)/2)*BR81+(1-EXP(-LN(2)/2))/(LN(2)/2)*BL82*BO82*VLOOKUP('Données projet'!$B$11,Paramètres!$A$1:$I$89,3,0)*0.475*44/12</f>
        <v>6.0596794162496988E-7</v>
      </c>
      <c r="BS82" s="22">
        <f t="shared" si="63"/>
        <v>4.1273310729614598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206</v>
      </c>
      <c r="L83" s="12">
        <f>VLOOKUP(A83,'Données projet'!$A$35:$I$55,9,0)</f>
        <v>4.8</v>
      </c>
      <c r="M83" s="12">
        <f t="array" ref="M83">INDEX(L:L,MIN(IF(ISNUMBER(L83:L279),ROW(L83:L279),"")))</f>
        <v>4.8</v>
      </c>
      <c r="N83" s="13">
        <f>IF('Données projet'!$A$36&gt;35,N82+M83-V82,IF(A83&lt;'Données projet'!$A$36,$K$205^A83,IF(A83='Données projet'!$A$36,'Données projet'!$B$36,N82+M83-V82)))</f>
        <v>205.99999999999997</v>
      </c>
      <c r="O83" s="13">
        <f>N83*VLOOKUP('Données projet'!$B$9,Paramètres!$A$1:$I$89,3,0)*VLOOKUP('Données projet'!$B$9,Paramètres!$A$1:$I$89,5,0)</f>
        <v>186.38879999999997</v>
      </c>
      <c r="P83" s="13">
        <f t="shared" si="87"/>
        <v>46.740678346193498</v>
      </c>
      <c r="Q83" s="20">
        <f t="shared" si="54"/>
        <v>406.0338414529536</v>
      </c>
      <c r="R83" s="59">
        <f t="shared" si="55"/>
        <v>699.36717478628691</v>
      </c>
      <c r="S83" s="59">
        <f ca="1">AVERAGE(OFFSET($R$3,0,0,'Données projet'!$E$9+1,1))-AVERAGE(OFFSET($H$3,0,0,'Données projet'!$E$9+1,1))</f>
        <v>138.8931001150624</v>
      </c>
      <c r="T83" s="59">
        <f t="shared" si="88"/>
        <v>48.964659354096625</v>
      </c>
      <c r="U83" s="15">
        <f>IF(ISNA(VLOOKUP(A83,'Données projet'!$A$35:$I$55,3,0)),0,VLOOKUP(A83,'Données projet'!$A$35:$I$55,3,0))</f>
        <v>5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334.5</v>
      </c>
      <c r="AG83" s="12">
        <f>VLOOKUP(A83,'Données projet'!$A$61:$I$81,9,0)</f>
        <v>7.7</v>
      </c>
      <c r="AH83" s="12">
        <f t="array" ref="AH83">INDEX(AG:AG,MIN(IF(ISNUMBER(AG83:AG279),ROW(AG83:AG279),"")))</f>
        <v>7.7</v>
      </c>
      <c r="AI83" s="13">
        <f>IF('Données projet'!$A$62&gt;35,AI82+AH83-AQ82,IF(A83&lt;'Données projet'!$A$62,$AF$205^A83,IF(A83='Données projet'!$A$62,'Données projet'!$B$62,AI82+AH83-AQ82)))</f>
        <v>334.49999999999983</v>
      </c>
      <c r="AJ83" s="13">
        <f>AI83*VLOOKUP('Données projet'!$B$10,Paramètres!$A$1:$I$89,3,0)*VLOOKUP('Données projet'!$B$10,Paramètres!$A$1:$I$89,5,0)</f>
        <v>156.54599999999991</v>
      </c>
      <c r="AK83" s="13">
        <f t="shared" si="89"/>
        <v>40.062469306923084</v>
      </c>
      <c r="AL83" s="20">
        <f t="shared" si="58"/>
        <v>342.42641737622415</v>
      </c>
      <c r="AM83" s="59">
        <f t="shared" si="59"/>
        <v>635.75975070955747</v>
      </c>
      <c r="AN83" s="59">
        <f ca="1">AVERAGE(OFFSET($AM$3,0,0,'Données projet'!$E$10+1,1))-AVERAGE(OFFSET($H$3,0,0,'Données projet'!$E$10+1,1))</f>
        <v>123.60520571614535</v>
      </c>
      <c r="AO83" s="59">
        <f t="shared" si="90"/>
        <v>119.00926870519527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46.3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0.32220165338272583</v>
      </c>
      <c r="AV83" s="21">
        <f>EXP(-LN(2)/25)*AV82+(1-EXP(-LN(2)/25))/(LN(2)/25)*Calculateur!AQ83*Calculateur!AS83*VLOOKUP('Données projet'!$B$10,Paramètres!$A$1:$I$89,3,0)*0.475*44/12</f>
        <v>1.1941895508093689</v>
      </c>
      <c r="AW83" s="21">
        <f>EXP(-LN(2)/2)*AW82+(1-EXP(-LN(2)/2))/(LN(2)/2)*AQ83*AT83*VLOOKUP('Données projet'!$B$10,Paramètres!$A$1:$I$89,3,0)*0.475*44/12</f>
        <v>1.8220277104027705E-7</v>
      </c>
      <c r="AX83" s="21">
        <f t="shared" si="60"/>
        <v>1.5163913863948659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678</v>
      </c>
      <c r="BB83" s="12">
        <f>VLOOKUP(A83,'Données projet'!$A$87:$I$107,9,0)</f>
        <v>13.3</v>
      </c>
      <c r="BC83" s="12">
        <f t="array" ref="BC83">INDEX(BB:BB,MIN(IF(ISNUMBER(BB83:BB279),ROW(BB83:BB279),"")))</f>
        <v>13.3</v>
      </c>
      <c r="BD83" s="12">
        <f>IF('Données projet'!$A$88&gt;35,BD82+BC83-BL82,IF(A83&lt;'Données projet'!$A$88,$BA$205^A83,IF(A83='Données projet'!$A$88,'Données projet'!$B$88,BD82+BC83-BL82)))</f>
        <v>677.99999999999886</v>
      </c>
      <c r="BE83" s="13">
        <f>BD83*VLOOKUP('Données projet'!$B$11,Paramètres!$A$1:$I$89,3,0)*VLOOKUP('Données projet'!$B$11,Paramètres!$A$1:$I$89,5,0)</f>
        <v>326.11799999999948</v>
      </c>
      <c r="BF83" s="13">
        <f t="shared" si="91"/>
        <v>76.624916074567736</v>
      </c>
      <c r="BG83" s="20">
        <f t="shared" si="61"/>
        <v>701.44391216320446</v>
      </c>
      <c r="BH83" s="59">
        <f t="shared" si="62"/>
        <v>994.77724549653772</v>
      </c>
      <c r="BI83" s="59">
        <f ca="1">AVERAGE(OFFSET($BH$3,0,0,'Données projet'!$E$11+1,1))-AVERAGE(OFFSET($H$3,0,0,'Données projet'!$E$11+1,1))</f>
        <v>252.30925789500111</v>
      </c>
      <c r="BJ83" s="59">
        <f t="shared" si="92"/>
        <v>213.96033794804805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678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1.7209458389339816</v>
      </c>
      <c r="BQ83" s="21">
        <f>EXP(-LN(2)/25)*BQ82+(1-EXP(-LN(2)/25))/(LN(2)/25)*Calculateur!BL83*Calculateur!BN83*VLOOKUP('Données projet'!$B$11,Paramètres!$A$1:$I$89,3,0)*0.475*44/12</f>
        <v>2.3071014901812332</v>
      </c>
      <c r="BR83" s="21">
        <f>EXP(-LN(2)/2)*BR82+(1-EXP(-LN(2)/2))/(LN(2)/2)*BL83*BO83*VLOOKUP('Données projet'!$B$11,Paramètres!$A$1:$I$89,3,0)*0.475*44/12</f>
        <v>4.2848404070467019E-7</v>
      </c>
      <c r="BS83" s="22">
        <f t="shared" si="63"/>
        <v>4.0280477575992562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4.3</v>
      </c>
      <c r="N84" s="13">
        <f>IF('Données projet'!$A$36&gt;35,N83+M84-V83,IF(A84&lt;'Données projet'!$A$36,$K$205^A84,IF(A84='Données projet'!$A$36,'Données projet'!$B$36,N83+M84-V83)))</f>
        <v>182.29999999999998</v>
      </c>
      <c r="O84" s="13">
        <f>N84*VLOOKUP('Données projet'!$B$9,Paramètres!$A$1:$I$89,3,0)*VLOOKUP('Données projet'!$B$9,Paramètres!$A$1:$I$89,5,0)</f>
        <v>164.94503999999998</v>
      </c>
      <c r="P84" s="13">
        <f t="shared" si="87"/>
        <v>41.955899409919233</v>
      </c>
      <c r="Q84" s="20">
        <f t="shared" si="54"/>
        <v>360.35246947227597</v>
      </c>
      <c r="R84" s="59">
        <f t="shared" si="55"/>
        <v>653.68580280560923</v>
      </c>
      <c r="S84" s="59">
        <f ca="1">AVERAGE(OFFSET($R$3,0,0,'Données projet'!$E$9+1,1))-AVERAGE(OFFSET($H$3,0,0,'Données projet'!$E$9+1,1))</f>
        <v>138.8931001150624</v>
      </c>
      <c r="T84" s="59">
        <f t="shared" si="88"/>
        <v>48.964659354096625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8.3000000000000007</v>
      </c>
      <c r="AI84" s="13">
        <f>IF('Données projet'!$A$62&gt;35,AI83+AH84-AQ83,IF(A84&lt;'Données projet'!$A$62,$AF$205^A84,IF(A84='Données projet'!$A$62,'Données projet'!$B$62,AI83+AH84-AQ83)))</f>
        <v>296.49999999999983</v>
      </c>
      <c r="AJ84" s="13">
        <f>AI84*VLOOKUP('Données projet'!$B$10,Paramètres!$A$1:$I$89,3,0)*VLOOKUP('Données projet'!$B$10,Paramètres!$A$1:$I$89,5,0)</f>
        <v>138.76199999999992</v>
      </c>
      <c r="AK84" s="13">
        <f t="shared" si="89"/>
        <v>36.01325063671441</v>
      </c>
      <c r="AL84" s="20">
        <f t="shared" si="58"/>
        <v>304.40022819227744</v>
      </c>
      <c r="AM84" s="59">
        <f t="shared" si="59"/>
        <v>597.73356152561075</v>
      </c>
      <c r="AN84" s="59">
        <f ca="1">AVERAGE(OFFSET($AM$3,0,0,'Données projet'!$E$10+1,1))-AVERAGE(OFFSET($H$3,0,0,'Données projet'!$E$10+1,1))</f>
        <v>123.60520571614535</v>
      </c>
      <c r="AO84" s="59">
        <f t="shared" si="90"/>
        <v>119.00926870519527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0.31588347548349405</v>
      </c>
      <c r="AV84" s="21">
        <f>EXP(-LN(2)/25)*AV83+(1-EXP(-LN(2)/25))/(LN(2)/25)*Calculateur!AQ84*Calculateur!AS84*VLOOKUP('Données projet'!$B$10,Paramètres!$A$1:$I$89,3,0)*0.475*44/12</f>
        <v>1.1615343747427875</v>
      </c>
      <c r="AW84" s="21">
        <f>EXP(-LN(2)/2)*AW83+(1-EXP(-LN(2)/2))/(LN(2)/2)*AQ84*AT84*VLOOKUP('Données projet'!$B$10,Paramètres!$A$1:$I$89,3,0)*0.475*44/12</f>
        <v>1.288368149535598E-7</v>
      </c>
      <c r="AX84" s="21">
        <f t="shared" si="60"/>
        <v>1.4774179790630966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-1.1368683772161603E-12</v>
      </c>
      <c r="BE84" s="13">
        <f>BD84*VLOOKUP('Données projet'!$B$11,Paramètres!$A$1:$I$89,3,0)*VLOOKUP('Données projet'!$B$11,Paramètres!$A$1:$I$89,5,0)</f>
        <v>-5.4683368944097316E-13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252.30925789500111</v>
      </c>
      <c r="BJ84" s="59">
        <f t="shared" si="92"/>
        <v>213.96033794804805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1.6871991407058013</v>
      </c>
      <c r="BQ84" s="21">
        <f>EXP(-LN(2)/25)*BQ83+(1-EXP(-LN(2)/25))/(LN(2)/25)*Calculateur!BL84*Calculateur!BN84*VLOOKUP('Données projet'!$B$11,Paramètres!$A$1:$I$89,3,0)*0.475*44/12</f>
        <v>2.244013678607033</v>
      </c>
      <c r="BR84" s="21">
        <f>EXP(-LN(2)/2)*BR83+(1-EXP(-LN(2)/2))/(LN(2)/2)*BL84*BO84*VLOOKUP('Données projet'!$B$11,Paramètres!$A$1:$I$89,3,0)*0.475*44/12</f>
        <v>3.0298397081248494E-7</v>
      </c>
      <c r="BS84" s="22">
        <f t="shared" si="63"/>
        <v>3.9312131222968052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4.3</v>
      </c>
      <c r="N85" s="13">
        <f>IF('Données projet'!$A$36&gt;35,N84+M85-V84,IF(A85&lt;'Données projet'!$A$36,$K$205^A85,IF(A85='Données projet'!$A$36,'Données projet'!$B$36,N84+M85-V84)))</f>
        <v>186.6</v>
      </c>
      <c r="O85" s="13">
        <f>N85*VLOOKUP('Données projet'!$B$9,Paramètres!$A$1:$I$89,3,0)*VLOOKUP('Données projet'!$B$9,Paramètres!$A$1:$I$89,5,0)</f>
        <v>168.83568</v>
      </c>
      <c r="P85" s="13">
        <f t="shared" si="87"/>
        <v>42.829150426593394</v>
      </c>
      <c r="Q85" s="20">
        <f t="shared" si="54"/>
        <v>368.6495796596501</v>
      </c>
      <c r="R85" s="59">
        <f t="shared" si="55"/>
        <v>661.98291299298342</v>
      </c>
      <c r="S85" s="59">
        <f ca="1">AVERAGE(OFFSET($R$3,0,0,'Données projet'!$E$9+1,1))-AVERAGE(OFFSET($H$3,0,0,'Données projet'!$E$9+1,1))</f>
        <v>138.8931001150624</v>
      </c>
      <c r="T85" s="59">
        <f t="shared" si="88"/>
        <v>48.964659354096625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8.3000000000000007</v>
      </c>
      <c r="AI85" s="13">
        <f>IF('Données projet'!$A$62&gt;35,AI84+AH85-AQ84,IF(A85&lt;'Données projet'!$A$62,$AF$205^A85,IF(A85='Données projet'!$A$62,'Données projet'!$B$62,AI84+AH85-AQ84)))</f>
        <v>304.79999999999984</v>
      </c>
      <c r="AJ85" s="13">
        <f>AI85*VLOOKUP('Données projet'!$B$10,Paramètres!$A$1:$I$89,3,0)*VLOOKUP('Données projet'!$B$10,Paramètres!$A$1:$I$89,5,0)</f>
        <v>142.64639999999991</v>
      </c>
      <c r="AK85" s="13">
        <f t="shared" si="89"/>
        <v>36.902596251289559</v>
      </c>
      <c r="AL85" s="20">
        <f t="shared" si="58"/>
        <v>312.71450180432913</v>
      </c>
      <c r="AM85" s="59">
        <f t="shared" si="59"/>
        <v>606.04783513766245</v>
      </c>
      <c r="AN85" s="59">
        <f ca="1">AVERAGE(OFFSET($AM$3,0,0,'Données projet'!$E$10+1,1))-AVERAGE(OFFSET($H$3,0,0,'Données projet'!$E$10+1,1))</f>
        <v>123.60520571614535</v>
      </c>
      <c r="AO85" s="59">
        <f t="shared" si="90"/>
        <v>119.00926870519527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0.30968919319915822</v>
      </c>
      <c r="AV85" s="21">
        <f>EXP(-LN(2)/25)*AV84+(1-EXP(-LN(2)/25))/(LN(2)/25)*Calculateur!AQ85*Calculateur!AS85*VLOOKUP('Données projet'!$B$10,Paramètres!$A$1:$I$89,3,0)*0.475*44/12</f>
        <v>1.1297721561830079</v>
      </c>
      <c r="AW85" s="21">
        <f>EXP(-LN(2)/2)*AW84+(1-EXP(-LN(2)/2))/(LN(2)/2)*AQ85*AT85*VLOOKUP('Données projet'!$B$10,Paramètres!$A$1:$I$89,3,0)*0.475*44/12</f>
        <v>9.1101385520138524E-8</v>
      </c>
      <c r="AX85" s="21">
        <f t="shared" si="60"/>
        <v>1.4394614404835515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-1.1368683772161603E-12</v>
      </c>
      <c r="BE85" s="13">
        <f>BD85*VLOOKUP('Données projet'!$B$11,Paramètres!$A$1:$I$89,3,0)*VLOOKUP('Données projet'!$B$11,Paramètres!$A$1:$I$89,5,0)</f>
        <v>-5.4683368944097316E-13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252.30925789500111</v>
      </c>
      <c r="BJ85" s="59">
        <f t="shared" si="92"/>
        <v>213.96033794804805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1.6541141946464222</v>
      </c>
      <c r="BQ85" s="21">
        <f>EXP(-LN(2)/25)*BQ84+(1-EXP(-LN(2)/25))/(LN(2)/25)*Calculateur!BL85*Calculateur!BN85*VLOOKUP('Données projet'!$B$11,Paramètres!$A$1:$I$89,3,0)*0.475*44/12</f>
        <v>2.1826510065579732</v>
      </c>
      <c r="BR85" s="21">
        <f>EXP(-LN(2)/2)*BR84+(1-EXP(-LN(2)/2))/(LN(2)/2)*BL85*BO85*VLOOKUP('Données projet'!$B$11,Paramètres!$A$1:$I$89,3,0)*0.475*44/12</f>
        <v>2.1424202035233509E-7</v>
      </c>
      <c r="BS85" s="22">
        <f t="shared" si="63"/>
        <v>3.8367654154464157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4.3</v>
      </c>
      <c r="N86" s="13">
        <f>IF('Données projet'!$A$36&gt;35,N85+M86-V85,IF(A86&lt;'Données projet'!$A$36,$K$205^A86,IF(A86='Données projet'!$A$36,'Données projet'!$B$36,N85+M86-V85)))</f>
        <v>190.9</v>
      </c>
      <c r="O86" s="13">
        <f>N86*VLOOKUP('Données projet'!$B$9,Paramètres!$A$1:$I$89,3,0)*VLOOKUP('Données projet'!$B$9,Paramètres!$A$1:$I$89,5,0)</f>
        <v>172.72631999999999</v>
      </c>
      <c r="P86" s="13">
        <f t="shared" si="87"/>
        <v>43.700062028669137</v>
      </c>
      <c r="Q86" s="20">
        <f t="shared" si="54"/>
        <v>376.94261536659877</v>
      </c>
      <c r="R86" s="59">
        <f t="shared" si="55"/>
        <v>670.27594869993209</v>
      </c>
      <c r="S86" s="59">
        <f ca="1">AVERAGE(OFFSET($R$3,0,0,'Données projet'!$E$9+1,1))-AVERAGE(OFFSET($H$3,0,0,'Données projet'!$E$9+1,1))</f>
        <v>138.8931001150624</v>
      </c>
      <c r="T86" s="59">
        <f t="shared" si="88"/>
        <v>48.964659354096625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8.3000000000000007</v>
      </c>
      <c r="AI86" s="13">
        <f>IF('Données projet'!$A$62&gt;35,AI85+AH86-AQ85,IF(A86&lt;'Données projet'!$A$62,$AF$205^A86,IF(A86='Données projet'!$A$62,'Données projet'!$B$62,AI85+AH86-AQ85)))</f>
        <v>313.09999999999985</v>
      </c>
      <c r="AJ86" s="13">
        <f>AI86*VLOOKUP('Données projet'!$B$10,Paramètres!$A$1:$I$89,3,0)*VLOOKUP('Données projet'!$B$10,Paramètres!$A$1:$I$89,5,0)</f>
        <v>146.53079999999991</v>
      </c>
      <c r="AK86" s="13">
        <f t="shared" si="89"/>
        <v>37.789127015633198</v>
      </c>
      <c r="AL86" s="20">
        <f t="shared" si="58"/>
        <v>321.02387288556099</v>
      </c>
      <c r="AM86" s="59">
        <f t="shared" si="59"/>
        <v>614.35720621889436</v>
      </c>
      <c r="AN86" s="59">
        <f ca="1">AVERAGE(OFFSET($AM$3,0,0,'Données projet'!$E$10+1,1))-AVERAGE(OFFSET($H$3,0,0,'Données projet'!$E$10+1,1))</f>
        <v>123.60520571614535</v>
      </c>
      <c r="AO86" s="59">
        <f t="shared" si="90"/>
        <v>119.00926870519527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0.30361637701227906</v>
      </c>
      <c r="AV86" s="21">
        <f>EXP(-LN(2)/25)*AV85+(1-EXP(-LN(2)/25))/(LN(2)/25)*Calculateur!AQ86*Calculateur!AS86*VLOOKUP('Données projet'!$B$10,Paramètres!$A$1:$I$89,3,0)*0.475*44/12</f>
        <v>1.0988784771600479</v>
      </c>
      <c r="AW86" s="21">
        <f>EXP(-LN(2)/2)*AW85+(1-EXP(-LN(2)/2))/(LN(2)/2)*AQ86*AT86*VLOOKUP('Données projet'!$B$10,Paramètres!$A$1:$I$89,3,0)*0.475*44/12</f>
        <v>6.4418407476779899E-8</v>
      </c>
      <c r="AX86" s="21">
        <f t="shared" si="60"/>
        <v>1.4024949185907345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-1.1368683772161603E-12</v>
      </c>
      <c r="BE86" s="13">
        <f>BD86*VLOOKUP('Données projet'!$B$11,Paramètres!$A$1:$I$89,3,0)*VLOOKUP('Données projet'!$B$11,Paramètres!$A$1:$I$89,5,0)</f>
        <v>-5.4683368944097316E-13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252.30925789500111</v>
      </c>
      <c r="BJ86" s="59">
        <f t="shared" si="92"/>
        <v>213.96033794804805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1.6216780241994431</v>
      </c>
      <c r="BQ86" s="21">
        <f>EXP(-LN(2)/25)*BQ85+(1-EXP(-LN(2)/25))/(LN(2)/25)*Calculateur!BL86*Calculateur!BN86*VLOOKUP('Données projet'!$B$11,Paramètres!$A$1:$I$89,3,0)*0.475*44/12</f>
        <v>2.1229663000030174</v>
      </c>
      <c r="BR86" s="21">
        <f>EXP(-LN(2)/2)*BR85+(1-EXP(-LN(2)/2))/(LN(2)/2)*BL86*BO86*VLOOKUP('Données projet'!$B$11,Paramètres!$A$1:$I$89,3,0)*0.475*44/12</f>
        <v>1.5149198540624247E-7</v>
      </c>
      <c r="BS86" s="22">
        <f t="shared" si="63"/>
        <v>3.7446444756944461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4.3</v>
      </c>
      <c r="N87" s="13">
        <f>IF('Données projet'!$A$36&gt;35,N86+M87-V86,IF(A87&lt;'Données projet'!$A$36,$K$205^A87,IF(A87='Données projet'!$A$36,'Données projet'!$B$36,N86+M87-V86)))</f>
        <v>195.20000000000002</v>
      </c>
      <c r="O87" s="13">
        <f>N87*VLOOKUP('Données projet'!$B$9,Paramètres!$A$1:$I$89,3,0)*VLOOKUP('Données projet'!$B$9,Paramètres!$A$1:$I$89,5,0)</f>
        <v>176.61696000000001</v>
      </c>
      <c r="P87" s="13">
        <f t="shared" si="87"/>
        <v>44.56869297787356</v>
      </c>
      <c r="Q87" s="20">
        <f t="shared" si="54"/>
        <v>385.23167893646314</v>
      </c>
      <c r="R87" s="59">
        <f t="shared" si="55"/>
        <v>678.5650122697964</v>
      </c>
      <c r="S87" s="59">
        <f ca="1">AVERAGE(OFFSET($R$3,0,0,'Données projet'!$E$9+1,1))-AVERAGE(OFFSET($H$3,0,0,'Données projet'!$E$9+1,1))</f>
        <v>138.8931001150624</v>
      </c>
      <c r="T87" s="59">
        <f t="shared" si="88"/>
        <v>48.964659354096625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8.3000000000000007</v>
      </c>
      <c r="AI87" s="13">
        <f>IF('Données projet'!$A$62&gt;35,AI86+AH87-AQ86,IF(A87&lt;'Données projet'!$A$62,$AF$205^A87,IF(A87='Données projet'!$A$62,'Données projet'!$B$62,AI86+AH87-AQ86)))</f>
        <v>321.39999999999986</v>
      </c>
      <c r="AJ87" s="13">
        <f>AI87*VLOOKUP('Données projet'!$B$10,Paramètres!$A$1:$I$89,3,0)*VLOOKUP('Données projet'!$B$10,Paramètres!$A$1:$I$89,5,0)</f>
        <v>150.41519999999994</v>
      </c>
      <c r="AK87" s="13">
        <f t="shared" si="89"/>
        <v>38.672926125901775</v>
      </c>
      <c r="AL87" s="20">
        <f t="shared" si="58"/>
        <v>329.32848633594546</v>
      </c>
      <c r="AM87" s="59">
        <f t="shared" si="59"/>
        <v>622.66181966927877</v>
      </c>
      <c r="AN87" s="59">
        <f ca="1">AVERAGE(OFFSET($AM$3,0,0,'Données projet'!$E$10+1,1))-AVERAGE(OFFSET($H$3,0,0,'Données projet'!$E$10+1,1))</f>
        <v>123.60520571614535</v>
      </c>
      <c r="AO87" s="59">
        <f t="shared" si="90"/>
        <v>119.00926870519527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0.29766264504677248</v>
      </c>
      <c r="AV87" s="21">
        <f>EXP(-LN(2)/25)*AV86+(1-EXP(-LN(2)/25))/(LN(2)/25)*Calculateur!AQ87*Calculateur!AS87*VLOOKUP('Données projet'!$B$10,Paramètres!$A$1:$I$89,3,0)*0.475*44/12</f>
        <v>1.0688295874145988</v>
      </c>
      <c r="AW87" s="21">
        <f>EXP(-LN(2)/2)*AW86+(1-EXP(-LN(2)/2))/(LN(2)/2)*AQ87*AT87*VLOOKUP('Données projet'!$B$10,Paramètres!$A$1:$I$89,3,0)*0.475*44/12</f>
        <v>4.5550692760069262E-8</v>
      </c>
      <c r="AX87" s="21">
        <f t="shared" si="60"/>
        <v>1.3664922780120641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-1.1368683772161603E-12</v>
      </c>
      <c r="BE87" s="13">
        <f>BD87*VLOOKUP('Données projet'!$B$11,Paramètres!$A$1:$I$89,3,0)*VLOOKUP('Données projet'!$B$11,Paramètres!$A$1:$I$89,5,0)</f>
        <v>-5.4683368944097316E-13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252.30925789500111</v>
      </c>
      <c r="BJ87" s="59">
        <f t="shared" si="92"/>
        <v>213.96033794804805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1.5898779072708187</v>
      </c>
      <c r="BQ87" s="21">
        <f>EXP(-LN(2)/25)*BQ86+(1-EXP(-LN(2)/25))/(LN(2)/25)*Calculateur!BL87*Calculateur!BN87*VLOOKUP('Données projet'!$B$11,Paramètres!$A$1:$I$89,3,0)*0.475*44/12</f>
        <v>2.0649136748874892</v>
      </c>
      <c r="BR87" s="21">
        <f>EXP(-LN(2)/2)*BR86+(1-EXP(-LN(2)/2))/(LN(2)/2)*BL87*BO87*VLOOKUP('Données projet'!$B$11,Paramètres!$A$1:$I$89,3,0)*0.475*44/12</f>
        <v>1.0712101017616755E-7</v>
      </c>
      <c r="BS87" s="22">
        <f t="shared" si="63"/>
        <v>3.654791689279318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4.3</v>
      </c>
      <c r="N88" s="13">
        <f>IF('Données projet'!$A$36&gt;35,N87+M88-V87,IF(A88&lt;'Données projet'!$A$36,$K$205^A88,IF(A88='Données projet'!$A$36,'Données projet'!$B$36,N87+M88-V87)))</f>
        <v>199.50000000000003</v>
      </c>
      <c r="O88" s="13">
        <f>N88*VLOOKUP('Données projet'!$B$9,Paramètres!$A$1:$I$89,3,0)*VLOOKUP('Données projet'!$B$9,Paramètres!$A$1:$I$89,5,0)</f>
        <v>180.50760000000002</v>
      </c>
      <c r="P88" s="13">
        <f t="shared" si="87"/>
        <v>45.435099299216873</v>
      </c>
      <c r="Q88" s="20">
        <f t="shared" si="54"/>
        <v>393.51686794613602</v>
      </c>
      <c r="R88" s="59">
        <f t="shared" si="55"/>
        <v>686.85020127946927</v>
      </c>
      <c r="S88" s="59">
        <f ca="1">AVERAGE(OFFSET($R$3,0,0,'Données projet'!$E$9+1,1))-AVERAGE(OFFSET($H$3,0,0,'Données projet'!$E$9+1,1))</f>
        <v>138.8931001150624</v>
      </c>
      <c r="T88" s="59">
        <f t="shared" si="88"/>
        <v>48.964659354096625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8.3000000000000007</v>
      </c>
      <c r="AI88" s="13">
        <f>IF('Données projet'!$A$62&gt;35,AI87+AH88-AQ87,IF(A88&lt;'Données projet'!$A$62,$AF$205^A88,IF(A88='Données projet'!$A$62,'Données projet'!$B$62,AI87+AH88-AQ87)))</f>
        <v>329.69999999999987</v>
      </c>
      <c r="AJ88" s="13">
        <f>AI88*VLOOKUP('Données projet'!$B$10,Paramètres!$A$1:$I$89,3,0)*VLOOKUP('Données projet'!$B$10,Paramètres!$A$1:$I$89,5,0)</f>
        <v>154.29959999999994</v>
      </c>
      <c r="AK88" s="13">
        <f t="shared" si="89"/>
        <v>39.55407223646921</v>
      </c>
      <c r="AL88" s="20">
        <f t="shared" si="58"/>
        <v>337.62847914518375</v>
      </c>
      <c r="AM88" s="59">
        <f t="shared" si="59"/>
        <v>630.961812478517</v>
      </c>
      <c r="AN88" s="59">
        <f ca="1">AVERAGE(OFFSET($AM$3,0,0,'Données projet'!$E$10+1,1))-AVERAGE(OFFSET($H$3,0,0,'Données projet'!$E$10+1,1))</f>
        <v>123.60520571614535</v>
      </c>
      <c r="AO88" s="59">
        <f t="shared" si="90"/>
        <v>119.00926870519527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0.29182566213369154</v>
      </c>
      <c r="AV88" s="21">
        <f>EXP(-LN(2)/25)*AV87+(1-EXP(-LN(2)/25))/(LN(2)/25)*Calculateur!AQ88*Calculateur!AS88*VLOOKUP('Données projet'!$B$10,Paramètres!$A$1:$I$89,3,0)*0.475*44/12</f>
        <v>1.0396023861394414</v>
      </c>
      <c r="AW88" s="21">
        <f>EXP(-LN(2)/2)*AW87+(1-EXP(-LN(2)/2))/(LN(2)/2)*AQ88*AT88*VLOOKUP('Données projet'!$B$10,Paramètres!$A$1:$I$89,3,0)*0.475*44/12</f>
        <v>3.220920373838995E-8</v>
      </c>
      <c r="AX88" s="21">
        <f t="shared" si="60"/>
        <v>1.3314280804823366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-1.1368683772161603E-12</v>
      </c>
      <c r="BE88" s="13">
        <f>BD88*VLOOKUP('Données projet'!$B$11,Paramètres!$A$1:$I$89,3,0)*VLOOKUP('Données projet'!$B$11,Paramètres!$A$1:$I$89,5,0)</f>
        <v>-5.4683368944097316E-13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252.30925789500111</v>
      </c>
      <c r="BJ88" s="59">
        <f t="shared" si="92"/>
        <v>213.96033794804805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1.5587013712390085</v>
      </c>
      <c r="BQ88" s="21">
        <f>EXP(-LN(2)/25)*BQ87+(1-EXP(-LN(2)/25))/(LN(2)/25)*Calculateur!BL88*Calculateur!BN88*VLOOKUP('Données projet'!$B$11,Paramètres!$A$1:$I$89,3,0)*0.475*44/12</f>
        <v>2.0084485018586</v>
      </c>
      <c r="BR88" s="21">
        <f>EXP(-LN(2)/2)*BR87+(1-EXP(-LN(2)/2))/(LN(2)/2)*BL88*BO88*VLOOKUP('Données projet'!$B$11,Paramètres!$A$1:$I$89,3,0)*0.475*44/12</f>
        <v>7.5745992703121235E-8</v>
      </c>
      <c r="BS88" s="22">
        <f t="shared" si="63"/>
        <v>3.5671499488436011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4.3</v>
      </c>
      <c r="N89" s="13">
        <f>IF('Données projet'!$A$36&gt;35,N88+M89-V88,IF(A89&lt;'Données projet'!$A$36,$K$205^A89,IF(A89='Données projet'!$A$36,'Données projet'!$B$36,N88+M89-V88)))</f>
        <v>203.80000000000004</v>
      </c>
      <c r="O89" s="13">
        <f>N89*VLOOKUP('Données projet'!$B$9,Paramètres!$A$1:$I$89,3,0)*VLOOKUP('Données projet'!$B$9,Paramètres!$A$1:$I$89,5,0)</f>
        <v>184.39824000000004</v>
      </c>
      <c r="P89" s="13">
        <f t="shared" si="87"/>
        <v>46.299334464645916</v>
      </c>
      <c r="Q89" s="20">
        <f t="shared" si="54"/>
        <v>401.79827552592502</v>
      </c>
      <c r="R89" s="59">
        <f t="shared" si="55"/>
        <v>695.13160885925834</v>
      </c>
      <c r="S89" s="59">
        <f ca="1">AVERAGE(OFFSET($R$3,0,0,'Données projet'!$E$9+1,1))-AVERAGE(OFFSET($H$3,0,0,'Données projet'!$E$9+1,1))</f>
        <v>138.8931001150624</v>
      </c>
      <c r="T89" s="59">
        <f t="shared" si="88"/>
        <v>48.964659354096625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8.3000000000000007</v>
      </c>
      <c r="AI89" s="13">
        <f>IF('Données projet'!$A$62&gt;35,AI88+AH89-AQ88,IF(A89&lt;'Données projet'!$A$62,$AF$205^A89,IF(A89='Données projet'!$A$62,'Données projet'!$B$62,AI88+AH89-AQ88)))</f>
        <v>337.99999999999989</v>
      </c>
      <c r="AJ89" s="13">
        <f>AI89*VLOOKUP('Données projet'!$B$10,Paramètres!$A$1:$I$89,3,0)*VLOOKUP('Données projet'!$B$10,Paramètres!$A$1:$I$89,5,0)</f>
        <v>158.18399999999994</v>
      </c>
      <c r="AK89" s="13">
        <f t="shared" si="89"/>
        <v>40.432639815875881</v>
      </c>
      <c r="AL89" s="20">
        <f t="shared" si="58"/>
        <v>345.92398101265036</v>
      </c>
      <c r="AM89" s="59">
        <f t="shared" si="59"/>
        <v>639.25731434598367</v>
      </c>
      <c r="AN89" s="59">
        <f ca="1">AVERAGE(OFFSET($AM$3,0,0,'Données projet'!$E$10+1,1))-AVERAGE(OFFSET($H$3,0,0,'Données projet'!$E$10+1,1))</f>
        <v>123.60520571614535</v>
      </c>
      <c r="AO89" s="59">
        <f t="shared" si="90"/>
        <v>119.00926870519527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0.28610313889532812</v>
      </c>
      <c r="AV89" s="21">
        <f>EXP(-LN(2)/25)*AV88+(1-EXP(-LN(2)/25))/(LN(2)/25)*Calculateur!AQ89*Calculateur!AS89*VLOOKUP('Données projet'!$B$10,Paramètres!$A$1:$I$89,3,0)*0.475*44/12</f>
        <v>1.0111744042201449</v>
      </c>
      <c r="AW89" s="21">
        <f>EXP(-LN(2)/2)*AW88+(1-EXP(-LN(2)/2))/(LN(2)/2)*AQ89*AT89*VLOOKUP('Données projet'!$B$10,Paramètres!$A$1:$I$89,3,0)*0.475*44/12</f>
        <v>2.2775346380034631E-8</v>
      </c>
      <c r="AX89" s="21">
        <f t="shared" si="60"/>
        <v>1.2972775658908193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-1.1368683772161603E-12</v>
      </c>
      <c r="BE89" s="13">
        <f>BD89*VLOOKUP('Données projet'!$B$11,Paramètres!$A$1:$I$89,3,0)*VLOOKUP('Données projet'!$B$11,Paramètres!$A$1:$I$89,5,0)</f>
        <v>-5.4683368944097316E-13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252.30925789500111</v>
      </c>
      <c r="BJ89" s="59">
        <f t="shared" si="92"/>
        <v>213.96033794804805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1.5281361880629729</v>
      </c>
      <c r="BQ89" s="21">
        <f>EXP(-LN(2)/25)*BQ88+(1-EXP(-LN(2)/25))/(LN(2)/25)*Calculateur!BL89*Calculateur!BN89*VLOOKUP('Données projet'!$B$11,Paramètres!$A$1:$I$89,3,0)*0.475*44/12</f>
        <v>1.9535273719555604</v>
      </c>
      <c r="BR89" s="21">
        <f>EXP(-LN(2)/2)*BR88+(1-EXP(-LN(2)/2))/(LN(2)/2)*BL89*BO89*VLOOKUP('Données projet'!$B$11,Paramètres!$A$1:$I$89,3,0)*0.475*44/12</f>
        <v>5.3560505088083773E-8</v>
      </c>
      <c r="BS89" s="22">
        <f t="shared" si="63"/>
        <v>3.481663613579038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4.3</v>
      </c>
      <c r="N90" s="13">
        <f>IF('Données projet'!$A$36&gt;35,N89+M90-V89,IF(A90&lt;'Données projet'!$A$36,$K$205^A90,IF(A90='Données projet'!$A$36,'Données projet'!$B$36,N89+M90-V89)))</f>
        <v>208.10000000000005</v>
      </c>
      <c r="O90" s="13">
        <f>N90*VLOOKUP('Données projet'!$B$9,Paramètres!$A$1:$I$89,3,0)*VLOOKUP('Données projet'!$B$9,Paramètres!$A$1:$I$89,5,0)</f>
        <v>188.28888000000003</v>
      </c>
      <c r="P90" s="13">
        <f t="shared" si="87"/>
        <v>47.161449560760389</v>
      </c>
      <c r="Q90" s="20">
        <f t="shared" si="54"/>
        <v>410.07599065165772</v>
      </c>
      <c r="R90" s="59">
        <f t="shared" si="55"/>
        <v>703.40932398499103</v>
      </c>
      <c r="S90" s="59">
        <f ca="1">AVERAGE(OFFSET($R$3,0,0,'Données projet'!$E$9+1,1))-AVERAGE(OFFSET($H$3,0,0,'Données projet'!$E$9+1,1))</f>
        <v>138.8931001150624</v>
      </c>
      <c r="T90" s="59">
        <f t="shared" si="88"/>
        <v>48.964659354096625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8.3000000000000007</v>
      </c>
      <c r="AI90" s="13">
        <f>IF('Données projet'!$A$62&gt;35,AI89+AH90-AQ89,IF(A90&lt;'Données projet'!$A$62,$AF$205^A90,IF(A90='Données projet'!$A$62,'Données projet'!$B$62,AI89+AH90-AQ89)))</f>
        <v>346.2999999999999</v>
      </c>
      <c r="AJ90" s="13">
        <f>AI90*VLOOKUP('Données projet'!$B$10,Paramètres!$A$1:$I$89,3,0)*VLOOKUP('Données projet'!$B$10,Paramètres!$A$1:$I$89,5,0)</f>
        <v>162.06839999999997</v>
      </c>
      <c r="AK90" s="13">
        <f t="shared" si="89"/>
        <v>41.308699466829864</v>
      </c>
      <c r="AL90" s="20">
        <f t="shared" si="58"/>
        <v>354.21511490472858</v>
      </c>
      <c r="AM90" s="59">
        <f t="shared" si="59"/>
        <v>647.54844823806184</v>
      </c>
      <c r="AN90" s="59">
        <f ca="1">AVERAGE(OFFSET($AM$3,0,0,'Données projet'!$E$10+1,1))-AVERAGE(OFFSET($H$3,0,0,'Données projet'!$E$10+1,1))</f>
        <v>123.60520571614535</v>
      </c>
      <c r="AO90" s="59">
        <f t="shared" si="90"/>
        <v>119.00926870519527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0.28049283084727444</v>
      </c>
      <c r="AV90" s="21">
        <f>EXP(-LN(2)/25)*AV89+(1-EXP(-LN(2)/25))/(LN(2)/25)*Calculateur!AQ90*Calculateur!AS90*VLOOKUP('Données projet'!$B$10,Paramètres!$A$1:$I$89,3,0)*0.475*44/12</f>
        <v>0.9835237869613942</v>
      </c>
      <c r="AW90" s="21">
        <f>EXP(-LN(2)/2)*AW89+(1-EXP(-LN(2)/2))/(LN(2)/2)*AQ90*AT90*VLOOKUP('Données projet'!$B$10,Paramètres!$A$1:$I$89,3,0)*0.475*44/12</f>
        <v>1.6104601869194975E-8</v>
      </c>
      <c r="AX90" s="21">
        <f t="shared" si="60"/>
        <v>1.2640166339132706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-1.1368683772161603E-12</v>
      </c>
      <c r="BE90" s="13">
        <f>BD90*VLOOKUP('Données projet'!$B$11,Paramètres!$A$1:$I$89,3,0)*VLOOKUP('Données projet'!$B$11,Paramètres!$A$1:$I$89,5,0)</f>
        <v>-5.4683368944097316E-13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252.30925789500111</v>
      </c>
      <c r="BJ90" s="59">
        <f t="shared" si="92"/>
        <v>213.96033794804805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1.4981703694860984</v>
      </c>
      <c r="BQ90" s="21">
        <f>EXP(-LN(2)/25)*BQ89+(1-EXP(-LN(2)/25))/(LN(2)/25)*Calculateur!BL90*Calculateur!BN90*VLOOKUP('Données projet'!$B$11,Paramètres!$A$1:$I$89,3,0)*0.475*44/12</f>
        <v>1.9001080632378959</v>
      </c>
      <c r="BR90" s="21">
        <f>EXP(-LN(2)/2)*BR89+(1-EXP(-LN(2)/2))/(LN(2)/2)*BL90*BO90*VLOOKUP('Données projet'!$B$11,Paramètres!$A$1:$I$89,3,0)*0.475*44/12</f>
        <v>3.7872996351560618E-8</v>
      </c>
      <c r="BS90" s="22">
        <f t="shared" si="63"/>
        <v>3.3982784705969906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4.3</v>
      </c>
      <c r="N91" s="13">
        <f>IF('Données projet'!$A$36&gt;35,N90+M91-V90,IF(A91&lt;'Données projet'!$A$36,$K$205^A91,IF(A91='Données projet'!$A$36,'Données projet'!$B$36,N90+M91-V90)))</f>
        <v>212.40000000000006</v>
      </c>
      <c r="O91" s="13">
        <f>N91*VLOOKUP('Données projet'!$B$9,Paramètres!$A$1:$I$89,3,0)*VLOOKUP('Données projet'!$B$9,Paramètres!$A$1:$I$89,5,0)</f>
        <v>192.17952000000005</v>
      </c>
      <c r="P91" s="13">
        <f t="shared" si="87"/>
        <v>48.021493442275357</v>
      </c>
      <c r="Q91" s="20">
        <f t="shared" si="54"/>
        <v>418.35009841196302</v>
      </c>
      <c r="R91" s="59">
        <f t="shared" si="55"/>
        <v>711.68343174529628</v>
      </c>
      <c r="S91" s="59">
        <f ca="1">AVERAGE(OFFSET($R$3,0,0,'Données projet'!$E$9+1,1))-AVERAGE(OFFSET($H$3,0,0,'Données projet'!$E$9+1,1))</f>
        <v>138.8931001150624</v>
      </c>
      <c r="T91" s="59">
        <f t="shared" si="88"/>
        <v>48.964659354096625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8.3000000000000007</v>
      </c>
      <c r="AI91" s="13">
        <f>IF('Données projet'!$A$62&gt;35,AI90+AH91-AQ90,IF(A91&lt;'Données projet'!$A$62,$AF$205^A91,IF(A91='Données projet'!$A$62,'Données projet'!$B$62,AI90+AH91-AQ90)))</f>
        <v>354.59999999999991</v>
      </c>
      <c r="AJ91" s="13">
        <f>AI91*VLOOKUP('Données projet'!$B$10,Paramètres!$A$1:$I$89,3,0)*VLOOKUP('Données projet'!$B$10,Paramètres!$A$1:$I$89,5,0)</f>
        <v>165.95279999999997</v>
      </c>
      <c r="AK91" s="13">
        <f t="shared" si="89"/>
        <v>42.182318214665827</v>
      </c>
      <c r="AL91" s="20">
        <f t="shared" si="58"/>
        <v>362.50199755720956</v>
      </c>
      <c r="AM91" s="59">
        <f t="shared" si="59"/>
        <v>655.83533089054288</v>
      </c>
      <c r="AN91" s="59">
        <f ca="1">AVERAGE(OFFSET($AM$3,0,0,'Données projet'!$E$10+1,1))-AVERAGE(OFFSET($H$3,0,0,'Données projet'!$E$10+1,1))</f>
        <v>123.60520571614535</v>
      </c>
      <c r="AO91" s="59">
        <f t="shared" si="90"/>
        <v>119.00926870519527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0.27499253751809311</v>
      </c>
      <c r="AV91" s="21">
        <f>EXP(-LN(2)/25)*AV90+(1-EXP(-LN(2)/25))/(LN(2)/25)*Calculateur!AQ91*Calculateur!AS91*VLOOKUP('Données projet'!$B$10,Paramètres!$A$1:$I$89,3,0)*0.475*44/12</f>
        <v>0.95662927728566682</v>
      </c>
      <c r="AW91" s="21">
        <f>EXP(-LN(2)/2)*AW90+(1-EXP(-LN(2)/2))/(LN(2)/2)*AQ91*AT91*VLOOKUP('Données projet'!$B$10,Paramètres!$A$1:$I$89,3,0)*0.475*44/12</f>
        <v>1.1387673190017316E-8</v>
      </c>
      <c r="AX91" s="21">
        <f t="shared" si="60"/>
        <v>1.2316218261914331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-1.1368683772161603E-12</v>
      </c>
      <c r="BE91" s="13">
        <f>BD91*VLOOKUP('Données projet'!$B$11,Paramètres!$A$1:$I$89,3,0)*VLOOKUP('Données projet'!$B$11,Paramètres!$A$1:$I$89,5,0)</f>
        <v>-5.4683368944097316E-13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252.30925789500111</v>
      </c>
      <c r="BJ91" s="59">
        <f t="shared" si="92"/>
        <v>213.96033794804805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1.4687921623341718</v>
      </c>
      <c r="BQ91" s="21">
        <f>EXP(-LN(2)/25)*BQ90+(1-EXP(-LN(2)/25))/(LN(2)/25)*Calculateur!BL91*Calculateur!BN91*VLOOKUP('Données projet'!$B$11,Paramètres!$A$1:$I$89,3,0)*0.475*44/12</f>
        <v>1.8481495083263153</v>
      </c>
      <c r="BR91" s="21">
        <f>EXP(-LN(2)/2)*BR90+(1-EXP(-LN(2)/2))/(LN(2)/2)*BL91*BO91*VLOOKUP('Données projet'!$B$11,Paramètres!$A$1:$I$89,3,0)*0.475*44/12</f>
        <v>2.6780252544041887E-8</v>
      </c>
      <c r="BS91" s="22">
        <f t="shared" si="63"/>
        <v>3.3169416974407397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4.3</v>
      </c>
      <c r="N92" s="13">
        <f>IF('Données projet'!$A$36&gt;35,N91+M92-V91,IF(A92&lt;'Données projet'!$A$36,$K$205^A92,IF(A92='Données projet'!$A$36,'Données projet'!$B$36,N91+M92-V91)))</f>
        <v>216.70000000000007</v>
      </c>
      <c r="O92" s="13">
        <f>N92*VLOOKUP('Données projet'!$B$9,Paramètres!$A$1:$I$89,3,0)*VLOOKUP('Données projet'!$B$9,Paramètres!$A$1:$I$89,5,0)</f>
        <v>196.07016000000007</v>
      </c>
      <c r="P92" s="13">
        <f t="shared" si="87"/>
        <v>48.879512872705831</v>
      </c>
      <c r="Q92" s="20">
        <f t="shared" si="54"/>
        <v>426.62068025329609</v>
      </c>
      <c r="R92" s="59">
        <f t="shared" si="55"/>
        <v>719.95401358662934</v>
      </c>
      <c r="S92" s="59">
        <f ca="1">AVERAGE(OFFSET($R$3,0,0,'Données projet'!$E$9+1,1))-AVERAGE(OFFSET($H$3,0,0,'Données projet'!$E$9+1,1))</f>
        <v>138.8931001150624</v>
      </c>
      <c r="T92" s="59">
        <f t="shared" si="88"/>
        <v>48.964659354096625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8.3000000000000007</v>
      </c>
      <c r="AI92" s="13">
        <f>IF('Données projet'!$A$62&gt;35,AI91+AH92-AQ91,IF(A92&lt;'Données projet'!$A$62,$AF$205^A92,IF(A92='Données projet'!$A$62,'Données projet'!$B$62,AI91+AH92-AQ91)))</f>
        <v>362.89999999999992</v>
      </c>
      <c r="AJ92" s="13">
        <f>AI92*VLOOKUP('Données projet'!$B$10,Paramètres!$A$1:$I$89,3,0)*VLOOKUP('Données projet'!$B$10,Paramètres!$A$1:$I$89,5,0)</f>
        <v>169.83719999999997</v>
      </c>
      <c r="AK92" s="13">
        <f t="shared" si="89"/>
        <v>43.053559768035221</v>
      </c>
      <c r="AL92" s="20">
        <f t="shared" si="58"/>
        <v>370.78473992932794</v>
      </c>
      <c r="AM92" s="59">
        <f t="shared" si="59"/>
        <v>664.11807326266126</v>
      </c>
      <c r="AN92" s="59">
        <f ca="1">AVERAGE(OFFSET($AM$3,0,0,'Données projet'!$E$10+1,1))-AVERAGE(OFFSET($H$3,0,0,'Données projet'!$E$10+1,1))</f>
        <v>123.60520571614535</v>
      </c>
      <c r="AO92" s="59">
        <f t="shared" si="90"/>
        <v>119.00926870519527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0.26960010158624931</v>
      </c>
      <c r="AV92" s="21">
        <f>EXP(-LN(2)/25)*AV91+(1-EXP(-LN(2)/25))/(LN(2)/25)*Calculateur!AQ92*Calculateur!AS92*VLOOKUP('Données projet'!$B$10,Paramètres!$A$1:$I$89,3,0)*0.475*44/12</f>
        <v>0.93047019939134301</v>
      </c>
      <c r="AW92" s="21">
        <f>EXP(-LN(2)/2)*AW91+(1-EXP(-LN(2)/2))/(LN(2)/2)*AQ92*AT92*VLOOKUP('Données projet'!$B$10,Paramètres!$A$1:$I$89,3,0)*0.475*44/12</f>
        <v>8.0523009345974874E-9</v>
      </c>
      <c r="AX92" s="21">
        <f t="shared" si="60"/>
        <v>1.2000703090298932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-1.1368683772161603E-12</v>
      </c>
      <c r="BE92" s="13">
        <f>BD92*VLOOKUP('Données projet'!$B$11,Paramètres!$A$1:$I$89,3,0)*VLOOKUP('Données projet'!$B$11,Paramètres!$A$1:$I$89,5,0)</f>
        <v>-5.4683368944097316E-13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252.30925789500111</v>
      </c>
      <c r="BJ92" s="59">
        <f t="shared" si="92"/>
        <v>213.96033794804805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1.4399900439055573</v>
      </c>
      <c r="BQ92" s="21">
        <f>EXP(-LN(2)/25)*BQ91+(1-EXP(-LN(2)/25))/(LN(2)/25)*Calculateur!BL92*Calculateur!BN92*VLOOKUP('Données projet'!$B$11,Paramètres!$A$1:$I$89,3,0)*0.475*44/12</f>
        <v>1.7976117628311736</v>
      </c>
      <c r="BR92" s="21">
        <f>EXP(-LN(2)/2)*BR91+(1-EXP(-LN(2)/2))/(LN(2)/2)*BL92*BO92*VLOOKUP('Données projet'!$B$11,Paramètres!$A$1:$I$89,3,0)*0.475*44/12</f>
        <v>1.8936498175780309E-8</v>
      </c>
      <c r="BS92" s="22">
        <f t="shared" si="63"/>
        <v>3.2376018256732291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221</v>
      </c>
      <c r="L93" s="12">
        <f>VLOOKUP(A93,'Données projet'!$A$35:$I$55,9,0)</f>
        <v>4.3</v>
      </c>
      <c r="M93" s="12">
        <f t="array" ref="M93">INDEX(L:L,MIN(IF(ISNUMBER(L93:L289),ROW(L93:L289),"")))</f>
        <v>4.3</v>
      </c>
      <c r="N93" s="13">
        <f>IF('Données projet'!$A$36&gt;35,N92+M93-V92,IF(A93&lt;'Données projet'!$A$36,$K$205^A93,IF(A93='Données projet'!$A$36,'Données projet'!$B$36,N92+M93-V92)))</f>
        <v>221.00000000000009</v>
      </c>
      <c r="O93" s="13">
        <f>N93*VLOOKUP('Données projet'!$B$9,Paramètres!$A$1:$I$89,3,0)*VLOOKUP('Données projet'!$B$9,Paramètres!$A$1:$I$89,5,0)</f>
        <v>199.96080000000006</v>
      </c>
      <c r="P93" s="13">
        <f t="shared" si="87"/>
        <v>49.735552653569265</v>
      </c>
      <c r="Q93" s="20">
        <f t="shared" si="54"/>
        <v>434.88781420496662</v>
      </c>
      <c r="R93" s="59">
        <f t="shared" si="55"/>
        <v>728.22114753829987</v>
      </c>
      <c r="S93" s="59">
        <f ca="1">AVERAGE(OFFSET($R$3,0,0,'Données projet'!$E$9+1,1))-AVERAGE(OFFSET($H$3,0,0,'Données projet'!$E$9+1,1))</f>
        <v>138.8931001150624</v>
      </c>
      <c r="T93" s="59">
        <f t="shared" si="88"/>
        <v>48.964659354096625</v>
      </c>
      <c r="U93" s="15">
        <f>IF(ISNA(VLOOKUP(A93,'Données projet'!$A$35:$I$55,3,0)),0,VLOOKUP(A93,'Données projet'!$A$35:$I$55,3,0))</f>
        <v>6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371.2</v>
      </c>
      <c r="AG93" s="12">
        <f>VLOOKUP(A93,'Données projet'!$A$61:$I$81,9,0)</f>
        <v>8.3000000000000007</v>
      </c>
      <c r="AH93" s="12">
        <f t="array" ref="AH93">INDEX(AG:AG,MIN(IF(ISNUMBER(AG93:AG289),ROW(AG93:AG289),"")))</f>
        <v>8.3000000000000007</v>
      </c>
      <c r="AI93" s="13">
        <f>IF('Données projet'!$A$62&gt;35,AI92+AH93-AQ92,IF(A93&lt;'Données projet'!$A$62,$AF$205^A93,IF(A93='Données projet'!$A$62,'Données projet'!$B$62,AI92+AH93-AQ92)))</f>
        <v>371.19999999999993</v>
      </c>
      <c r="AJ93" s="13">
        <f>AI93*VLOOKUP('Données projet'!$B$10,Paramètres!$A$1:$I$89,3,0)*VLOOKUP('Données projet'!$B$10,Paramètres!$A$1:$I$89,5,0)</f>
        <v>173.72159999999997</v>
      </c>
      <c r="AK93" s="13">
        <f t="shared" si="89"/>
        <v>43.922484755075111</v>
      </c>
      <c r="AL93" s="20">
        <f t="shared" si="58"/>
        <v>379.06344761508905</v>
      </c>
      <c r="AM93" s="59">
        <f t="shared" si="59"/>
        <v>672.39678094842236</v>
      </c>
      <c r="AN93" s="59">
        <f ca="1">AVERAGE(OFFSET($AM$3,0,0,'Données projet'!$E$10+1,1))-AVERAGE(OFFSET($H$3,0,0,'Données projet'!$E$10+1,1))</f>
        <v>123.60520571614535</v>
      </c>
      <c r="AO93" s="59">
        <f t="shared" si="90"/>
        <v>119.00926870519527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46.3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0.26431340803396786</v>
      </c>
      <c r="AV93" s="21">
        <f>EXP(-LN(2)/25)*AV92+(1-EXP(-LN(2)/25))/(LN(2)/25)*Calculateur!AQ93*Calculateur!AS93*VLOOKUP('Données projet'!$B$10,Paramètres!$A$1:$I$89,3,0)*0.475*44/12</f>
        <v>0.90502644285768552</v>
      </c>
      <c r="AW93" s="21">
        <f>EXP(-LN(2)/2)*AW92+(1-EXP(-LN(2)/2))/(LN(2)/2)*AQ93*AT93*VLOOKUP('Données projet'!$B$10,Paramètres!$A$1:$I$89,3,0)*0.475*44/12</f>
        <v>5.6938365950086578E-9</v>
      </c>
      <c r="AX93" s="21">
        <f t="shared" si="60"/>
        <v>1.16933985658549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-1.1368683772161603E-12</v>
      </c>
      <c r="BE93" s="13">
        <f>BD93*VLOOKUP('Données projet'!$B$11,Paramètres!$A$1:$I$89,3,0)*VLOOKUP('Données projet'!$B$11,Paramètres!$A$1:$I$89,5,0)</f>
        <v>-5.4683368944097316E-13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252.30925789500111</v>
      </c>
      <c r="BJ93" s="59">
        <f t="shared" si="92"/>
        <v>213.96033794804805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1.4117527174517706</v>
      </c>
      <c r="BQ93" s="21">
        <f>EXP(-LN(2)/25)*BQ92+(1-EXP(-LN(2)/25))/(LN(2)/25)*Calculateur!BL93*Calculateur!BN93*VLOOKUP('Données projet'!$B$11,Paramètres!$A$1:$I$89,3,0)*0.475*44/12</f>
        <v>1.7484559746442612</v>
      </c>
      <c r="BR93" s="21">
        <f>EXP(-LN(2)/2)*BR92+(1-EXP(-LN(2)/2))/(LN(2)/2)*BL93*BO93*VLOOKUP('Données projet'!$B$11,Paramètres!$A$1:$I$89,3,0)*0.475*44/12</f>
        <v>1.3390126272020943E-8</v>
      </c>
      <c r="BS93" s="22">
        <f t="shared" si="63"/>
        <v>3.1602087054861583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3.7</v>
      </c>
      <c r="N94" s="13">
        <f>IF('Données projet'!$A$36&gt;35,N93+M94-V93,IF(A94&lt;'Données projet'!$A$36,$K$205^A94,IF(A94='Données projet'!$A$36,'Données projet'!$B$36,N93+M94-V93)))</f>
        <v>196.70000000000007</v>
      </c>
      <c r="O94" s="13">
        <f>N94*VLOOKUP('Données projet'!$B$9,Paramètres!$A$1:$I$89,3,0)*VLOOKUP('Données projet'!$B$9,Paramètres!$A$1:$I$89,5,0)</f>
        <v>177.97416000000007</v>
      </c>
      <c r="P94" s="13">
        <f t="shared" si="87"/>
        <v>44.871177620414102</v>
      </c>
      <c r="Q94" s="20">
        <f t="shared" si="54"/>
        <v>388.12229635555462</v>
      </c>
      <c r="R94" s="59">
        <f t="shared" si="55"/>
        <v>681.45562968888794</v>
      </c>
      <c r="S94" s="59">
        <f ca="1">AVERAGE(OFFSET($R$3,0,0,'Données projet'!$E$9+1,1))-AVERAGE(OFFSET($H$3,0,0,'Données projet'!$E$9+1,1))</f>
        <v>138.8931001150624</v>
      </c>
      <c r="T94" s="59">
        <f t="shared" si="88"/>
        <v>48.964659354096625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8.3000000000000007</v>
      </c>
      <c r="AI94" s="13">
        <f>IF('Données projet'!$A$62&gt;35,AI93+AH94-AQ93,IF(A94&lt;'Données projet'!$A$62,$AF$205^A94,IF(A94='Données projet'!$A$62,'Données projet'!$B$62,AI93+AH94-AQ93)))</f>
        <v>333.19999999999993</v>
      </c>
      <c r="AJ94" s="13">
        <f>AI94*VLOOKUP('Données projet'!$B$10,Paramètres!$A$1:$I$89,3,0)*VLOOKUP('Données projet'!$B$10,Paramètres!$A$1:$I$89,5,0)</f>
        <v>155.93759999999997</v>
      </c>
      <c r="AK94" s="13">
        <f t="shared" si="89"/>
        <v>39.924862785906342</v>
      </c>
      <c r="AL94" s="20">
        <f t="shared" si="58"/>
        <v>341.12712268545346</v>
      </c>
      <c r="AM94" s="59">
        <f t="shared" si="59"/>
        <v>634.46045601878677</v>
      </c>
      <c r="AN94" s="59">
        <f ca="1">AVERAGE(OFFSET($AM$3,0,0,'Données projet'!$E$10+1,1))-AVERAGE(OFFSET($H$3,0,0,'Données projet'!$E$10+1,1))</f>
        <v>123.60520571614535</v>
      </c>
      <c r="AO94" s="59">
        <f t="shared" si="90"/>
        <v>119.00926870519527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0.25913038331768196</v>
      </c>
      <c r="AV94" s="21">
        <f>EXP(-LN(2)/25)*AV93+(1-EXP(-LN(2)/25))/(LN(2)/25)*Calculateur!AQ94*Calculateur!AS94*VLOOKUP('Données projet'!$B$10,Paramètres!$A$1:$I$89,3,0)*0.475*44/12</f>
        <v>0.8802784471844699</v>
      </c>
      <c r="AW94" s="21">
        <f>EXP(-LN(2)/2)*AW93+(1-EXP(-LN(2)/2))/(LN(2)/2)*AQ94*AT94*VLOOKUP('Données projet'!$B$10,Paramètres!$A$1:$I$89,3,0)*0.475*44/12</f>
        <v>4.0261504672987437E-9</v>
      </c>
      <c r="AX94" s="21">
        <f t="shared" si="60"/>
        <v>1.1394088345283024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-1.1368683772161603E-12</v>
      </c>
      <c r="BE94" s="13">
        <f>BD94*VLOOKUP('Données projet'!$B$11,Paramètres!$A$1:$I$89,3,0)*VLOOKUP('Données projet'!$B$11,Paramètres!$A$1:$I$89,5,0)</f>
        <v>-5.4683368944097316E-13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252.30925789500111</v>
      </c>
      <c r="BJ94" s="59">
        <f t="shared" si="92"/>
        <v>213.96033794804805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1.384069107746674</v>
      </c>
      <c r="BQ94" s="21">
        <f>EXP(-LN(2)/25)*BQ93+(1-EXP(-LN(2)/25))/(LN(2)/25)*Calculateur!BL94*Calculateur!BN94*VLOOKUP('Données projet'!$B$11,Paramètres!$A$1:$I$89,3,0)*0.475*44/12</f>
        <v>1.7006443540703102</v>
      </c>
      <c r="BR94" s="21">
        <f>EXP(-LN(2)/2)*BR93+(1-EXP(-LN(2)/2))/(LN(2)/2)*BL94*BO94*VLOOKUP('Données projet'!$B$11,Paramètres!$A$1:$I$89,3,0)*0.475*44/12</f>
        <v>9.4682490878901544E-9</v>
      </c>
      <c r="BS94" s="22">
        <f t="shared" si="63"/>
        <v>3.0847134712852338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3.7</v>
      </c>
      <c r="N95" s="13">
        <f>IF('Données projet'!$A$36&gt;35,N94+M95-V94,IF(A95&lt;'Données projet'!$A$36,$K$205^A95,IF(A95='Données projet'!$A$36,'Données projet'!$B$36,N94+M95-V94)))</f>
        <v>200.40000000000006</v>
      </c>
      <c r="O95" s="13">
        <f>N95*VLOOKUP('Données projet'!$B$9,Paramètres!$A$1:$I$89,3,0)*VLOOKUP('Données projet'!$B$9,Paramètres!$A$1:$I$89,5,0)</f>
        <v>181.32192000000006</v>
      </c>
      <c r="P95" s="13">
        <f t="shared" si="87"/>
        <v>45.616163648177974</v>
      </c>
      <c r="Q95" s="20">
        <f t="shared" si="54"/>
        <v>395.25049568724336</v>
      </c>
      <c r="R95" s="59">
        <f t="shared" si="55"/>
        <v>688.58382902057667</v>
      </c>
      <c r="S95" s="59">
        <f ca="1">AVERAGE(OFFSET($R$3,0,0,'Données projet'!$E$9+1,1))-AVERAGE(OFFSET($H$3,0,0,'Données projet'!$E$9+1,1))</f>
        <v>138.8931001150624</v>
      </c>
      <c r="T95" s="59">
        <f t="shared" si="88"/>
        <v>48.964659354096625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8.3000000000000007</v>
      </c>
      <c r="AI95" s="13">
        <f>IF('Données projet'!$A$62&gt;35,AI94+AH95-AQ94,IF(A95&lt;'Données projet'!$A$62,$AF$205^A95,IF(A95='Données projet'!$A$62,'Données projet'!$B$62,AI94+AH95-AQ94)))</f>
        <v>341.49999999999994</v>
      </c>
      <c r="AJ95" s="13">
        <f>AI95*VLOOKUP('Données projet'!$B$10,Paramètres!$A$1:$I$89,3,0)*VLOOKUP('Données projet'!$B$10,Paramètres!$A$1:$I$89,5,0)</f>
        <v>159.82199999999997</v>
      </c>
      <c r="AK95" s="13">
        <f t="shared" si="89"/>
        <v>40.8023644092533</v>
      </c>
      <c r="AL95" s="20">
        <f t="shared" si="58"/>
        <v>349.42076801278273</v>
      </c>
      <c r="AM95" s="59">
        <f t="shared" si="59"/>
        <v>642.75410134611604</v>
      </c>
      <c r="AN95" s="59">
        <f ca="1">AVERAGE(OFFSET($AM$3,0,0,'Données projet'!$E$10+1,1))-AVERAGE(OFFSET($H$3,0,0,'Données projet'!$E$10+1,1))</f>
        <v>123.60520571614535</v>
      </c>
      <c r="AO95" s="59">
        <f t="shared" si="90"/>
        <v>119.00926870519527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0.2540489945547495</v>
      </c>
      <c r="AV95" s="21">
        <f>EXP(-LN(2)/25)*AV94+(1-EXP(-LN(2)/25))/(LN(2)/25)*Calculateur!AQ95*Calculateur!AS95*VLOOKUP('Données projet'!$B$10,Paramètres!$A$1:$I$89,3,0)*0.475*44/12</f>
        <v>0.8562071867543789</v>
      </c>
      <c r="AW95" s="21">
        <f>EXP(-LN(2)/2)*AW94+(1-EXP(-LN(2)/2))/(LN(2)/2)*AQ95*AT95*VLOOKUP('Données projet'!$B$10,Paramètres!$A$1:$I$89,3,0)*0.475*44/12</f>
        <v>2.8469182975043289E-9</v>
      </c>
      <c r="AX95" s="21">
        <f t="shared" si="60"/>
        <v>1.1102561841560465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-1.1368683772161603E-12</v>
      </c>
      <c r="BE95" s="13">
        <f>BD95*VLOOKUP('Données projet'!$B$11,Paramètres!$A$1:$I$89,3,0)*VLOOKUP('Données projet'!$B$11,Paramètres!$A$1:$I$89,5,0)</f>
        <v>-5.4683368944097316E-13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252.30925789500111</v>
      </c>
      <c r="BJ95" s="59">
        <f t="shared" si="92"/>
        <v>213.96033794804805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1.3569283567425598</v>
      </c>
      <c r="BQ95" s="21">
        <f>EXP(-LN(2)/25)*BQ94+(1-EXP(-LN(2)/25))/(LN(2)/25)*Calculateur!BL95*Calculateur!BN95*VLOOKUP('Données projet'!$B$11,Paramètres!$A$1:$I$89,3,0)*0.475*44/12</f>
        <v>1.6541401447752579</v>
      </c>
      <c r="BR95" s="21">
        <f>EXP(-LN(2)/2)*BR94+(1-EXP(-LN(2)/2))/(LN(2)/2)*BL95*BO95*VLOOKUP('Données projet'!$B$11,Paramètres!$A$1:$I$89,3,0)*0.475*44/12</f>
        <v>6.6950631360104717E-9</v>
      </c>
      <c r="BS95" s="22">
        <f t="shared" si="63"/>
        <v>3.011068508212881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3.7</v>
      </c>
      <c r="N96" s="13">
        <f>IF('Données projet'!$A$36&gt;35,N95+M96-V95,IF(A96&lt;'Données projet'!$A$36,$K$205^A96,IF(A96='Données projet'!$A$36,'Données projet'!$B$36,N95+M96-V95)))</f>
        <v>204.10000000000005</v>
      </c>
      <c r="O96" s="13">
        <f>N96*VLOOKUP('Données projet'!$B$9,Paramètres!$A$1:$I$89,3,0)*VLOOKUP('Données projet'!$B$9,Paramètres!$A$1:$I$89,5,0)</f>
        <v>184.66968000000006</v>
      </c>
      <c r="P96" s="13">
        <f t="shared" si="87"/>
        <v>46.359550248246585</v>
      </c>
      <c r="Q96" s="20">
        <f t="shared" si="54"/>
        <v>402.37590934902954</v>
      </c>
      <c r="R96" s="59">
        <f t="shared" si="55"/>
        <v>695.70924268236286</v>
      </c>
      <c r="S96" s="59">
        <f ca="1">AVERAGE(OFFSET($R$3,0,0,'Données projet'!$E$9+1,1))-AVERAGE(OFFSET($H$3,0,0,'Données projet'!$E$9+1,1))</f>
        <v>138.8931001150624</v>
      </c>
      <c r="T96" s="59">
        <f t="shared" si="88"/>
        <v>48.964659354096625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8.3000000000000007</v>
      </c>
      <c r="AI96" s="13">
        <f>IF('Données projet'!$A$62&gt;35,AI95+AH96-AQ95,IF(A96&lt;'Données projet'!$A$62,$AF$205^A96,IF(A96='Données projet'!$A$62,'Données projet'!$B$62,AI95+AH96-AQ95)))</f>
        <v>349.79999999999995</v>
      </c>
      <c r="AJ96" s="13">
        <f>AI96*VLOOKUP('Données projet'!$B$10,Paramètres!$A$1:$I$89,3,0)*VLOOKUP('Données projet'!$B$10,Paramètres!$A$1:$I$89,5,0)</f>
        <v>163.70639999999997</v>
      </c>
      <c r="AK96" s="13">
        <f t="shared" si="89"/>
        <v>41.677386788386073</v>
      </c>
      <c r="AL96" s="20">
        <f t="shared" si="58"/>
        <v>357.71009532310563</v>
      </c>
      <c r="AM96" s="59">
        <f t="shared" si="59"/>
        <v>651.04342865643889</v>
      </c>
      <c r="AN96" s="59">
        <f ca="1">AVERAGE(OFFSET($AM$3,0,0,'Données projet'!$E$10+1,1))-AVERAGE(OFFSET($H$3,0,0,'Données projet'!$E$10+1,1))</f>
        <v>123.60520571614535</v>
      </c>
      <c r="AO96" s="59">
        <f t="shared" si="90"/>
        <v>119.00926870519527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0.24906724872611705</v>
      </c>
      <c r="AV96" s="21">
        <f>EXP(-LN(2)/25)*AV95+(1-EXP(-LN(2)/25))/(LN(2)/25)*Calculateur!AQ96*Calculateur!AS96*VLOOKUP('Données projet'!$B$10,Paramètres!$A$1:$I$89,3,0)*0.475*44/12</f>
        <v>0.83279415620660135</v>
      </c>
      <c r="AW96" s="21">
        <f>EXP(-LN(2)/2)*AW95+(1-EXP(-LN(2)/2))/(LN(2)/2)*AQ96*AT96*VLOOKUP('Données projet'!$B$10,Paramètres!$A$1:$I$89,3,0)*0.475*44/12</f>
        <v>2.0130752336493719E-9</v>
      </c>
      <c r="AX96" s="21">
        <f t="shared" si="60"/>
        <v>1.0818614069457937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-1.1368683772161603E-12</v>
      </c>
      <c r="BE96" s="13">
        <f>BD96*VLOOKUP('Données projet'!$B$11,Paramètres!$A$1:$I$89,3,0)*VLOOKUP('Données projet'!$B$11,Paramètres!$A$1:$I$89,5,0)</f>
        <v>-5.4683368944097316E-13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252.30925789500111</v>
      </c>
      <c r="BJ96" s="59">
        <f t="shared" si="92"/>
        <v>213.96033794804805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1.3303198193114127</v>
      </c>
      <c r="BQ96" s="21">
        <f>EXP(-LN(2)/25)*BQ95+(1-EXP(-LN(2)/25))/(LN(2)/25)*Calculateur!BL96*Calculateur!BN96*VLOOKUP('Données projet'!$B$11,Paramètres!$A$1:$I$89,3,0)*0.475*44/12</f>
        <v>1.6089075955289289</v>
      </c>
      <c r="BR96" s="21">
        <f>EXP(-LN(2)/2)*BR95+(1-EXP(-LN(2)/2))/(LN(2)/2)*BL96*BO96*VLOOKUP('Données projet'!$B$11,Paramètres!$A$1:$I$89,3,0)*0.475*44/12</f>
        <v>4.7341245439450772E-9</v>
      </c>
      <c r="BS96" s="22">
        <f t="shared" si="63"/>
        <v>2.9392274195744661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3.7</v>
      </c>
      <c r="N97" s="13">
        <f>IF('Données projet'!$A$36&gt;35,N96+M97-V96,IF(A97&lt;'Données projet'!$A$36,$K$205^A97,IF(A97='Données projet'!$A$36,'Données projet'!$B$36,N96+M97-V96)))</f>
        <v>207.80000000000004</v>
      </c>
      <c r="O97" s="13">
        <f>N97*VLOOKUP('Données projet'!$B$9,Paramètres!$A$1:$I$89,3,0)*VLOOKUP('Données projet'!$B$9,Paramètres!$A$1:$I$89,5,0)</f>
        <v>188.01744000000002</v>
      </c>
      <c r="P97" s="13">
        <f t="shared" si="87"/>
        <v>47.101369760097391</v>
      </c>
      <c r="Q97" s="20">
        <f t="shared" si="54"/>
        <v>409.49859366550299</v>
      </c>
      <c r="R97" s="59">
        <f t="shared" si="55"/>
        <v>702.83192699883625</v>
      </c>
      <c r="S97" s="59">
        <f ca="1">AVERAGE(OFFSET($R$3,0,0,'Données projet'!$E$9+1,1))-AVERAGE(OFFSET($H$3,0,0,'Données projet'!$E$9+1,1))</f>
        <v>138.8931001150624</v>
      </c>
      <c r="T97" s="59">
        <f t="shared" si="88"/>
        <v>48.964659354096625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8.3000000000000007</v>
      </c>
      <c r="AI97" s="13">
        <f>IF('Données projet'!$A$62&gt;35,AI96+AH97-AQ96,IF(A97&lt;'Données projet'!$A$62,$AF$205^A97,IF(A97='Données projet'!$A$62,'Données projet'!$B$62,AI96+AH97-AQ96)))</f>
        <v>358.09999999999997</v>
      </c>
      <c r="AJ97" s="13">
        <f>AI97*VLOOKUP('Données projet'!$B$10,Paramètres!$A$1:$I$89,3,0)*VLOOKUP('Données projet'!$B$10,Paramètres!$A$1:$I$89,5,0)</f>
        <v>167.5908</v>
      </c>
      <c r="AK97" s="13">
        <f t="shared" si="89"/>
        <v>42.549995519736676</v>
      </c>
      <c r="AL97" s="20">
        <f t="shared" si="58"/>
        <v>365.99521886354137</v>
      </c>
      <c r="AM97" s="59">
        <f t="shared" si="59"/>
        <v>659.32855219687463</v>
      </c>
      <c r="AN97" s="59">
        <f ca="1">AVERAGE(OFFSET($AM$3,0,0,'Données projet'!$E$10+1,1))-AVERAGE(OFFSET($H$3,0,0,'Données projet'!$E$10+1,1))</f>
        <v>123.60520571614535</v>
      </c>
      <c r="AO97" s="59">
        <f t="shared" si="90"/>
        <v>119.00926870519527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0.24418319189461915</v>
      </c>
      <c r="AV97" s="21">
        <f>EXP(-LN(2)/25)*AV96+(1-EXP(-LN(2)/25))/(LN(2)/25)*Calculateur!AQ97*Calculateur!AS97*VLOOKUP('Données projet'!$B$10,Paramètres!$A$1:$I$89,3,0)*0.475*44/12</f>
        <v>0.81002135621039051</v>
      </c>
      <c r="AW97" s="21">
        <f>EXP(-LN(2)/2)*AW96+(1-EXP(-LN(2)/2))/(LN(2)/2)*AQ97*AT97*VLOOKUP('Données projet'!$B$10,Paramètres!$A$1:$I$89,3,0)*0.475*44/12</f>
        <v>1.4234591487521644E-9</v>
      </c>
      <c r="AX97" s="21">
        <f t="shared" si="60"/>
        <v>1.0542045495284689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-1.1368683772161603E-12</v>
      </c>
      <c r="BE97" s="13">
        <f>BD97*VLOOKUP('Données projet'!$B$11,Paramètres!$A$1:$I$89,3,0)*VLOOKUP('Données projet'!$B$11,Paramètres!$A$1:$I$89,5,0)</f>
        <v>-5.4683368944097316E-13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252.30925789500111</v>
      </c>
      <c r="BJ97" s="59">
        <f t="shared" si="92"/>
        <v>213.96033794804805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1.3042330590696851</v>
      </c>
      <c r="BQ97" s="21">
        <f>EXP(-LN(2)/25)*BQ96+(1-EXP(-LN(2)/25))/(LN(2)/25)*Calculateur!BL97*Calculateur!BN97*VLOOKUP('Données projet'!$B$11,Paramètres!$A$1:$I$89,3,0)*0.475*44/12</f>
        <v>1.5649119327204171</v>
      </c>
      <c r="BR97" s="21">
        <f>EXP(-LN(2)/2)*BR96+(1-EXP(-LN(2)/2))/(LN(2)/2)*BL97*BO97*VLOOKUP('Données projet'!$B$11,Paramètres!$A$1:$I$89,3,0)*0.475*44/12</f>
        <v>3.3475315680052358E-9</v>
      </c>
      <c r="BS97" s="22">
        <f t="shared" si="63"/>
        <v>2.8691449951376335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3.7</v>
      </c>
      <c r="N98" s="13">
        <f>IF('Données projet'!$A$36&gt;35,N97+M98-V97,IF(A98&lt;'Données projet'!$A$36,$K$205^A98,IF(A98='Données projet'!$A$36,'Données projet'!$B$36,N97+M98-V97)))</f>
        <v>211.50000000000003</v>
      </c>
      <c r="O98" s="13">
        <f>N98*VLOOKUP('Données projet'!$B$9,Paramètres!$A$1:$I$89,3,0)*VLOOKUP('Données projet'!$B$9,Paramètres!$A$1:$I$89,5,0)</f>
        <v>191.36520000000002</v>
      </c>
      <c r="P98" s="13">
        <f t="shared" si="87"/>
        <v>47.841653305605021</v>
      </c>
      <c r="Q98" s="20">
        <f t="shared" si="54"/>
        <v>416.61860284059543</v>
      </c>
      <c r="R98" s="59">
        <f t="shared" si="55"/>
        <v>709.95193617392874</v>
      </c>
      <c r="S98" s="59">
        <f ca="1">AVERAGE(OFFSET($R$3,0,0,'Données projet'!$E$9+1,1))-AVERAGE(OFFSET($H$3,0,0,'Données projet'!$E$9+1,1))</f>
        <v>138.8931001150624</v>
      </c>
      <c r="T98" s="59">
        <f t="shared" si="88"/>
        <v>48.964659354096625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8.3000000000000007</v>
      </c>
      <c r="AI98" s="13">
        <f>IF('Données projet'!$A$62&gt;35,AI97+AH98-AQ97,IF(A98&lt;'Données projet'!$A$62,$AF$205^A98,IF(A98='Données projet'!$A$62,'Données projet'!$B$62,AI97+AH98-AQ97)))</f>
        <v>366.4</v>
      </c>
      <c r="AJ98" s="13">
        <f>AI98*VLOOKUP('Données projet'!$B$10,Paramètres!$A$1:$I$89,3,0)*VLOOKUP('Données projet'!$B$10,Paramètres!$A$1:$I$89,5,0)</f>
        <v>171.4752</v>
      </c>
      <c r="AK98" s="13">
        <f t="shared" si="89"/>
        <v>43.420252985462113</v>
      </c>
      <c r="AL98" s="20">
        <f t="shared" si="58"/>
        <v>374.27624728301316</v>
      </c>
      <c r="AM98" s="59">
        <f t="shared" si="59"/>
        <v>667.60958061634642</v>
      </c>
      <c r="AN98" s="59">
        <f ca="1">AVERAGE(OFFSET($AM$3,0,0,'Données projet'!$E$10+1,1))-AVERAGE(OFFSET($H$3,0,0,'Données projet'!$E$10+1,1))</f>
        <v>123.60520571614535</v>
      </c>
      <c r="AO98" s="59">
        <f t="shared" si="90"/>
        <v>119.00926870519527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0.23939490843860642</v>
      </c>
      <c r="AV98" s="21">
        <f>EXP(-LN(2)/25)*AV97+(1-EXP(-LN(2)/25))/(LN(2)/25)*Calculateur!AQ98*Calculateur!AS98*VLOOKUP('Données projet'!$B$10,Paramètres!$A$1:$I$89,3,0)*0.475*44/12</f>
        <v>0.78787127962764558</v>
      </c>
      <c r="AW98" s="21">
        <f>EXP(-LN(2)/2)*AW97+(1-EXP(-LN(2)/2))/(LN(2)/2)*AQ98*AT98*VLOOKUP('Données projet'!$B$10,Paramètres!$A$1:$I$89,3,0)*0.475*44/12</f>
        <v>1.0065376168246859E-9</v>
      </c>
      <c r="AX98" s="21">
        <f t="shared" si="60"/>
        <v>1.0272661890727894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-1.1368683772161603E-12</v>
      </c>
      <c r="BE98" s="13">
        <f>BD98*VLOOKUP('Données projet'!$B$11,Paramètres!$A$1:$I$89,3,0)*VLOOKUP('Données projet'!$B$11,Paramètres!$A$1:$I$89,5,0)</f>
        <v>-5.4683368944097316E-13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252.30925789500111</v>
      </c>
      <c r="BJ98" s="59">
        <f t="shared" si="92"/>
        <v>213.96033794804805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1.2786578442849452</v>
      </c>
      <c r="BQ98" s="21">
        <f>EXP(-LN(2)/25)*BQ97+(1-EXP(-LN(2)/25))/(LN(2)/25)*Calculateur!BL98*Calculateur!BN98*VLOOKUP('Données projet'!$B$11,Paramètres!$A$1:$I$89,3,0)*0.475*44/12</f>
        <v>1.5221193336250354</v>
      </c>
      <c r="BR98" s="21">
        <f>EXP(-LN(2)/2)*BR97+(1-EXP(-LN(2)/2))/(LN(2)/2)*BL98*BO98*VLOOKUP('Données projet'!$B$11,Paramètres!$A$1:$I$89,3,0)*0.475*44/12</f>
        <v>2.3670622719725386E-9</v>
      </c>
      <c r="BS98" s="22">
        <f t="shared" si="63"/>
        <v>2.8007771802770427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3.7</v>
      </c>
      <c r="N99" s="13">
        <f>IF('Données projet'!$A$36&gt;35,N98+M99-V98,IF(A99&lt;'Données projet'!$A$36,$K$205^A99,IF(A99='Données projet'!$A$36,'Données projet'!$B$36,N98+M99-V98)))</f>
        <v>215.20000000000002</v>
      </c>
      <c r="O99" s="13">
        <f>N99*VLOOKUP('Données projet'!$B$9,Paramètres!$A$1:$I$89,3,0)*VLOOKUP('Données projet'!$B$9,Paramètres!$A$1:$I$89,5,0)</f>
        <v>194.71296000000001</v>
      </c>
      <c r="P99" s="13">
        <f t="shared" si="87"/>
        <v>48.580430855369244</v>
      </c>
      <c r="Q99" s="20">
        <f t="shared" ref="Q99:Q130" si="107">(O99+P99)*0.475*44/12</f>
        <v>423.73598907310139</v>
      </c>
      <c r="R99" s="59">
        <f t="shared" si="55"/>
        <v>717.06932240643471</v>
      </c>
      <c r="S99" s="59">
        <f ca="1">AVERAGE(OFFSET($R$3,0,0,'Données projet'!$E$9+1,1))-AVERAGE(OFFSET($H$3,0,0,'Données projet'!$E$9+1,1))</f>
        <v>138.8931001150624</v>
      </c>
      <c r="T99" s="59">
        <f t="shared" si="88"/>
        <v>48.964659354096625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8.3000000000000007</v>
      </c>
      <c r="AI99" s="13">
        <f>IF('Données projet'!$A$62&gt;35,AI98+AH99-AQ98,IF(A99&lt;'Données projet'!$A$62,$AF$205^A99,IF(A99='Données projet'!$A$62,'Données projet'!$B$62,AI98+AH99-AQ98)))</f>
        <v>374.7</v>
      </c>
      <c r="AJ99" s="13">
        <f>AI99*VLOOKUP('Données projet'!$B$10,Paramètres!$A$1:$I$89,3,0)*VLOOKUP('Données projet'!$B$10,Paramètres!$A$1:$I$89,5,0)</f>
        <v>175.3596</v>
      </c>
      <c r="AK99" s="13">
        <f t="shared" si="89"/>
        <v>44.288218580135805</v>
      </c>
      <c r="AL99" s="20">
        <f t="shared" si="58"/>
        <v>382.55328402706982</v>
      </c>
      <c r="AM99" s="59">
        <f t="shared" si="59"/>
        <v>675.88661736040308</v>
      </c>
      <c r="AN99" s="59">
        <f ca="1">AVERAGE(OFFSET($AM$3,0,0,'Données projet'!$E$10+1,1))-AVERAGE(OFFSET($H$3,0,0,'Données projet'!$E$10+1,1))</f>
        <v>123.60520571614535</v>
      </c>
      <c r="AO99" s="59">
        <f t="shared" si="90"/>
        <v>119.00926870519527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0.23470052030060157</v>
      </c>
      <c r="AV99" s="21">
        <f>EXP(-LN(2)/25)*AV98+(1-EXP(-LN(2)/25))/(LN(2)/25)*Calculateur!AQ99*Calculateur!AS99*VLOOKUP('Données projet'!$B$10,Paramètres!$A$1:$I$89,3,0)*0.475*44/12</f>
        <v>0.76632689805387777</v>
      </c>
      <c r="AW99" s="21">
        <f>EXP(-LN(2)/2)*AW98+(1-EXP(-LN(2)/2))/(LN(2)/2)*AQ99*AT99*VLOOKUP('Données projet'!$B$10,Paramètres!$A$1:$I$89,3,0)*0.475*44/12</f>
        <v>7.1172957437608222E-10</v>
      </c>
      <c r="AX99" s="21">
        <f t="shared" si="60"/>
        <v>1.001027419066209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-1.1368683772161603E-12</v>
      </c>
      <c r="BE99" s="13">
        <f>BD99*VLOOKUP('Données projet'!$B$11,Paramètres!$A$1:$I$89,3,0)*VLOOKUP('Données projet'!$B$11,Paramètres!$A$1:$I$89,5,0)</f>
        <v>-5.4683368944097316E-13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252.30925789500111</v>
      </c>
      <c r="BJ99" s="59">
        <f t="shared" si="92"/>
        <v>213.96033794804805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1.2535841438627933</v>
      </c>
      <c r="BQ99" s="21">
        <f>EXP(-LN(2)/25)*BQ98+(1-EXP(-LN(2)/25))/(LN(2)/25)*Calculateur!BL99*Calculateur!BN99*VLOOKUP('Données projet'!$B$11,Paramètres!$A$1:$I$89,3,0)*0.475*44/12</f>
        <v>1.4804969004022819</v>
      </c>
      <c r="BR99" s="21">
        <f>EXP(-LN(2)/2)*BR98+(1-EXP(-LN(2)/2))/(LN(2)/2)*BL99*BO99*VLOOKUP('Données projet'!$B$11,Paramètres!$A$1:$I$89,3,0)*0.475*44/12</f>
        <v>1.6737657840026179E-9</v>
      </c>
      <c r="BS99" s="22">
        <f t="shared" si="63"/>
        <v>2.7340810459388405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3.7</v>
      </c>
      <c r="N100" s="13">
        <f>IF('Données projet'!$A$36&gt;35,N99+M100-V99,IF(A100&lt;'Données projet'!$A$36,$K$205^A100,IF(A100='Données projet'!$A$36,'Données projet'!$B$36,N99+M100-V99)))</f>
        <v>218.9</v>
      </c>
      <c r="O100" s="13">
        <f>N100*VLOOKUP('Données projet'!$B$9,Paramètres!$A$1:$I$89,3,0)*VLOOKUP('Données projet'!$B$9,Paramètres!$A$1:$I$89,5,0)</f>
        <v>198.06072</v>
      </c>
      <c r="P100" s="13">
        <f t="shared" si="87"/>
        <v>49.317731290351951</v>
      </c>
      <c r="Q100" s="20">
        <f t="shared" si="107"/>
        <v>430.85080266402957</v>
      </c>
      <c r="R100" s="59">
        <f t="shared" si="55"/>
        <v>724.18413599736289</v>
      </c>
      <c r="S100" s="59">
        <f ca="1">AVERAGE(OFFSET($R$3,0,0,'Données projet'!$E$9+1,1))-AVERAGE(OFFSET($H$3,0,0,'Données projet'!$E$9+1,1))</f>
        <v>138.8931001150624</v>
      </c>
      <c r="T100" s="59">
        <f t="shared" si="88"/>
        <v>48.964659354096625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8.3000000000000007</v>
      </c>
      <c r="AI100" s="13">
        <f>IF('Données projet'!$A$62&gt;35,AI99+AH100-AQ99,IF(A100&lt;'Données projet'!$A$62,$AF$205^A100,IF(A100='Données projet'!$A$62,'Données projet'!$B$62,AI99+AH100-AQ99)))</f>
        <v>383</v>
      </c>
      <c r="AJ100" s="13">
        <f>AI100*VLOOKUP('Données projet'!$B$10,Paramètres!$A$1:$I$89,3,0)*VLOOKUP('Données projet'!$B$10,Paramètres!$A$1:$I$89,5,0)</f>
        <v>179.244</v>
      </c>
      <c r="AK100" s="13">
        <f t="shared" si="89"/>
        <v>45.153948916787364</v>
      </c>
      <c r="AL100" s="20">
        <f t="shared" si="58"/>
        <v>390.82642769673799</v>
      </c>
      <c r="AM100" s="59">
        <f t="shared" si="59"/>
        <v>684.15976103007131</v>
      </c>
      <c r="AN100" s="59">
        <f ca="1">AVERAGE(OFFSET($AM$3,0,0,'Données projet'!$E$10+1,1))-AVERAGE(OFFSET($H$3,0,0,'Données projet'!$E$10+1,1))</f>
        <v>123.60520571614535</v>
      </c>
      <c r="AO100" s="59">
        <f t="shared" si="90"/>
        <v>119.00926870519527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0.23009818625068895</v>
      </c>
      <c r="AV100" s="21">
        <f>EXP(-LN(2)/25)*AV99+(1-EXP(-LN(2)/25))/(LN(2)/25)*Calculateur!AQ100*Calculateur!AS100*VLOOKUP('Données projet'!$B$10,Paramètres!$A$1:$I$89,3,0)*0.475*44/12</f>
        <v>0.7453716487272144</v>
      </c>
      <c r="AW100" s="21">
        <f>EXP(-LN(2)/2)*AW99+(1-EXP(-LN(2)/2))/(LN(2)/2)*AQ100*AT100*VLOOKUP('Données projet'!$B$10,Paramètres!$A$1:$I$89,3,0)*0.475*44/12</f>
        <v>5.0326880841234296E-10</v>
      </c>
      <c r="AX100" s="21">
        <f t="shared" si="60"/>
        <v>0.97546983548117217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-1.1368683772161603E-12</v>
      </c>
      <c r="BE100" s="13">
        <f>BD100*VLOOKUP('Données projet'!$B$11,Paramètres!$A$1:$I$89,3,0)*VLOOKUP('Données projet'!$B$11,Paramètres!$A$1:$I$89,5,0)</f>
        <v>-5.4683368944097316E-13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252.30925789500111</v>
      </c>
      <c r="BJ100" s="59">
        <f t="shared" si="92"/>
        <v>213.96033794804805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1.2290021234124726</v>
      </c>
      <c r="BQ100" s="21">
        <f>EXP(-LN(2)/25)*BQ99+(1-EXP(-LN(2)/25))/(LN(2)/25)*Calculateur!BL100*Calculateur!BN100*VLOOKUP('Données projet'!$B$11,Paramètres!$A$1:$I$89,3,0)*0.475*44/12</f>
        <v>1.4400126348048332</v>
      </c>
      <c r="BR100" s="21">
        <f>EXP(-LN(2)/2)*BR99+(1-EXP(-LN(2)/2))/(LN(2)/2)*BL100*BO100*VLOOKUP('Données projet'!$B$11,Paramètres!$A$1:$I$89,3,0)*0.475*44/12</f>
        <v>1.1835311359862693E-9</v>
      </c>
      <c r="BS100" s="22">
        <f t="shared" si="63"/>
        <v>2.6690147594008367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3.7</v>
      </c>
      <c r="N101" s="13">
        <f>IF('Données projet'!$A$36&gt;35,N100+M101-V100,IF(A101&lt;'Données projet'!$A$36,$K$205^A101,IF(A101='Données projet'!$A$36,'Données projet'!$B$36,N100+M101-V100)))</f>
        <v>222.6</v>
      </c>
      <c r="O101" s="13">
        <f>N101*VLOOKUP('Données projet'!$B$9,Paramètres!$A$1:$I$89,3,0)*VLOOKUP('Données projet'!$B$9,Paramètres!$A$1:$I$89,5,0)</f>
        <v>201.40847999999997</v>
      </c>
      <c r="P101" s="13">
        <f t="shared" si="87"/>
        <v>50.053582459229212</v>
      </c>
      <c r="Q101" s="20">
        <f t="shared" si="107"/>
        <v>437.96309211649077</v>
      </c>
      <c r="R101" s="59">
        <f t="shared" si="55"/>
        <v>731.29642544982403</v>
      </c>
      <c r="S101" s="59">
        <f ca="1">AVERAGE(OFFSET($R$3,0,0,'Données projet'!$E$9+1,1))-AVERAGE(OFFSET($H$3,0,0,'Données projet'!$E$9+1,1))</f>
        <v>138.8931001150624</v>
      </c>
      <c r="T101" s="59">
        <f t="shared" si="88"/>
        <v>48.964659354096625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8.3000000000000007</v>
      </c>
      <c r="AI101" s="13">
        <f>IF('Données projet'!$A$62&gt;35,AI100+AH101-AQ100,IF(A101&lt;'Données projet'!$A$62,$AF$205^A101,IF(A101='Données projet'!$A$62,'Données projet'!$B$62,AI100+AH101-AQ100)))</f>
        <v>391.3</v>
      </c>
      <c r="AJ101" s="13">
        <f>AI101*VLOOKUP('Données projet'!$B$10,Paramètres!$A$1:$I$89,3,0)*VLOOKUP('Données projet'!$B$10,Paramètres!$A$1:$I$89,5,0)</f>
        <v>183.1284</v>
      </c>
      <c r="AK101" s="13">
        <f t="shared" si="89"/>
        <v>46.017498014577676</v>
      </c>
      <c r="AL101" s="20">
        <f t="shared" si="58"/>
        <v>399.09577237538946</v>
      </c>
      <c r="AM101" s="59">
        <f t="shared" si="59"/>
        <v>692.42910570872277</v>
      </c>
      <c r="AN101" s="59">
        <f ca="1">AVERAGE(OFFSET($AM$3,0,0,'Données projet'!$E$10+1,1))-AVERAGE(OFFSET($H$3,0,0,'Données projet'!$E$10+1,1))</f>
        <v>123.60520571614535</v>
      </c>
      <c r="AO101" s="59">
        <f t="shared" si="90"/>
        <v>119.00926870519527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0.22558610116434855</v>
      </c>
      <c r="AV101" s="21">
        <f>EXP(-LN(2)/25)*AV100+(1-EXP(-LN(2)/25))/(LN(2)/25)*Calculateur!AQ101*Calculateur!AS101*VLOOKUP('Données projet'!$B$10,Paramètres!$A$1:$I$89,3,0)*0.475*44/12</f>
        <v>0.72498942179537729</v>
      </c>
      <c r="AW101" s="21">
        <f>EXP(-LN(2)/2)*AW100+(1-EXP(-LN(2)/2))/(LN(2)/2)*AQ101*AT101*VLOOKUP('Données projet'!$B$10,Paramètres!$A$1:$I$89,3,0)*0.475*44/12</f>
        <v>3.5586478718804111E-10</v>
      </c>
      <c r="AX101" s="21">
        <f t="shared" si="60"/>
        <v>0.95057552331559059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-1.1368683772161603E-12</v>
      </c>
      <c r="BE101" s="13">
        <f>BD101*VLOOKUP('Données projet'!$B$11,Paramètres!$A$1:$I$89,3,0)*VLOOKUP('Données projet'!$B$11,Paramètres!$A$1:$I$89,5,0)</f>
        <v>-5.4683368944097316E-13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252.30925789500111</v>
      </c>
      <c r="BJ101" s="59">
        <f t="shared" si="92"/>
        <v>213.96033794804805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1.2049021413896308</v>
      </c>
      <c r="BQ101" s="21">
        <f>EXP(-LN(2)/25)*BQ100+(1-EXP(-LN(2)/25))/(LN(2)/25)*Calculateur!BL101*Calculateur!BN101*VLOOKUP('Données projet'!$B$11,Paramètres!$A$1:$I$89,3,0)*0.475*44/12</f>
        <v>1.4006354135791217</v>
      </c>
      <c r="BR101" s="21">
        <f>EXP(-LN(2)/2)*BR100+(1-EXP(-LN(2)/2))/(LN(2)/2)*BL101*BO101*VLOOKUP('Données projet'!$B$11,Paramètres!$A$1:$I$89,3,0)*0.475*44/12</f>
        <v>8.3688289200130896E-10</v>
      </c>
      <c r="BS101" s="22">
        <f t="shared" si="63"/>
        <v>2.6055375558056357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3.7</v>
      </c>
      <c r="N102" s="13">
        <f>IF('Données projet'!$A$36&gt;35,N101+M102-V101,IF(A102&lt;'Données projet'!$A$36,$K$205^A102,IF(A102='Données projet'!$A$36,'Données projet'!$B$36,N101+M102-V101)))</f>
        <v>226.29999999999998</v>
      </c>
      <c r="O102" s="13">
        <f>N102*VLOOKUP('Données projet'!$B$9,Paramètres!$A$1:$I$89,3,0)*VLOOKUP('Données projet'!$B$9,Paramètres!$A$1:$I$89,5,0)</f>
        <v>204.75623999999999</v>
      </c>
      <c r="P102" s="13">
        <f t="shared" si="87"/>
        <v>50.788011231821393</v>
      </c>
      <c r="Q102" s="20">
        <f t="shared" si="107"/>
        <v>445.07290422875553</v>
      </c>
      <c r="R102" s="59">
        <f t="shared" si="55"/>
        <v>738.40623756208879</v>
      </c>
      <c r="S102" s="59">
        <f ca="1">AVERAGE(OFFSET($R$3,0,0,'Données projet'!$E$9+1,1))-AVERAGE(OFFSET($H$3,0,0,'Données projet'!$E$9+1,1))</f>
        <v>138.8931001150624</v>
      </c>
      <c r="T102" s="59">
        <f t="shared" si="88"/>
        <v>48.964659354096625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8.3000000000000007</v>
      </c>
      <c r="AI102" s="13">
        <f>IF('Données projet'!$A$62&gt;35,AI101+AH102-AQ101,IF(A102&lt;'Données projet'!$A$62,$AF$205^A102,IF(A102='Données projet'!$A$62,'Données projet'!$B$62,AI101+AH102-AQ101)))</f>
        <v>399.6</v>
      </c>
      <c r="AJ102" s="13">
        <f>AI102*VLOOKUP('Données projet'!$B$10,Paramètres!$A$1:$I$89,3,0)*VLOOKUP('Données projet'!$B$10,Paramètres!$A$1:$I$89,5,0)</f>
        <v>187.0128</v>
      </c>
      <c r="AK102" s="13">
        <f t="shared" si="89"/>
        <v>46.878917470101705</v>
      </c>
      <c r="AL102" s="20">
        <f t="shared" si="58"/>
        <v>407.36140792709375</v>
      </c>
      <c r="AM102" s="59">
        <f t="shared" si="59"/>
        <v>700.69474126042701</v>
      </c>
      <c r="AN102" s="59">
        <f ca="1">AVERAGE(OFFSET($AM$3,0,0,'Données projet'!$E$10+1,1))-AVERAGE(OFFSET($H$3,0,0,'Données projet'!$E$10+1,1))</f>
        <v>123.60520571614535</v>
      </c>
      <c r="AO102" s="59">
        <f t="shared" si="90"/>
        <v>119.00926870519527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0.22116249531445112</v>
      </c>
      <c r="AV102" s="21">
        <f>EXP(-LN(2)/25)*AV101+(1-EXP(-LN(2)/25))/(LN(2)/25)*Calculateur!AQ102*Calculateur!AS102*VLOOKUP('Données projet'!$B$10,Paramètres!$A$1:$I$89,3,0)*0.475*44/12</f>
        <v>0.70516454793084604</v>
      </c>
      <c r="AW102" s="21">
        <f>EXP(-LN(2)/2)*AW101+(1-EXP(-LN(2)/2))/(LN(2)/2)*AQ102*AT102*VLOOKUP('Données projet'!$B$10,Paramètres!$A$1:$I$89,3,0)*0.475*44/12</f>
        <v>2.5163440420617148E-10</v>
      </c>
      <c r="AX102" s="21">
        <f t="shared" si="60"/>
        <v>0.92632704349693151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-1.1368683772161603E-12</v>
      </c>
      <c r="BE102" s="13">
        <f>BD102*VLOOKUP('Données projet'!$B$11,Paramètres!$A$1:$I$89,3,0)*VLOOKUP('Données projet'!$B$11,Paramètres!$A$1:$I$89,5,0)</f>
        <v>-5.4683368944097316E-13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252.30925789500111</v>
      </c>
      <c r="BJ102" s="59">
        <f t="shared" si="92"/>
        <v>213.96033794804805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1.1812747453147192</v>
      </c>
      <c r="BQ102" s="21">
        <f>EXP(-LN(2)/25)*BQ101+(1-EXP(-LN(2)/25))/(LN(2)/25)*Calculateur!BL102*Calculateur!BN102*VLOOKUP('Données projet'!$B$11,Paramètres!$A$1:$I$89,3,0)*0.475*44/12</f>
        <v>1.3623349645385854</v>
      </c>
      <c r="BR102" s="21">
        <f>EXP(-LN(2)/2)*BR101+(1-EXP(-LN(2)/2))/(LN(2)/2)*BL102*BO102*VLOOKUP('Données projet'!$B$11,Paramètres!$A$1:$I$89,3,0)*0.475*44/12</f>
        <v>5.9176556799313465E-10</v>
      </c>
      <c r="BS102" s="22">
        <f t="shared" si="63"/>
        <v>2.5436097104450703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230</v>
      </c>
      <c r="L103" s="12">
        <f>VLOOKUP(A103,'Données projet'!$A$35:$I$55,9,0)</f>
        <v>3.7</v>
      </c>
      <c r="M103" s="12">
        <f t="array" ref="M103">INDEX(L:L,MIN(IF(ISNUMBER(L103:L299),ROW(L103:L299),"")))</f>
        <v>3.7</v>
      </c>
      <c r="N103" s="13">
        <f>IF('Données projet'!$A$36&gt;35,N102+M103-V102,IF(A103&lt;'Données projet'!$A$36,$K$205^A103,IF(A103='Données projet'!$A$36,'Données projet'!$B$36,N102+M103-V102)))</f>
        <v>229.99999999999997</v>
      </c>
      <c r="O103" s="13">
        <f>N103*VLOOKUP('Données projet'!$B$9,Paramètres!$A$1:$I$89,3,0)*VLOOKUP('Données projet'!$B$9,Paramètres!$A$1:$I$89,5,0)</f>
        <v>208.10399999999998</v>
      </c>
      <c r="P103" s="13">
        <f t="shared" si="87"/>
        <v>51.52104354893045</v>
      </c>
      <c r="Q103" s="20">
        <f t="shared" si="107"/>
        <v>452.18028418105382</v>
      </c>
      <c r="R103" s="59">
        <f t="shared" si="55"/>
        <v>745.51361751438708</v>
      </c>
      <c r="S103" s="59">
        <f ca="1">AVERAGE(OFFSET($R$3,0,0,'Données projet'!$E$9+1,1))-AVERAGE(OFFSET($H$3,0,0,'Données projet'!$E$9+1,1))</f>
        <v>138.8931001150624</v>
      </c>
      <c r="T103" s="59">
        <f t="shared" si="88"/>
        <v>48.964659354096625</v>
      </c>
      <c r="U103" s="15">
        <f>IF(ISNA(VLOOKUP(A103,'Données projet'!$A$35:$I$55,3,0)),0,VLOOKUP(A103,'Données projet'!$A$35:$I$55,3,0))</f>
        <v>7</v>
      </c>
      <c r="V103" s="15">
        <f>IF(ISNA(VLOOKUP(A103,'Données projet'!$A$35:$I$55,4,0)),0,VLOOKUP(A103,'Données projet'!$A$35:$I$55,4,0))</f>
        <v>28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407.9</v>
      </c>
      <c r="AG103" s="12">
        <f>VLOOKUP(A103,'Données projet'!$A$61:$I$81,9,0)</f>
        <v>8.3000000000000007</v>
      </c>
      <c r="AH103" s="12">
        <f t="array" ref="AH103">INDEX(AG:AG,MIN(IF(ISNUMBER(AG103:AG299),ROW(AG103:AG299),"")))</f>
        <v>8.3000000000000007</v>
      </c>
      <c r="AI103" s="13">
        <f>IF('Données projet'!$A$62&gt;35,AI102+AH103-AQ102,IF(A103&lt;'Données projet'!$A$62,$AF$205^A103,IF(A103='Données projet'!$A$62,'Données projet'!$B$62,AI102+AH103-AQ102)))</f>
        <v>407.90000000000003</v>
      </c>
      <c r="AJ103" s="13">
        <f>AI103*VLOOKUP('Données projet'!$B$10,Paramètres!$A$1:$I$89,3,0)*VLOOKUP('Données projet'!$B$10,Paramètres!$A$1:$I$89,5,0)</f>
        <v>190.8972</v>
      </c>
      <c r="AK103" s="13">
        <f t="shared" si="89"/>
        <v>47.738256614056887</v>
      </c>
      <c r="AL103" s="20">
        <f t="shared" si="58"/>
        <v>415.62342026948232</v>
      </c>
      <c r="AM103" s="59">
        <f t="shared" si="59"/>
        <v>708.95675360281564</v>
      </c>
      <c r="AN103" s="59">
        <f ca="1">AVERAGE(OFFSET($AM$3,0,0,'Données projet'!$E$10+1,1))-AVERAGE(OFFSET($H$3,0,0,'Données projet'!$E$10+1,1))</f>
        <v>123.60520571614535</v>
      </c>
      <c r="AO103" s="59">
        <f t="shared" si="90"/>
        <v>119.00926870519527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46.3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0.21682563367713703</v>
      </c>
      <c r="AV103" s="21">
        <f>EXP(-LN(2)/25)*AV102+(1-EXP(-LN(2)/25))/(LN(2)/25)*Calculateur!AQ103*Calculateur!AS103*VLOOKUP('Données projet'!$B$10,Paramètres!$A$1:$I$89,3,0)*0.475*44/12</f>
        <v>0.6858817862846851</v>
      </c>
      <c r="AW103" s="21">
        <f>EXP(-LN(2)/2)*AW102+(1-EXP(-LN(2)/2))/(LN(2)/2)*AQ103*AT103*VLOOKUP('Données projet'!$B$10,Paramètres!$A$1:$I$89,3,0)*0.475*44/12</f>
        <v>1.7793239359402056E-10</v>
      </c>
      <c r="AX103" s="21">
        <f t="shared" si="60"/>
        <v>0.90270742013975458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-1.1368683772161603E-12</v>
      </c>
      <c r="BE103" s="13">
        <f>BD103*VLOOKUP('Données projet'!$B$11,Paramètres!$A$1:$I$89,3,0)*VLOOKUP('Données projet'!$B$11,Paramètres!$A$1:$I$89,5,0)</f>
        <v>-5.4683368944097316E-13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252.30925789500111</v>
      </c>
      <c r="BJ103" s="59">
        <f t="shared" si="92"/>
        <v>213.96033794804805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1.1581106680655482</v>
      </c>
      <c r="BQ103" s="21">
        <f>EXP(-LN(2)/25)*BQ102+(1-EXP(-LN(2)/25))/(LN(2)/25)*Calculateur!BL103*Calculateur!BN103*VLOOKUP('Données projet'!$B$11,Paramètres!$A$1:$I$89,3,0)*0.475*44/12</f>
        <v>1.3250818432911957</v>
      </c>
      <c r="BR103" s="21">
        <f>EXP(-LN(2)/2)*BR102+(1-EXP(-LN(2)/2))/(LN(2)/2)*BL103*BO103*VLOOKUP('Données projet'!$B$11,Paramètres!$A$1:$I$89,3,0)*0.475*44/12</f>
        <v>4.1844144600065448E-10</v>
      </c>
      <c r="BS103" s="22">
        <f t="shared" si="63"/>
        <v>2.4831925117751852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3.1</v>
      </c>
      <c r="N104" s="13">
        <f>IF('Données projet'!$A$36&gt;35,N103+M104-V103,IF(A104&lt;'Données projet'!$A$36,$K$205^A104,IF(A104='Données projet'!$A$36,'Données projet'!$B$36,N103+M104-V103)))</f>
        <v>205.09999999999997</v>
      </c>
      <c r="O104" s="13">
        <f>N104*VLOOKUP('Données projet'!$B$9,Paramètres!$A$1:$I$89,3,0)*VLOOKUP('Données projet'!$B$9,Paramètres!$A$1:$I$89,5,0)</f>
        <v>185.57447999999997</v>
      </c>
      <c r="P104" s="13">
        <f t="shared" si="87"/>
        <v>46.560195221199436</v>
      </c>
      <c r="Q104" s="20">
        <f t="shared" si="107"/>
        <v>404.30122601025568</v>
      </c>
      <c r="R104" s="59">
        <f t="shared" si="55"/>
        <v>697.63455934358899</v>
      </c>
      <c r="S104" s="59">
        <f ca="1">AVERAGE(OFFSET($R$3,0,0,'Données projet'!$E$9+1,1))-AVERAGE(OFFSET($H$3,0,0,'Données projet'!$E$9+1,1))</f>
        <v>138.8931001150624</v>
      </c>
      <c r="T104" s="59">
        <f t="shared" si="88"/>
        <v>48.964659354096625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8.6999999999999993</v>
      </c>
      <c r="AI104" s="13">
        <f>IF('Données projet'!$A$62&gt;35,AI103+AH104-AQ103,IF(A104&lt;'Données projet'!$A$62,$AF$205^A104,IF(A104='Données projet'!$A$62,'Données projet'!$B$62,AI103+AH104-AQ103)))</f>
        <v>370.3</v>
      </c>
      <c r="AJ104" s="13">
        <f>AI104*VLOOKUP('Données projet'!$B$10,Paramètres!$A$1:$I$89,3,0)*VLOOKUP('Données projet'!$B$10,Paramètres!$A$1:$I$89,5,0)</f>
        <v>173.3004</v>
      </c>
      <c r="AK104" s="13">
        <f t="shared" si="89"/>
        <v>43.82837416766705</v>
      </c>
      <c r="AL104" s="20">
        <f t="shared" si="58"/>
        <v>378.1659483420201</v>
      </c>
      <c r="AM104" s="59">
        <f t="shared" si="59"/>
        <v>671.49928167535336</v>
      </c>
      <c r="AN104" s="59">
        <f ca="1">AVERAGE(OFFSET($AM$3,0,0,'Données projet'!$E$10+1,1))-AVERAGE(OFFSET($H$3,0,0,'Données projet'!$E$10+1,1))</f>
        <v>123.60520571614535</v>
      </c>
      <c r="AO104" s="59">
        <f t="shared" si="90"/>
        <v>119.00926870519527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0.21257381525130625</v>
      </c>
      <c r="AV104" s="21">
        <f>EXP(-LN(2)/25)*AV103+(1-EXP(-LN(2)/25))/(LN(2)/25)*Calculateur!AQ104*Calculateur!AS104*VLOOKUP('Données projet'!$B$10,Paramètres!$A$1:$I$89,3,0)*0.475*44/12</f>
        <v>0.66712631276977485</v>
      </c>
      <c r="AW104" s="21">
        <f>EXP(-LN(2)/2)*AW103+(1-EXP(-LN(2)/2))/(LN(2)/2)*AQ104*AT104*VLOOKUP('Données projet'!$B$10,Paramètres!$A$1:$I$89,3,0)*0.475*44/12</f>
        <v>1.2581720210308574E-10</v>
      </c>
      <c r="AX104" s="21">
        <f t="shared" si="60"/>
        <v>0.87970012814689835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-1.1368683772161603E-12</v>
      </c>
      <c r="BE104" s="13">
        <f>BD104*VLOOKUP('Données projet'!$B$11,Paramètres!$A$1:$I$89,3,0)*VLOOKUP('Données projet'!$B$11,Paramètres!$A$1:$I$89,5,0)</f>
        <v>-5.4683368944097316E-13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252.30925789500111</v>
      </c>
      <c r="BJ104" s="59">
        <f t="shared" si="92"/>
        <v>213.96033794804805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1.1354008242425413</v>
      </c>
      <c r="BQ104" s="21">
        <f>EXP(-LN(2)/25)*BQ103+(1-EXP(-LN(2)/25))/(LN(2)/25)*Calculateur!BL104*Calculateur!BN104*VLOOKUP('Données projet'!$B$11,Paramètres!$A$1:$I$89,3,0)*0.475*44/12</f>
        <v>1.2888474106033723</v>
      </c>
      <c r="BR104" s="21">
        <f>EXP(-LN(2)/2)*BR103+(1-EXP(-LN(2)/2))/(LN(2)/2)*BL104*BO104*VLOOKUP('Données projet'!$B$11,Paramètres!$A$1:$I$89,3,0)*0.475*44/12</f>
        <v>2.9588278399656732E-10</v>
      </c>
      <c r="BS104" s="22">
        <f t="shared" si="63"/>
        <v>2.4242482351417967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3.1</v>
      </c>
      <c r="N105" s="13">
        <f>IF('Données projet'!$A$36&gt;35,N104+M105-V104,IF(A105&lt;'Données projet'!$A$36,$K$205^A105,IF(A105='Données projet'!$A$36,'Données projet'!$B$36,N104+M105-V104)))</f>
        <v>208.19999999999996</v>
      </c>
      <c r="O105" s="13">
        <f>N105*VLOOKUP('Données projet'!$B$9,Paramètres!$A$1:$I$89,3,0)*VLOOKUP('Données projet'!$B$9,Paramètres!$A$1:$I$89,5,0)</f>
        <v>188.37935999999996</v>
      </c>
      <c r="P105" s="13">
        <f t="shared" si="87"/>
        <v>47.181473920005914</v>
      </c>
      <c r="Q105" s="20">
        <f t="shared" si="107"/>
        <v>410.26845241067684</v>
      </c>
      <c r="R105" s="59">
        <f t="shared" si="55"/>
        <v>703.60178574401016</v>
      </c>
      <c r="S105" s="59">
        <f ca="1">AVERAGE(OFFSET($R$3,0,0,'Données projet'!$E$9+1,1))-AVERAGE(OFFSET($H$3,0,0,'Données projet'!$E$9+1,1))</f>
        <v>138.8931001150624</v>
      </c>
      <c r="T105" s="59">
        <f t="shared" si="88"/>
        <v>48.964659354096625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8.6999999999999993</v>
      </c>
      <c r="AI105" s="13">
        <f>IF('Données projet'!$A$62&gt;35,AI104+AH105-AQ104,IF(A105&lt;'Données projet'!$A$62,$AF$205^A105,IF(A105='Données projet'!$A$62,'Données projet'!$B$62,AI104+AH105-AQ104)))</f>
        <v>379</v>
      </c>
      <c r="AJ105" s="13">
        <f>AI105*VLOOKUP('Données projet'!$B$10,Paramètres!$A$1:$I$89,3,0)*VLOOKUP('Données projet'!$B$10,Paramètres!$A$1:$I$89,5,0)</f>
        <v>177.37200000000001</v>
      </c>
      <c r="AK105" s="13">
        <f t="shared" si="89"/>
        <v>44.737005048641883</v>
      </c>
      <c r="AL105" s="20">
        <f t="shared" si="58"/>
        <v>386.83985045971798</v>
      </c>
      <c r="AM105" s="59">
        <f t="shared" si="59"/>
        <v>680.17318379305129</v>
      </c>
      <c r="AN105" s="59">
        <f ca="1">AVERAGE(OFFSET($AM$3,0,0,'Données projet'!$E$10+1,1))-AVERAGE(OFFSET($H$3,0,0,'Données projet'!$E$10+1,1))</f>
        <v>123.60520571614535</v>
      </c>
      <c r="AO105" s="59">
        <f t="shared" si="90"/>
        <v>119.00926870519527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0.20840537239145285</v>
      </c>
      <c r="AV105" s="21">
        <f>EXP(-LN(2)/25)*AV104+(1-EXP(-LN(2)/25))/(LN(2)/25)*Calculateur!AQ105*Calculateur!AS105*VLOOKUP('Données projet'!$B$10,Paramètres!$A$1:$I$89,3,0)*0.475*44/12</f>
        <v>0.64888370866443734</v>
      </c>
      <c r="AW105" s="21">
        <f>EXP(-LN(2)/2)*AW104+(1-EXP(-LN(2)/2))/(LN(2)/2)*AQ105*AT105*VLOOKUP('Données projet'!$B$10,Paramètres!$A$1:$I$89,3,0)*0.475*44/12</f>
        <v>8.8966196797010278E-11</v>
      </c>
      <c r="AX105" s="21">
        <f t="shared" si="60"/>
        <v>0.85728908114485636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-1.1368683772161603E-12</v>
      </c>
      <c r="BE105" s="13">
        <f>BD105*VLOOKUP('Données projet'!$B$11,Paramètres!$A$1:$I$89,3,0)*VLOOKUP('Données projet'!$B$11,Paramètres!$A$1:$I$89,5,0)</f>
        <v>-5.4683368944097316E-13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252.30925789500111</v>
      </c>
      <c r="BJ105" s="59">
        <f t="shared" si="92"/>
        <v>213.96033794804805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1.1131363066052666</v>
      </c>
      <c r="BQ105" s="21">
        <f>EXP(-LN(2)/25)*BQ104+(1-EXP(-LN(2)/25))/(LN(2)/25)*Calculateur!BL105*Calculateur!BN105*VLOOKUP('Données projet'!$B$11,Paramètres!$A$1:$I$89,3,0)*0.475*44/12</f>
        <v>1.2536038103828835</v>
      </c>
      <c r="BR105" s="21">
        <f>EXP(-LN(2)/2)*BR104+(1-EXP(-LN(2)/2))/(LN(2)/2)*BL105*BO105*VLOOKUP('Données projet'!$B$11,Paramètres!$A$1:$I$89,3,0)*0.475*44/12</f>
        <v>2.0922072300032724E-10</v>
      </c>
      <c r="BS105" s="22">
        <f t="shared" si="63"/>
        <v>2.3667401171973705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3.1</v>
      </c>
      <c r="N106" s="13">
        <f>IF('Données projet'!$A$36&gt;35,N105+M106-V105,IF(A106&lt;'Données projet'!$A$36,$K$205^A106,IF(A106='Données projet'!$A$36,'Données projet'!$B$36,N105+M106-V105)))</f>
        <v>211.29999999999995</v>
      </c>
      <c r="O106" s="13">
        <f>N106*VLOOKUP('Données projet'!$B$9,Paramètres!$A$1:$I$89,3,0)*VLOOKUP('Données projet'!$B$9,Paramètres!$A$1:$I$89,5,0)</f>
        <v>191.18423999999993</v>
      </c>
      <c r="P106" s="13">
        <f t="shared" si="87"/>
        <v>47.80167674561666</v>
      </c>
      <c r="Q106" s="20">
        <f t="shared" si="107"/>
        <v>416.23380499861554</v>
      </c>
      <c r="R106" s="59">
        <f t="shared" si="55"/>
        <v>709.56713833194885</v>
      </c>
      <c r="S106" s="59">
        <f ca="1">AVERAGE(OFFSET($R$3,0,0,'Données projet'!$E$9+1,1))-AVERAGE(OFFSET($H$3,0,0,'Données projet'!$E$9+1,1))</f>
        <v>138.8931001150624</v>
      </c>
      <c r="T106" s="59">
        <f t="shared" si="88"/>
        <v>48.964659354096625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8.6999999999999993</v>
      </c>
      <c r="AI106" s="13">
        <f>IF('Données projet'!$A$62&gt;35,AI105+AH106-AQ105,IF(A106&lt;'Données projet'!$A$62,$AF$205^A106,IF(A106='Données projet'!$A$62,'Données projet'!$B$62,AI105+AH106-AQ105)))</f>
        <v>387.7</v>
      </c>
      <c r="AJ106" s="13">
        <f>AI106*VLOOKUP('Données projet'!$B$10,Paramètres!$A$1:$I$89,3,0)*VLOOKUP('Données projet'!$B$10,Paramètres!$A$1:$I$89,5,0)</f>
        <v>181.4436</v>
      </c>
      <c r="AK106" s="13">
        <f t="shared" si="89"/>
        <v>45.64321110268957</v>
      </c>
      <c r="AL106" s="20">
        <f t="shared" si="58"/>
        <v>395.50952933718435</v>
      </c>
      <c r="AM106" s="59">
        <f t="shared" si="59"/>
        <v>688.84286267051766</v>
      </c>
      <c r="AN106" s="59">
        <f ca="1">AVERAGE(OFFSET($AM$3,0,0,'Données projet'!$E$10+1,1))-AVERAGE(OFFSET($H$3,0,0,'Données projet'!$E$10+1,1))</f>
        <v>123.60520571614535</v>
      </c>
      <c r="AO106" s="59">
        <f t="shared" si="90"/>
        <v>119.00926870519527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0.20431867015358207</v>
      </c>
      <c r="AV106" s="21">
        <f>EXP(-LN(2)/25)*AV105+(1-EXP(-LN(2)/25))/(LN(2)/25)*Calculateur!AQ106*Calculateur!AS106*VLOOKUP('Données projet'!$B$10,Paramètres!$A$1:$I$89,3,0)*0.475*44/12</f>
        <v>0.63113994952769714</v>
      </c>
      <c r="AW106" s="21">
        <f>EXP(-LN(2)/2)*AW105+(1-EXP(-LN(2)/2))/(LN(2)/2)*AQ106*AT106*VLOOKUP('Données projet'!$B$10,Paramètres!$A$1:$I$89,3,0)*0.475*44/12</f>
        <v>6.2908601051542871E-11</v>
      </c>
      <c r="AX106" s="21">
        <f t="shared" si="60"/>
        <v>0.83545861974418778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-1.1368683772161603E-12</v>
      </c>
      <c r="BE106" s="13">
        <f>BD106*VLOOKUP('Données projet'!$B$11,Paramètres!$A$1:$I$89,3,0)*VLOOKUP('Données projet'!$B$11,Paramètres!$A$1:$I$89,5,0)</f>
        <v>-5.4683368944097316E-13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252.30925789500111</v>
      </c>
      <c r="BJ106" s="59">
        <f t="shared" si="92"/>
        <v>213.96033794804805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1.0913083825788441</v>
      </c>
      <c r="BQ106" s="21">
        <f>EXP(-LN(2)/25)*BQ105+(1-EXP(-LN(2)/25))/(LN(2)/25)*Calculateur!BL106*Calculateur!BN106*VLOOKUP('Données projet'!$B$11,Paramètres!$A$1:$I$89,3,0)*0.475*44/12</f>
        <v>1.2193239482638043</v>
      </c>
      <c r="BR106" s="21">
        <f>EXP(-LN(2)/2)*BR105+(1-EXP(-LN(2)/2))/(LN(2)/2)*BL106*BO106*VLOOKUP('Données projet'!$B$11,Paramètres!$A$1:$I$89,3,0)*0.475*44/12</f>
        <v>1.4794139199828366E-10</v>
      </c>
      <c r="BS106" s="22">
        <f t="shared" si="63"/>
        <v>2.3106323309905896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3.1</v>
      </c>
      <c r="N107" s="13">
        <f>IF('Données projet'!$A$36&gt;35,N106+M107-V106,IF(A107&lt;'Données projet'!$A$36,$K$205^A107,IF(A107='Données projet'!$A$36,'Données projet'!$B$36,N106+M107-V106)))</f>
        <v>214.39999999999995</v>
      </c>
      <c r="O107" s="13">
        <f>N107*VLOOKUP('Données projet'!$B$9,Paramètres!$A$1:$I$89,3,0)*VLOOKUP('Données projet'!$B$9,Paramètres!$A$1:$I$89,5,0)</f>
        <v>193.98911999999996</v>
      </c>
      <c r="P107" s="13">
        <f t="shared" si="87"/>
        <v>48.420821305775434</v>
      </c>
      <c r="Q107" s="20">
        <f t="shared" si="107"/>
        <v>422.19731444089211</v>
      </c>
      <c r="R107" s="59">
        <f t="shared" si="55"/>
        <v>715.53064777422537</v>
      </c>
      <c r="S107" s="59">
        <f ca="1">AVERAGE(OFFSET($R$3,0,0,'Données projet'!$E$9+1,1))-AVERAGE(OFFSET($H$3,0,0,'Données projet'!$E$9+1,1))</f>
        <v>138.8931001150624</v>
      </c>
      <c r="T107" s="59">
        <f t="shared" si="88"/>
        <v>48.964659354096625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8.6999999999999993</v>
      </c>
      <c r="AI107" s="13">
        <f>IF('Données projet'!$A$62&gt;35,AI106+AH107-AQ106,IF(A107&lt;'Données projet'!$A$62,$AF$205^A107,IF(A107='Données projet'!$A$62,'Données projet'!$B$62,AI106+AH107-AQ106)))</f>
        <v>396.4</v>
      </c>
      <c r="AJ107" s="13">
        <f>AI107*VLOOKUP('Données projet'!$B$10,Paramètres!$A$1:$I$89,3,0)*VLOOKUP('Données projet'!$B$10,Paramètres!$A$1:$I$89,5,0)</f>
        <v>185.51519999999999</v>
      </c>
      <c r="AK107" s="13">
        <f t="shared" si="89"/>
        <v>46.547053007719569</v>
      </c>
      <c r="AL107" s="20">
        <f t="shared" si="58"/>
        <v>404.17509065511155</v>
      </c>
      <c r="AM107" s="59">
        <f t="shared" si="59"/>
        <v>697.50842398844486</v>
      </c>
      <c r="AN107" s="59">
        <f ca="1">AVERAGE(OFFSET($AM$3,0,0,'Données projet'!$E$10+1,1))-AVERAGE(OFFSET($H$3,0,0,'Données projet'!$E$10+1,1))</f>
        <v>123.60520571614535</v>
      </c>
      <c r="AO107" s="59">
        <f t="shared" si="90"/>
        <v>119.00926870519527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0.20031210565395371</v>
      </c>
      <c r="AV107" s="21">
        <f>EXP(-LN(2)/25)*AV106+(1-EXP(-LN(2)/25))/(LN(2)/25)*Calculateur!AQ107*Calculateur!AS107*VLOOKUP('Données projet'!$B$10,Paramètres!$A$1:$I$89,3,0)*0.475*44/12</f>
        <v>0.61388139441765477</v>
      </c>
      <c r="AW107" s="21">
        <f>EXP(-LN(2)/2)*AW106+(1-EXP(-LN(2)/2))/(LN(2)/2)*AQ107*AT107*VLOOKUP('Données projet'!$B$10,Paramètres!$A$1:$I$89,3,0)*0.475*44/12</f>
        <v>4.4483098398505139E-11</v>
      </c>
      <c r="AX107" s="21">
        <f t="shared" si="60"/>
        <v>0.8141935001160916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-1.1368683772161603E-12</v>
      </c>
      <c r="BE107" s="13">
        <f>BD107*VLOOKUP('Données projet'!$B$11,Paramètres!$A$1:$I$89,3,0)*VLOOKUP('Données projet'!$B$11,Paramètres!$A$1:$I$89,5,0)</f>
        <v>-5.4683368944097316E-13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252.30925789500111</v>
      </c>
      <c r="BJ107" s="59">
        <f t="shared" si="92"/>
        <v>213.96033794804805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1.0699084908288605</v>
      </c>
      <c r="BQ107" s="21">
        <f>EXP(-LN(2)/25)*BQ106+(1-EXP(-LN(2)/25))/(LN(2)/25)*Calculateur!BL107*Calculateur!BN107*VLOOKUP('Données projet'!$B$11,Paramètres!$A$1:$I$89,3,0)*0.475*44/12</f>
        <v>1.1859814707770708</v>
      </c>
      <c r="BR107" s="21">
        <f>EXP(-LN(2)/2)*BR106+(1-EXP(-LN(2)/2))/(LN(2)/2)*BL107*BO107*VLOOKUP('Données projet'!$B$11,Paramètres!$A$1:$I$89,3,0)*0.475*44/12</f>
        <v>1.0461036150016362E-10</v>
      </c>
      <c r="BS107" s="22">
        <f t="shared" si="63"/>
        <v>2.2558899617105421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3.1</v>
      </c>
      <c r="N108" s="13">
        <f>IF('Données projet'!$A$36&gt;35,N107+M108-V107,IF(A108&lt;'Données projet'!$A$36,$K$205^A108,IF(A108='Données projet'!$A$36,'Données projet'!$B$36,N107+M108-V107)))</f>
        <v>217.49999999999994</v>
      </c>
      <c r="O108" s="13">
        <f>N108*VLOOKUP('Données projet'!$B$9,Paramètres!$A$1:$I$89,3,0)*VLOOKUP('Données projet'!$B$9,Paramètres!$A$1:$I$89,5,0)</f>
        <v>196.79399999999995</v>
      </c>
      <c r="P108" s="13">
        <f t="shared" si="87"/>
        <v>49.038924669809596</v>
      </c>
      <c r="Q108" s="20">
        <f t="shared" si="107"/>
        <v>428.15901046658496</v>
      </c>
      <c r="R108" s="59">
        <f t="shared" si="55"/>
        <v>721.49234379991822</v>
      </c>
      <c r="S108" s="59">
        <f ca="1">AVERAGE(OFFSET($R$3,0,0,'Données projet'!$E$9+1,1))-AVERAGE(OFFSET($H$3,0,0,'Données projet'!$E$9+1,1))</f>
        <v>138.8931001150624</v>
      </c>
      <c r="T108" s="59">
        <f t="shared" si="88"/>
        <v>48.964659354096625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8.6999999999999993</v>
      </c>
      <c r="AI108" s="13">
        <f>IF('Données projet'!$A$62&gt;35,AI107+AH108-AQ107,IF(A108&lt;'Données projet'!$A$62,$AF$205^A108,IF(A108='Données projet'!$A$62,'Données projet'!$B$62,AI107+AH108-AQ107)))</f>
        <v>405.09999999999997</v>
      </c>
      <c r="AJ108" s="13">
        <f>AI108*VLOOKUP('Données projet'!$B$10,Paramètres!$A$1:$I$89,3,0)*VLOOKUP('Données projet'!$B$10,Paramètres!$A$1:$I$89,5,0)</f>
        <v>189.58679999999998</v>
      </c>
      <c r="AK108" s="13">
        <f t="shared" si="89"/>
        <v>47.448588626085396</v>
      </c>
      <c r="AL108" s="20">
        <f t="shared" si="58"/>
        <v>412.83663519043193</v>
      </c>
      <c r="AM108" s="59">
        <f t="shared" si="59"/>
        <v>706.16996852376519</v>
      </c>
      <c r="AN108" s="59">
        <f ca="1">AVERAGE(OFFSET($AM$3,0,0,'Données projet'!$E$10+1,1))-AVERAGE(OFFSET($H$3,0,0,'Données projet'!$E$10+1,1))</f>
        <v>123.60520571614535</v>
      </c>
      <c r="AO108" s="59">
        <f t="shared" si="90"/>
        <v>119.00926870519527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0.19638410744040002</v>
      </c>
      <c r="AV108" s="21">
        <f>EXP(-LN(2)/25)*AV107+(1-EXP(-LN(2)/25))/(LN(2)/25)*Calculateur!AQ108*Calculateur!AS108*VLOOKUP('Données projet'!$B$10,Paramètres!$A$1:$I$89,3,0)*0.475*44/12</f>
        <v>0.59709477540468447</v>
      </c>
      <c r="AW108" s="21">
        <f>EXP(-LN(2)/2)*AW107+(1-EXP(-LN(2)/2))/(LN(2)/2)*AQ108*AT108*VLOOKUP('Données projet'!$B$10,Paramètres!$A$1:$I$89,3,0)*0.475*44/12</f>
        <v>3.1454300525771435E-11</v>
      </c>
      <c r="AX108" s="21">
        <f t="shared" si="60"/>
        <v>0.79347888287653878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-1.1368683772161603E-12</v>
      </c>
      <c r="BE108" s="13">
        <f>BD108*VLOOKUP('Données projet'!$B$11,Paramètres!$A$1:$I$89,3,0)*VLOOKUP('Données projet'!$B$11,Paramètres!$A$1:$I$89,5,0)</f>
        <v>-5.4683368944097316E-13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252.30925789500111</v>
      </c>
      <c r="BJ108" s="59">
        <f t="shared" si="92"/>
        <v>213.96033794804805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1.048928237903449</v>
      </c>
      <c r="BQ108" s="21">
        <f>EXP(-LN(2)/25)*BQ107+(1-EXP(-LN(2)/25))/(LN(2)/25)*Calculateur!BL108*Calculateur!BN108*VLOOKUP('Données projet'!$B$11,Paramètres!$A$1:$I$89,3,0)*0.475*44/12</f>
        <v>1.1535507450906168</v>
      </c>
      <c r="BR108" s="21">
        <f>EXP(-LN(2)/2)*BR107+(1-EXP(-LN(2)/2))/(LN(2)/2)*BL108*BO108*VLOOKUP('Données projet'!$B$11,Paramètres!$A$1:$I$89,3,0)*0.475*44/12</f>
        <v>7.3970695999141831E-11</v>
      </c>
      <c r="BS108" s="22">
        <f t="shared" si="63"/>
        <v>2.2024789830680365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3.1</v>
      </c>
      <c r="N109" s="13">
        <f>IF('Données projet'!$A$36&gt;35,N108+M109-V108,IF(A109&lt;'Données projet'!$A$36,$K$205^A109,IF(A109='Données projet'!$A$36,'Données projet'!$B$36,N108+M109-V108)))</f>
        <v>220.59999999999994</v>
      </c>
      <c r="O109" s="13">
        <f>N109*VLOOKUP('Données projet'!$B$9,Paramètres!$A$1:$I$89,3,0)*VLOOKUP('Données projet'!$B$9,Paramètres!$A$1:$I$89,5,0)</f>
        <v>199.59887999999992</v>
      </c>
      <c r="P109" s="13">
        <f t="shared" si="87"/>
        <v>49.656003392528994</v>
      </c>
      <c r="Q109" s="20">
        <f t="shared" si="107"/>
        <v>434.1189219086545</v>
      </c>
      <c r="R109" s="59">
        <f t="shared" si="55"/>
        <v>727.45225524198781</v>
      </c>
      <c r="S109" s="59">
        <f ca="1">AVERAGE(OFFSET($R$3,0,0,'Données projet'!$E$9+1,1))-AVERAGE(OFFSET($H$3,0,0,'Données projet'!$E$9+1,1))</f>
        <v>138.8931001150624</v>
      </c>
      <c r="T109" s="59">
        <f t="shared" si="88"/>
        <v>48.964659354096625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8.6999999999999993</v>
      </c>
      <c r="AI109" s="13">
        <f>IF('Données projet'!$A$62&gt;35,AI108+AH109-AQ108,IF(A109&lt;'Données projet'!$A$62,$AF$205^A109,IF(A109='Données projet'!$A$62,'Données projet'!$B$62,AI108+AH109-AQ108)))</f>
        <v>413.79999999999995</v>
      </c>
      <c r="AJ109" s="13">
        <f>AI109*VLOOKUP('Données projet'!$B$10,Paramètres!$A$1:$I$89,3,0)*VLOOKUP('Données projet'!$B$10,Paramètres!$A$1:$I$89,5,0)</f>
        <v>193.6584</v>
      </c>
      <c r="AK109" s="13">
        <f t="shared" si="89"/>
        <v>48.347873192848013</v>
      </c>
      <c r="AL109" s="20">
        <f t="shared" si="58"/>
        <v>421.49425914421028</v>
      </c>
      <c r="AM109" s="59">
        <f t="shared" si="59"/>
        <v>714.82759247754359</v>
      </c>
      <c r="AN109" s="59">
        <f ca="1">AVERAGE(OFFSET($AM$3,0,0,'Données projet'!$E$10+1,1))-AVERAGE(OFFSET($H$3,0,0,'Données projet'!$E$10+1,1))</f>
        <v>123.60520571614535</v>
      </c>
      <c r="AO109" s="59">
        <f t="shared" si="90"/>
        <v>119.00926870519527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0.19253313487597179</v>
      </c>
      <c r="AV109" s="21">
        <f>EXP(-LN(2)/25)*AV108+(1-EXP(-LN(2)/25))/(LN(2)/25)*Calculateur!AQ109*Calculateur!AS109*VLOOKUP('Données projet'!$B$10,Paramètres!$A$1:$I$89,3,0)*0.475*44/12</f>
        <v>0.58076718737139377</v>
      </c>
      <c r="AW109" s="21">
        <f>EXP(-LN(2)/2)*AW108+(1-EXP(-LN(2)/2))/(LN(2)/2)*AQ109*AT109*VLOOKUP('Données projet'!$B$10,Paramètres!$A$1:$I$89,3,0)*0.475*44/12</f>
        <v>2.2241549199252569E-11</v>
      </c>
      <c r="AX109" s="21">
        <f t="shared" si="60"/>
        <v>0.7733003222696071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-1.1368683772161603E-12</v>
      </c>
      <c r="BE109" s="13">
        <f>BD109*VLOOKUP('Données projet'!$B$11,Paramètres!$A$1:$I$89,3,0)*VLOOKUP('Données projet'!$B$11,Paramètres!$A$1:$I$89,5,0)</f>
        <v>-5.4683368944097316E-13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252.30925789500111</v>
      </c>
      <c r="BJ109" s="59">
        <f t="shared" si="92"/>
        <v>213.96033794804805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1.0283593949412142</v>
      </c>
      <c r="BQ109" s="21">
        <f>EXP(-LN(2)/25)*BQ108+(1-EXP(-LN(2)/25))/(LN(2)/25)*Calculateur!BL109*Calculateur!BN109*VLOOKUP('Données projet'!$B$11,Paramètres!$A$1:$I$89,3,0)*0.475*44/12</f>
        <v>1.1220068393035167</v>
      </c>
      <c r="BR109" s="21">
        <f>EXP(-LN(2)/2)*BR108+(1-EXP(-LN(2)/2))/(LN(2)/2)*BL109*BO109*VLOOKUP('Données projet'!$B$11,Paramètres!$A$1:$I$89,3,0)*0.475*44/12</f>
        <v>5.230518075008181E-11</v>
      </c>
      <c r="BS109" s="22">
        <f t="shared" si="63"/>
        <v>2.1503662342970364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3.1</v>
      </c>
      <c r="N110" s="13">
        <f>IF('Données projet'!$A$36&gt;35,N109+M110-V109,IF(A110&lt;'Données projet'!$A$36,$K$205^A110,IF(A110='Données projet'!$A$36,'Données projet'!$B$36,N109+M110-V109)))</f>
        <v>223.69999999999993</v>
      </c>
      <c r="O110" s="13">
        <f>N110*VLOOKUP('Données projet'!$B$9,Paramètres!$A$1:$I$89,3,0)*VLOOKUP('Données projet'!$B$9,Paramètres!$A$1:$I$89,5,0)</f>
        <v>202.40375999999992</v>
      </c>
      <c r="P110" s="13">
        <f t="shared" si="87"/>
        <v>50.272073536742994</v>
      </c>
      <c r="Q110" s="20">
        <f t="shared" si="107"/>
        <v>440.0770767431606</v>
      </c>
      <c r="R110" s="59">
        <f t="shared" si="55"/>
        <v>733.41041007649392</v>
      </c>
      <c r="S110" s="59">
        <f ca="1">AVERAGE(OFFSET($R$3,0,0,'Données projet'!$E$9+1,1))-AVERAGE(OFFSET($H$3,0,0,'Données projet'!$E$9+1,1))</f>
        <v>138.8931001150624</v>
      </c>
      <c r="T110" s="59">
        <f t="shared" si="88"/>
        <v>48.964659354096625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8.6999999999999993</v>
      </c>
      <c r="AI110" s="13">
        <f>IF('Données projet'!$A$62&gt;35,AI109+AH110-AQ109,IF(A110&lt;'Données projet'!$A$62,$AF$205^A110,IF(A110='Données projet'!$A$62,'Données projet'!$B$62,AI109+AH110-AQ109)))</f>
        <v>422.49999999999994</v>
      </c>
      <c r="AJ110" s="13">
        <f>AI110*VLOOKUP('Données projet'!$B$10,Paramètres!$A$1:$I$89,3,0)*VLOOKUP('Données projet'!$B$10,Paramètres!$A$1:$I$89,5,0)</f>
        <v>197.72999999999996</v>
      </c>
      <c r="AK110" s="13">
        <f t="shared" si="89"/>
        <v>49.244959487759665</v>
      </c>
      <c r="AL110" s="20">
        <f t="shared" si="58"/>
        <v>430.14805444118133</v>
      </c>
      <c r="AM110" s="59">
        <f t="shared" si="59"/>
        <v>723.48138777451459</v>
      </c>
      <c r="AN110" s="59">
        <f ca="1">AVERAGE(OFFSET($AM$3,0,0,'Données projet'!$E$10+1,1))-AVERAGE(OFFSET($H$3,0,0,'Données projet'!$E$10+1,1))</f>
        <v>123.60520571614535</v>
      </c>
      <c r="AO110" s="59">
        <f t="shared" si="90"/>
        <v>119.00926870519527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0.18875767753467065</v>
      </c>
      <c r="AV110" s="21">
        <f>EXP(-LN(2)/25)*AV109+(1-EXP(-LN(2)/25))/(LN(2)/25)*Calculateur!AQ110*Calculateur!AS110*VLOOKUP('Données projet'!$B$10,Paramètres!$A$1:$I$89,3,0)*0.475*44/12</f>
        <v>0.56488607809150393</v>
      </c>
      <c r="AW110" s="21">
        <f>EXP(-LN(2)/2)*AW109+(1-EXP(-LN(2)/2))/(LN(2)/2)*AQ110*AT110*VLOOKUP('Données projet'!$B$10,Paramètres!$A$1:$I$89,3,0)*0.475*44/12</f>
        <v>1.5727150262885718E-11</v>
      </c>
      <c r="AX110" s="21">
        <f t="shared" si="60"/>
        <v>0.75364375564190178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-1.1368683772161603E-12</v>
      </c>
      <c r="BE110" s="13">
        <f>BD110*VLOOKUP('Données projet'!$B$11,Paramètres!$A$1:$I$89,3,0)*VLOOKUP('Données projet'!$B$11,Paramètres!$A$1:$I$89,5,0)</f>
        <v>-5.4683368944097316E-13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252.30925789500111</v>
      </c>
      <c r="BJ110" s="59">
        <f t="shared" si="92"/>
        <v>213.96033794804805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1.0081938944437134</v>
      </c>
      <c r="BQ110" s="21">
        <f>EXP(-LN(2)/25)*BQ109+(1-EXP(-LN(2)/25))/(LN(2)/25)*Calculateur!BL110*Calculateur!BN110*VLOOKUP('Données projet'!$B$11,Paramètres!$A$1:$I$89,3,0)*0.475*44/12</f>
        <v>1.0913255032789868</v>
      </c>
      <c r="BR110" s="21">
        <f>EXP(-LN(2)/2)*BR109+(1-EXP(-LN(2)/2))/(LN(2)/2)*BL110*BO110*VLOOKUP('Données projet'!$B$11,Paramètres!$A$1:$I$89,3,0)*0.475*44/12</f>
        <v>3.6985347999570916E-11</v>
      </c>
      <c r="BS110" s="22">
        <f t="shared" si="63"/>
        <v>2.0995193977596855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3.1</v>
      </c>
      <c r="N111" s="13">
        <f>IF('Données projet'!$A$36&gt;35,N110+M111-V110,IF(A111&lt;'Données projet'!$A$36,$K$205^A111,IF(A111='Données projet'!$A$36,'Données projet'!$B$36,N110+M111-V110)))</f>
        <v>226.79999999999993</v>
      </c>
      <c r="O111" s="13">
        <f>N111*VLOOKUP('Données projet'!$B$9,Paramètres!$A$1:$I$89,3,0)*VLOOKUP('Données projet'!$B$9,Paramètres!$A$1:$I$89,5,0)</f>
        <v>205.20863999999995</v>
      </c>
      <c r="P111" s="13">
        <f t="shared" si="87"/>
        <v>50.887150694493549</v>
      </c>
      <c r="Q111" s="20">
        <f t="shared" si="107"/>
        <v>446.03350212624281</v>
      </c>
      <c r="R111" s="59">
        <f t="shared" si="55"/>
        <v>739.36683545957612</v>
      </c>
      <c r="S111" s="59">
        <f ca="1">AVERAGE(OFFSET($R$3,0,0,'Données projet'!$E$9+1,1))-AVERAGE(OFFSET($H$3,0,0,'Données projet'!$E$9+1,1))</f>
        <v>138.8931001150624</v>
      </c>
      <c r="T111" s="59">
        <f t="shared" si="88"/>
        <v>48.964659354096625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8.6999999999999993</v>
      </c>
      <c r="AI111" s="13">
        <f>IF('Données projet'!$A$62&gt;35,AI110+AH111-AQ110,IF(A111&lt;'Données projet'!$A$62,$AF$205^A111,IF(A111='Données projet'!$A$62,'Données projet'!$B$62,AI110+AH111-AQ110)))</f>
        <v>431.19999999999993</v>
      </c>
      <c r="AJ111" s="13">
        <f>AI111*VLOOKUP('Données projet'!$B$10,Paramètres!$A$1:$I$89,3,0)*VLOOKUP('Données projet'!$B$10,Paramètres!$A$1:$I$89,5,0)</f>
        <v>201.80159999999998</v>
      </c>
      <c r="AK111" s="13">
        <f t="shared" si="89"/>
        <v>50.139897992681668</v>
      </c>
      <c r="AL111" s="20">
        <f t="shared" si="58"/>
        <v>438.7981090039205</v>
      </c>
      <c r="AM111" s="59">
        <f t="shared" si="59"/>
        <v>732.13144233725382</v>
      </c>
      <c r="AN111" s="59">
        <f ca="1">AVERAGE(OFFSET($AM$3,0,0,'Données projet'!$E$10+1,1))-AVERAGE(OFFSET($H$3,0,0,'Données projet'!$E$10+1,1))</f>
        <v>123.60520571614535</v>
      </c>
      <c r="AO111" s="59">
        <f t="shared" si="90"/>
        <v>119.00926870519527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0.18505625460903083</v>
      </c>
      <c r="AV111" s="21">
        <f>EXP(-LN(2)/25)*AV110+(1-EXP(-LN(2)/25))/(LN(2)/25)*Calculateur!AQ111*Calculateur!AS111*VLOOKUP('Données projet'!$B$10,Paramètres!$A$1:$I$89,3,0)*0.475*44/12</f>
        <v>0.54943923858002397</v>
      </c>
      <c r="AW111" s="21">
        <f>EXP(-LN(2)/2)*AW110+(1-EXP(-LN(2)/2))/(LN(2)/2)*AQ111*AT111*VLOOKUP('Données projet'!$B$10,Paramètres!$A$1:$I$89,3,0)*0.475*44/12</f>
        <v>1.1120774599626285E-11</v>
      </c>
      <c r="AX111" s="21">
        <f t="shared" si="60"/>
        <v>0.7344954932001756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-1.1368683772161603E-12</v>
      </c>
      <c r="BE111" s="13">
        <f>BD111*VLOOKUP('Données projet'!$B$11,Paramètres!$A$1:$I$89,3,0)*VLOOKUP('Données projet'!$B$11,Paramètres!$A$1:$I$89,5,0)</f>
        <v>-5.4683368944097316E-13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252.30925789500111</v>
      </c>
      <c r="BJ111" s="59">
        <f t="shared" si="92"/>
        <v>213.96033794804805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0.98842382711122778</v>
      </c>
      <c r="BQ111" s="21">
        <f>EXP(-LN(2)/25)*BQ110+(1-EXP(-LN(2)/25))/(LN(2)/25)*Calculateur!BL111*Calculateur!BN111*VLOOKUP('Données projet'!$B$11,Paramètres!$A$1:$I$89,3,0)*0.475*44/12</f>
        <v>1.0614831500015089</v>
      </c>
      <c r="BR111" s="21">
        <f>EXP(-LN(2)/2)*BR110+(1-EXP(-LN(2)/2))/(LN(2)/2)*BL111*BO111*VLOOKUP('Données projet'!$B$11,Paramètres!$A$1:$I$89,3,0)*0.475*44/12</f>
        <v>2.6152590375040905E-11</v>
      </c>
      <c r="BS111" s="22">
        <f t="shared" si="63"/>
        <v>2.0499069771388889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3.1</v>
      </c>
      <c r="N112" s="13">
        <f>IF('Données projet'!$A$36&gt;35,N111+M112-V111,IF(A112&lt;'Données projet'!$A$36,$K$205^A112,IF(A112='Données projet'!$A$36,'Données projet'!$B$36,N111+M112-V111)))</f>
        <v>229.89999999999992</v>
      </c>
      <c r="O112" s="13">
        <f>N112*VLOOKUP('Données projet'!$B$9,Paramètres!$A$1:$I$89,3,0)*VLOOKUP('Données projet'!$B$9,Paramètres!$A$1:$I$89,5,0)</f>
        <v>208.01351999999994</v>
      </c>
      <c r="P112" s="13">
        <f t="shared" si="87"/>
        <v>51.501250007095145</v>
      </c>
      <c r="Q112" s="20">
        <f t="shared" si="107"/>
        <v>451.98822442902389</v>
      </c>
      <c r="R112" s="59">
        <f t="shared" si="55"/>
        <v>745.3215577623572</v>
      </c>
      <c r="S112" s="59">
        <f ca="1">AVERAGE(OFFSET($R$3,0,0,'Données projet'!$E$9+1,1))-AVERAGE(OFFSET($H$3,0,0,'Données projet'!$E$9+1,1))</f>
        <v>138.8931001150624</v>
      </c>
      <c r="T112" s="59">
        <f t="shared" si="88"/>
        <v>48.964659354096625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8.6999999999999993</v>
      </c>
      <c r="AI112" s="13">
        <f>IF('Données projet'!$A$62&gt;35,AI111+AH112-AQ111,IF(A112&lt;'Données projet'!$A$62,$AF$205^A112,IF(A112='Données projet'!$A$62,'Données projet'!$B$62,AI111+AH112-AQ111)))</f>
        <v>439.89999999999992</v>
      </c>
      <c r="AJ112" s="13">
        <f>AI112*VLOOKUP('Données projet'!$B$10,Paramètres!$A$1:$I$89,3,0)*VLOOKUP('Données projet'!$B$10,Paramètres!$A$1:$I$89,5,0)</f>
        <v>205.87319999999997</v>
      </c>
      <c r="AK112" s="13">
        <f t="shared" si="89"/>
        <v>51.03273703593927</v>
      </c>
      <c r="AL112" s="20">
        <f t="shared" si="58"/>
        <v>447.44450700426086</v>
      </c>
      <c r="AM112" s="59">
        <f t="shared" si="59"/>
        <v>740.77784033759417</v>
      </c>
      <c r="AN112" s="59">
        <f ca="1">AVERAGE(OFFSET($AM$3,0,0,'Données projet'!$E$10+1,1))-AVERAGE(OFFSET($H$3,0,0,'Données projet'!$E$10+1,1))</f>
        <v>123.60520571614535</v>
      </c>
      <c r="AO112" s="59">
        <f t="shared" si="90"/>
        <v>119.00926870519527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0.18142741432931775</v>
      </c>
      <c r="AV112" s="21">
        <f>EXP(-LN(2)/25)*AV111+(1-EXP(-LN(2)/25))/(LN(2)/25)*Calculateur!AQ112*Calculateur!AS112*VLOOKUP('Données projet'!$B$10,Paramètres!$A$1:$I$89,3,0)*0.475*44/12</f>
        <v>0.53441479370729938</v>
      </c>
      <c r="AW112" s="21">
        <f>EXP(-LN(2)/2)*AW111+(1-EXP(-LN(2)/2))/(LN(2)/2)*AQ112*AT112*VLOOKUP('Données projet'!$B$10,Paramètres!$A$1:$I$89,3,0)*0.475*44/12</f>
        <v>7.8635751314428588E-12</v>
      </c>
      <c r="AX112" s="21">
        <f t="shared" si="60"/>
        <v>0.71584220804448073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-1.1368683772161603E-12</v>
      </c>
      <c r="BE112" s="13">
        <f>BD112*VLOOKUP('Données projet'!$B$11,Paramètres!$A$1:$I$89,3,0)*VLOOKUP('Données projet'!$B$11,Paramètres!$A$1:$I$89,5,0)</f>
        <v>-5.4683368944097316E-13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252.30925789500111</v>
      </c>
      <c r="BJ112" s="59">
        <f t="shared" si="92"/>
        <v>213.96033794804805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0.9690414387405818</v>
      </c>
      <c r="BQ112" s="21">
        <f>EXP(-LN(2)/25)*BQ111+(1-EXP(-LN(2)/25))/(LN(2)/25)*Calculateur!BL112*Calculateur!BN112*VLOOKUP('Données projet'!$B$11,Paramètres!$A$1:$I$89,3,0)*0.475*44/12</f>
        <v>1.0324568374437448</v>
      </c>
      <c r="BR112" s="21">
        <f>EXP(-LN(2)/2)*BR111+(1-EXP(-LN(2)/2))/(LN(2)/2)*BL112*BO112*VLOOKUP('Données projet'!$B$11,Paramètres!$A$1:$I$89,3,0)*0.475*44/12</f>
        <v>1.8492673999785458E-11</v>
      </c>
      <c r="BS112" s="22">
        <f t="shared" si="63"/>
        <v>2.0014982762028195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233</v>
      </c>
      <c r="L113" s="12">
        <f>VLOOKUP(A113,'Données projet'!$A$35:$I$55,9,0)</f>
        <v>3.1</v>
      </c>
      <c r="M113" s="12">
        <f t="array" ref="M113">INDEX(L:L,MIN(IF(ISNUMBER(L113:L309),ROW(L113:L309),"")))</f>
        <v>3.1</v>
      </c>
      <c r="N113" s="13">
        <f>IF('Données projet'!$A$36&gt;35,N112+M113-V112,IF(A113&lt;'Données projet'!$A$36,$K$205^A113,IF(A113='Données projet'!$A$36,'Données projet'!$B$36,N112+M113-V112)))</f>
        <v>232.99999999999991</v>
      </c>
      <c r="O113" s="13">
        <f>N113*VLOOKUP('Données projet'!$B$9,Paramètres!$A$1:$I$89,3,0)*VLOOKUP('Données projet'!$B$9,Paramètres!$A$1:$I$89,5,0)</f>
        <v>210.81839999999988</v>
      </c>
      <c r="P113" s="13">
        <f t="shared" si="87"/>
        <v>52.114386184062155</v>
      </c>
      <c r="Q113" s="20">
        <f t="shared" si="107"/>
        <v>457.94126927057465</v>
      </c>
      <c r="R113" s="59">
        <f t="shared" si="55"/>
        <v>751.27460260390797</v>
      </c>
      <c r="S113" s="59">
        <f ca="1">AVERAGE(OFFSET($R$3,0,0,'Données projet'!$E$9+1,1))-AVERAGE(OFFSET($H$3,0,0,'Données projet'!$E$9+1,1))</f>
        <v>138.8931001150624</v>
      </c>
      <c r="T113" s="59">
        <f t="shared" si="88"/>
        <v>48.964659354096625</v>
      </c>
      <c r="U113" s="15">
        <f>IF(ISNA(VLOOKUP(A113,'Données projet'!$A$35:$I$55,3,0)),0,VLOOKUP(A113,'Données projet'!$A$35:$I$55,3,0))</f>
        <v>8</v>
      </c>
      <c r="V113" s="15">
        <f>IF(ISNA(VLOOKUP(A113,'Données projet'!$A$35:$I$55,4,0)),0,VLOOKUP(A113,'Données projet'!$A$35:$I$55,4,0))</f>
        <v>27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448.59999999999997</v>
      </c>
      <c r="AG113" s="12">
        <f>VLOOKUP(A113,'Données projet'!$A$61:$I$81,9,0)</f>
        <v>8.6999999999999993</v>
      </c>
      <c r="AH113" s="12">
        <f t="array" ref="AH113">INDEX(AG:AG,MIN(IF(ISNUMBER(AG113:AG309),ROW(AG113:AG309),"")))</f>
        <v>8.6999999999999993</v>
      </c>
      <c r="AI113" s="13">
        <f>IF('Données projet'!$A$62&gt;35,AI112+AH113-AQ112,IF(A113&lt;'Données projet'!$A$62,$AF$205^A113,IF(A113='Données projet'!$A$62,'Données projet'!$B$62,AI112+AH113-AQ112)))</f>
        <v>448.59999999999991</v>
      </c>
      <c r="AJ113" s="13">
        <f>AI113*VLOOKUP('Données projet'!$B$10,Paramètres!$A$1:$I$89,3,0)*VLOOKUP('Données projet'!$B$10,Paramètres!$A$1:$I$89,5,0)</f>
        <v>209.94479999999996</v>
      </c>
      <c r="AK113" s="13">
        <f t="shared" si="89"/>
        <v>51.923522924934218</v>
      </c>
      <c r="AL113" s="20">
        <f t="shared" si="58"/>
        <v>456.08732909426044</v>
      </c>
      <c r="AM113" s="59">
        <f t="shared" si="59"/>
        <v>749.4206624275937</v>
      </c>
      <c r="AN113" s="59">
        <f ca="1">AVERAGE(OFFSET($AM$3,0,0,'Données projet'!$E$10+1,1))-AVERAGE(OFFSET($H$3,0,0,'Données projet'!$E$10+1,1))</f>
        <v>123.60520571614535</v>
      </c>
      <c r="AO113" s="59">
        <f t="shared" si="90"/>
        <v>119.00926870519527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448.6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0.17786973339411583</v>
      </c>
      <c r="AV113" s="21">
        <f>EXP(-LN(2)/25)*AV112+(1-EXP(-LN(2)/25))/(LN(2)/25)*Calculateur!AQ113*Calculateur!AS113*VLOOKUP('Données projet'!$B$10,Paramètres!$A$1:$I$89,3,0)*0.475*44/12</f>
        <v>0.51980119306972072</v>
      </c>
      <c r="AW113" s="21">
        <f>EXP(-LN(2)/2)*AW112+(1-EXP(-LN(2)/2))/(LN(2)/2)*AQ113*AT113*VLOOKUP('Données projet'!$B$10,Paramètres!$A$1:$I$89,3,0)*0.475*44/12</f>
        <v>5.5603872998131424E-12</v>
      </c>
      <c r="AX113" s="21">
        <f t="shared" si="60"/>
        <v>0.69767092646939699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-1.1368683772161603E-12</v>
      </c>
      <c r="BE113" s="13">
        <f>BD113*VLOOKUP('Données projet'!$B$11,Paramètres!$A$1:$I$89,3,0)*VLOOKUP('Données projet'!$B$11,Paramètres!$A$1:$I$89,5,0)</f>
        <v>-5.4683368944097316E-13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252.30925789500111</v>
      </c>
      <c r="BJ113" s="59">
        <f t="shared" si="92"/>
        <v>213.96033794804805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0.95003912718379457</v>
      </c>
      <c r="BQ113" s="21">
        <f>EXP(-LN(2)/25)*BQ112+(1-EXP(-LN(2)/25))/(LN(2)/25)*Calculateur!BL113*Calculateur!BN113*VLOOKUP('Données projet'!$B$11,Paramètres!$A$1:$I$89,3,0)*0.475*44/12</f>
        <v>1.0042242509293002</v>
      </c>
      <c r="BR113" s="21">
        <f>EXP(-LN(2)/2)*BR112+(1-EXP(-LN(2)/2))/(LN(2)/2)*BL113*BO113*VLOOKUP('Données projet'!$B$11,Paramètres!$A$1:$I$89,3,0)*0.475*44/12</f>
        <v>1.3076295187520453E-11</v>
      </c>
      <c r="BS113" s="22">
        <f t="shared" si="63"/>
        <v>1.9542633781261709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2.8</v>
      </c>
      <c r="N114" s="13">
        <f>IF('Données projet'!$A$36&gt;35,N113+M114-V113,IF(A114&lt;'Données projet'!$A$36,$K$205^A114,IF(A114='Données projet'!$A$36,'Données projet'!$B$36,N113+M114-V113)))</f>
        <v>208.79999999999993</v>
      </c>
      <c r="O114" s="13">
        <f>N114*VLOOKUP('Données projet'!$B$9,Paramètres!$A$1:$I$89,3,0)*VLOOKUP('Données projet'!$B$9,Paramètres!$A$1:$I$89,5,0)</f>
        <v>188.9222399999999</v>
      </c>
      <c r="P114" s="13">
        <f t="shared" si="87"/>
        <v>47.301596587245974</v>
      </c>
      <c r="Q114" s="20">
        <f t="shared" si="107"/>
        <v>411.42318205611986</v>
      </c>
      <c r="R114" s="59">
        <f t="shared" si="55"/>
        <v>704.75651538945317</v>
      </c>
      <c r="S114" s="59">
        <f ca="1">AVERAGE(OFFSET($R$3,0,0,'Données projet'!$E$9+1,1))-AVERAGE(OFFSET($H$3,0,0,'Données projet'!$E$9+1,1))</f>
        <v>138.8931001150624</v>
      </c>
      <c r="T114" s="59">
        <f t="shared" si="88"/>
        <v>48.964659354096625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-5.3205440053716299E-14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123.60520571614535</v>
      </c>
      <c r="AO114" s="59">
        <f t="shared" si="90"/>
        <v>119.00926870519527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0.17438181641208211</v>
      </c>
      <c r="AV114" s="21">
        <f>EXP(-LN(2)/25)*AV113+(1-EXP(-LN(2)/25))/(LN(2)/25)*Calculateur!AQ114*Calculateur!AS114*VLOOKUP('Données projet'!$B$10,Paramètres!$A$1:$I$89,3,0)*0.475*44/12</f>
        <v>0.50558720211007246</v>
      </c>
      <c r="AW114" s="21">
        <f>EXP(-LN(2)/2)*AW113+(1-EXP(-LN(2)/2))/(LN(2)/2)*AQ114*AT114*VLOOKUP('Données projet'!$B$10,Paramètres!$A$1:$I$89,3,0)*0.475*44/12</f>
        <v>3.9317875657214294E-12</v>
      </c>
      <c r="AX114" s="21">
        <f t="shared" si="60"/>
        <v>0.67996901852608627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-1.1368683772161603E-12</v>
      </c>
      <c r="BE114" s="13">
        <f>BD114*VLOOKUP('Données projet'!$B$11,Paramètres!$A$1:$I$89,3,0)*VLOOKUP('Données projet'!$B$11,Paramètres!$A$1:$I$89,5,0)</f>
        <v>-5.4683368944097316E-13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252.30925789500111</v>
      </c>
      <c r="BJ114" s="59">
        <f t="shared" si="92"/>
        <v>213.96033794804805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0.93140943936637033</v>
      </c>
      <c r="BQ114" s="21">
        <f>EXP(-LN(2)/25)*BQ113+(1-EXP(-LN(2)/25))/(LN(2)/25)*Calculateur!BL114*Calculateur!BN114*VLOOKUP('Données projet'!$B$11,Paramètres!$A$1:$I$89,3,0)*0.475*44/12</f>
        <v>0.97676368597778029</v>
      </c>
      <c r="BR114" s="21">
        <f>EXP(-LN(2)/2)*BR113+(1-EXP(-LN(2)/2))/(LN(2)/2)*BL114*BO114*VLOOKUP('Données projet'!$B$11,Paramètres!$A$1:$I$89,3,0)*0.475*44/12</f>
        <v>9.2463369998927289E-12</v>
      </c>
      <c r="BS114" s="22">
        <f t="shared" si="63"/>
        <v>1.9081731253533971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2.8</v>
      </c>
      <c r="N115" s="13">
        <f>IF('Données projet'!$A$36&gt;35,N114+M115-V114,IF(A115&lt;'Données projet'!$A$36,$K$205^A115,IF(A115='Données projet'!$A$36,'Données projet'!$B$36,N114+M115-V114)))</f>
        <v>211.59999999999994</v>
      </c>
      <c r="O115" s="13">
        <f>N115*VLOOKUP('Données projet'!$B$9,Paramètres!$A$1:$I$89,3,0)*VLOOKUP('Données projet'!$B$9,Paramètres!$A$1:$I$89,5,0)</f>
        <v>191.45567999999994</v>
      </c>
      <c r="P115" s="13">
        <f t="shared" si="87"/>
        <v>47.861639935303188</v>
      </c>
      <c r="Q115" s="20">
        <f t="shared" si="107"/>
        <v>416.81099888731961</v>
      </c>
      <c r="R115" s="59">
        <f t="shared" si="55"/>
        <v>710.14433222065293</v>
      </c>
      <c r="S115" s="59">
        <f ca="1">AVERAGE(OFFSET($R$3,0,0,'Données projet'!$E$9+1,1))-AVERAGE(OFFSET($H$3,0,0,'Données projet'!$E$9+1,1))</f>
        <v>138.8931001150624</v>
      </c>
      <c r="T115" s="59">
        <f t="shared" si="88"/>
        <v>48.964659354096625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-5.3205440053716299E-14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123.60520571614535</v>
      </c>
      <c r="AO115" s="59">
        <f t="shared" si="90"/>
        <v>119.00926870519527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0.17096229535464677</v>
      </c>
      <c r="AV115" s="21">
        <f>EXP(-LN(2)/25)*AV114+(1-EXP(-LN(2)/25))/(LN(2)/25)*Calculateur!AQ115*Calculateur!AS115*VLOOKUP('Données projet'!$B$10,Paramètres!$A$1:$I$89,3,0)*0.475*44/12</f>
        <v>0.4917618934806971</v>
      </c>
      <c r="AW115" s="21">
        <f>EXP(-LN(2)/2)*AW114+(1-EXP(-LN(2)/2))/(LN(2)/2)*AQ115*AT115*VLOOKUP('Données projet'!$B$10,Paramètres!$A$1:$I$89,3,0)*0.475*44/12</f>
        <v>2.7801936499065712E-12</v>
      </c>
      <c r="AX115" s="21">
        <f t="shared" si="60"/>
        <v>0.66272418883812412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-1.1368683772161603E-12</v>
      </c>
      <c r="BE115" s="13">
        <f>BD115*VLOOKUP('Données projet'!$B$11,Paramètres!$A$1:$I$89,3,0)*VLOOKUP('Données projet'!$B$11,Paramètres!$A$1:$I$89,5,0)</f>
        <v>-5.4683368944097316E-13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252.30925789500111</v>
      </c>
      <c r="BJ115" s="59">
        <f t="shared" si="92"/>
        <v>213.96033794804805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0.91314506836405829</v>
      </c>
      <c r="BQ115" s="21">
        <f>EXP(-LN(2)/25)*BQ114+(1-EXP(-LN(2)/25))/(LN(2)/25)*Calculateur!BL115*Calculateur!BN115*VLOOKUP('Données projet'!$B$11,Paramètres!$A$1:$I$89,3,0)*0.475*44/12</f>
        <v>0.95005403161894808</v>
      </c>
      <c r="BR115" s="21">
        <f>EXP(-LN(2)/2)*BR114+(1-EXP(-LN(2)/2))/(LN(2)/2)*BL115*BO115*VLOOKUP('Données projet'!$B$11,Paramètres!$A$1:$I$89,3,0)*0.475*44/12</f>
        <v>6.5381475937602263E-12</v>
      </c>
      <c r="BS115" s="22">
        <f t="shared" si="63"/>
        <v>1.8631990999895445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2.8</v>
      </c>
      <c r="N116" s="13">
        <f>IF('Données projet'!$A$36&gt;35,N115+M116-V115,IF(A116&lt;'Données projet'!$A$36,$K$205^A116,IF(A116='Données projet'!$A$36,'Données projet'!$B$36,N115+M116-V115)))</f>
        <v>214.39999999999995</v>
      </c>
      <c r="O116" s="13">
        <f>N116*VLOOKUP('Données projet'!$B$9,Paramètres!$A$1:$I$89,3,0)*VLOOKUP('Données projet'!$B$9,Paramètres!$A$1:$I$89,5,0)</f>
        <v>193.98911999999996</v>
      </c>
      <c r="P116" s="13">
        <f t="shared" si="87"/>
        <v>48.420821305775434</v>
      </c>
      <c r="Q116" s="20">
        <f t="shared" si="107"/>
        <v>422.19731444089211</v>
      </c>
      <c r="R116" s="59">
        <f t="shared" si="55"/>
        <v>715.53064777422537</v>
      </c>
      <c r="S116" s="59">
        <f ca="1">AVERAGE(OFFSET($R$3,0,0,'Données projet'!$E$9+1,1))-AVERAGE(OFFSET($H$3,0,0,'Données projet'!$E$9+1,1))</f>
        <v>138.8931001150624</v>
      </c>
      <c r="T116" s="59">
        <f t="shared" si="88"/>
        <v>48.964659354096625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-5.3205440053716299E-14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123.60520571614535</v>
      </c>
      <c r="AO116" s="59">
        <f t="shared" si="90"/>
        <v>119.00926870519527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0.16760982901944585</v>
      </c>
      <c r="AV116" s="21">
        <f>EXP(-LN(2)/25)*AV115+(1-EXP(-LN(2)/25))/(LN(2)/25)*Calculateur!AQ116*Calculateur!AS116*VLOOKUP('Données projet'!$B$10,Paramètres!$A$1:$I$89,3,0)*0.475*44/12</f>
        <v>0.47831463864283341</v>
      </c>
      <c r="AW116" s="21">
        <f>EXP(-LN(2)/2)*AW115+(1-EXP(-LN(2)/2))/(LN(2)/2)*AQ116*AT116*VLOOKUP('Données projet'!$B$10,Paramètres!$A$1:$I$89,3,0)*0.475*44/12</f>
        <v>1.9658937828607147E-12</v>
      </c>
      <c r="AX116" s="21">
        <f t="shared" si="60"/>
        <v>0.64592446766424516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-1.1368683772161603E-12</v>
      </c>
      <c r="BE116" s="13">
        <f>BD116*VLOOKUP('Données projet'!$B$11,Paramètres!$A$1:$I$89,3,0)*VLOOKUP('Données projet'!$B$11,Paramètres!$A$1:$I$89,5,0)</f>
        <v>-5.4683368944097316E-13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252.30925789500111</v>
      </c>
      <c r="BJ116" s="59">
        <f t="shared" si="92"/>
        <v>213.96033794804805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0.89523885053693519</v>
      </c>
      <c r="BQ116" s="21">
        <f>EXP(-LN(2)/25)*BQ115+(1-EXP(-LN(2)/25))/(LN(2)/25)*Calculateur!BL116*Calculateur!BN116*VLOOKUP('Données projet'!$B$11,Paramètres!$A$1:$I$89,3,0)*0.475*44/12</f>
        <v>0.92407475416315776</v>
      </c>
      <c r="BR116" s="21">
        <f>EXP(-LN(2)/2)*BR115+(1-EXP(-LN(2)/2))/(LN(2)/2)*BL116*BO116*VLOOKUP('Données projet'!$B$11,Paramètres!$A$1:$I$89,3,0)*0.475*44/12</f>
        <v>4.6231684999463644E-12</v>
      </c>
      <c r="BS116" s="22">
        <f t="shared" si="63"/>
        <v>1.819313604704716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2.8</v>
      </c>
      <c r="N117" s="13">
        <f>IF('Données projet'!$A$36&gt;35,N116+M117-V116,IF(A117&lt;'Données projet'!$A$36,$K$205^A117,IF(A117='Données projet'!$A$36,'Données projet'!$B$36,N116+M117-V116)))</f>
        <v>217.19999999999996</v>
      </c>
      <c r="O117" s="13">
        <f>N117*VLOOKUP('Données projet'!$B$9,Paramètres!$A$1:$I$89,3,0)*VLOOKUP('Données projet'!$B$9,Paramètres!$A$1:$I$89,5,0)</f>
        <v>196.52255999999997</v>
      </c>
      <c r="P117" s="13">
        <f t="shared" si="87"/>
        <v>48.979153257338155</v>
      </c>
      <c r="Q117" s="20">
        <f t="shared" si="107"/>
        <v>427.58215058986383</v>
      </c>
      <c r="R117" s="59">
        <f t="shared" si="55"/>
        <v>720.91548392319714</v>
      </c>
      <c r="S117" s="59">
        <f ca="1">AVERAGE(OFFSET($R$3,0,0,'Données projet'!$E$9+1,1))-AVERAGE(OFFSET($H$3,0,0,'Données projet'!$E$9+1,1))</f>
        <v>138.8931001150624</v>
      </c>
      <c r="T117" s="59">
        <f t="shared" si="88"/>
        <v>48.964659354096625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-5.3205440053716299E-14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123.60520571614535</v>
      </c>
      <c r="AO117" s="59">
        <f t="shared" si="90"/>
        <v>119.00926870519527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0.16432310250427565</v>
      </c>
      <c r="AV117" s="21">
        <f>EXP(-LN(2)/25)*AV116+(1-EXP(-LN(2)/25))/(LN(2)/25)*Calculateur!AQ117*Calculateur!AS117*VLOOKUP('Données projet'!$B$10,Paramètres!$A$1:$I$89,3,0)*0.475*44/12</f>
        <v>0.46523509969567151</v>
      </c>
      <c r="AW117" s="21">
        <f>EXP(-LN(2)/2)*AW116+(1-EXP(-LN(2)/2))/(LN(2)/2)*AQ117*AT117*VLOOKUP('Données projet'!$B$10,Paramètres!$A$1:$I$89,3,0)*0.475*44/12</f>
        <v>1.3900968249532856E-12</v>
      </c>
      <c r="AX117" s="21">
        <f t="shared" si="60"/>
        <v>0.62955820220133729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-1.1368683772161603E-12</v>
      </c>
      <c r="BE117" s="13">
        <f>BD117*VLOOKUP('Données projet'!$B$11,Paramètres!$A$1:$I$89,3,0)*VLOOKUP('Données projet'!$B$11,Paramètres!$A$1:$I$89,5,0)</f>
        <v>-5.4683368944097316E-13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252.30925789500111</v>
      </c>
      <c r="BJ117" s="59">
        <f t="shared" si="92"/>
        <v>213.96033794804805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0.87768376271968762</v>
      </c>
      <c r="BQ117" s="21">
        <f>EXP(-LN(2)/25)*BQ116+(1-EXP(-LN(2)/25))/(LN(2)/25)*Calculateur!BL117*Calculateur!BN117*VLOOKUP('Données projet'!$B$11,Paramètres!$A$1:$I$89,3,0)*0.475*44/12</f>
        <v>0.89880588141558693</v>
      </c>
      <c r="BR117" s="21">
        <f>EXP(-LN(2)/2)*BR116+(1-EXP(-LN(2)/2))/(LN(2)/2)*BL117*BO117*VLOOKUP('Données projet'!$B$11,Paramètres!$A$1:$I$89,3,0)*0.475*44/12</f>
        <v>3.2690737968801131E-12</v>
      </c>
      <c r="BS117" s="22">
        <f t="shared" si="63"/>
        <v>1.7764896441385438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2.8</v>
      </c>
      <c r="N118" s="13">
        <f>IF('Données projet'!$A$36&gt;35,N117+M118-V117,IF(A118&lt;'Données projet'!$A$36,$K$205^A118,IF(A118='Données projet'!$A$36,'Données projet'!$B$36,N117+M118-V117)))</f>
        <v>219.99999999999997</v>
      </c>
      <c r="O118" s="13">
        <f>N118*VLOOKUP('Données projet'!$B$9,Paramètres!$A$1:$I$89,3,0)*VLOOKUP('Données projet'!$B$9,Paramètres!$A$1:$I$89,5,0)</f>
        <v>199.05599999999998</v>
      </c>
      <c r="P118" s="13">
        <f t="shared" si="87"/>
        <v>49.536648006253934</v>
      </c>
      <c r="Q118" s="20">
        <f t="shared" si="107"/>
        <v>432.96552861089225</v>
      </c>
      <c r="R118" s="59">
        <f t="shared" si="55"/>
        <v>726.29886194422556</v>
      </c>
      <c r="S118" s="59">
        <f ca="1">AVERAGE(OFFSET($R$3,0,0,'Données projet'!$E$9+1,1))-AVERAGE(OFFSET($H$3,0,0,'Données projet'!$E$9+1,1))</f>
        <v>138.8931001150624</v>
      </c>
      <c r="T118" s="59">
        <f t="shared" si="88"/>
        <v>48.964659354096625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-5.3205440053716299E-14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123.60520571614535</v>
      </c>
      <c r="AO118" s="59">
        <f t="shared" si="90"/>
        <v>119.00926870519527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0.16110082669136272</v>
      </c>
      <c r="AV118" s="21">
        <f>EXP(-LN(2)/25)*AV117+(1-EXP(-LN(2)/25))/(LN(2)/25)*Calculateur!AQ118*Calculateur!AS118*VLOOKUP('Données projet'!$B$10,Paramètres!$A$1:$I$89,3,0)*0.475*44/12</f>
        <v>0.45251322142884276</v>
      </c>
      <c r="AW118" s="21">
        <f>EXP(-LN(2)/2)*AW117+(1-EXP(-LN(2)/2))/(LN(2)/2)*AQ118*AT118*VLOOKUP('Données projet'!$B$10,Paramètres!$A$1:$I$89,3,0)*0.475*44/12</f>
        <v>9.8294689143035735E-13</v>
      </c>
      <c r="AX118" s="21">
        <f t="shared" si="60"/>
        <v>0.61361404812118847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-1.1368683772161603E-12</v>
      </c>
      <c r="BE118" s="13">
        <f>BD118*VLOOKUP('Données projet'!$B$11,Paramètres!$A$1:$I$89,3,0)*VLOOKUP('Données projet'!$B$11,Paramètres!$A$1:$I$89,5,0)</f>
        <v>-5.4683368944097316E-13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252.30925789500111</v>
      </c>
      <c r="BJ118" s="59">
        <f t="shared" si="92"/>
        <v>213.96033794804805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0.86047291946698989</v>
      </c>
      <c r="BQ118" s="21">
        <f>EXP(-LN(2)/25)*BQ117+(1-EXP(-LN(2)/25))/(LN(2)/25)*Calculateur!BL118*Calculateur!BN118*VLOOKUP('Données projet'!$B$11,Paramètres!$A$1:$I$89,3,0)*0.475*44/12</f>
        <v>0.8742279873221307</v>
      </c>
      <c r="BR118" s="21">
        <f>EXP(-LN(2)/2)*BR117+(1-EXP(-LN(2)/2))/(LN(2)/2)*BL118*BO118*VLOOKUP('Données projet'!$B$11,Paramètres!$A$1:$I$89,3,0)*0.475*44/12</f>
        <v>2.3115842499731822E-12</v>
      </c>
      <c r="BS118" s="22">
        <f t="shared" si="63"/>
        <v>1.7347009067914321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2.8</v>
      </c>
      <c r="N119" s="13">
        <f>IF('Données projet'!$A$36&gt;35,N118+M119-V118,IF(A119&lt;'Données projet'!$A$36,$K$205^A119,IF(A119='Données projet'!$A$36,'Données projet'!$B$36,N118+M119-V118)))</f>
        <v>222.79999999999998</v>
      </c>
      <c r="O119" s="13">
        <f>N119*VLOOKUP('Données projet'!$B$9,Paramètres!$A$1:$I$89,3,0)*VLOOKUP('Données projet'!$B$9,Paramètres!$A$1:$I$89,5,0)</f>
        <v>201.58944</v>
      </c>
      <c r="P119" s="13">
        <f t="shared" si="87"/>
        <v>50.093317439945402</v>
      </c>
      <c r="Q119" s="20">
        <f t="shared" si="107"/>
        <v>438.34746920790485</v>
      </c>
      <c r="R119" s="59">
        <f t="shared" si="55"/>
        <v>731.68080254123811</v>
      </c>
      <c r="S119" s="59">
        <f ca="1">AVERAGE(OFFSET($R$3,0,0,'Données projet'!$E$9+1,1))-AVERAGE(OFFSET($H$3,0,0,'Données projet'!$E$9+1,1))</f>
        <v>138.8931001150624</v>
      </c>
      <c r="T119" s="59">
        <f t="shared" si="88"/>
        <v>48.964659354096625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-5.3205440053716299E-14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123.60520571614535</v>
      </c>
      <c r="AO119" s="59">
        <f t="shared" si="90"/>
        <v>119.00926870519527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0.15794173774174683</v>
      </c>
      <c r="AV119" s="21">
        <f>EXP(-LN(2)/25)*AV118+(1-EXP(-LN(2)/25))/(LN(2)/25)*Calculateur!AQ119*Calculateur!AS119*VLOOKUP('Données projet'!$B$10,Paramètres!$A$1:$I$89,3,0)*0.475*44/12</f>
        <v>0.44013922359223495</v>
      </c>
      <c r="AW119" s="21">
        <f>EXP(-LN(2)/2)*AW118+(1-EXP(-LN(2)/2))/(LN(2)/2)*AQ119*AT119*VLOOKUP('Données projet'!$B$10,Paramètres!$A$1:$I$89,3,0)*0.475*44/12</f>
        <v>6.9504841247664279E-13</v>
      </c>
      <c r="AX119" s="21">
        <f t="shared" si="60"/>
        <v>0.59808096133467681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-1.1368683772161603E-12</v>
      </c>
      <c r="BE119" s="13">
        <f>BD119*VLOOKUP('Données projet'!$B$11,Paramètres!$A$1:$I$89,3,0)*VLOOKUP('Données projet'!$B$11,Paramètres!$A$1:$I$89,5,0)</f>
        <v>-5.4683368944097316E-13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252.30925789500111</v>
      </c>
      <c r="BJ119" s="59">
        <f t="shared" si="92"/>
        <v>213.96033794804805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0.84359957035289979</v>
      </c>
      <c r="BQ119" s="21">
        <f>EXP(-LN(2)/25)*BQ118+(1-EXP(-LN(2)/25))/(LN(2)/25)*Calculateur!BL119*Calculateur!BN119*VLOOKUP('Données projet'!$B$11,Paramètres!$A$1:$I$89,3,0)*0.475*44/12</f>
        <v>0.85032217703515522</v>
      </c>
      <c r="BR119" s="21">
        <f>EXP(-LN(2)/2)*BR118+(1-EXP(-LN(2)/2))/(LN(2)/2)*BL119*BO119*VLOOKUP('Données projet'!$B$11,Paramètres!$A$1:$I$89,3,0)*0.475*44/12</f>
        <v>1.6345368984400566E-12</v>
      </c>
      <c r="BS119" s="22">
        <f t="shared" si="63"/>
        <v>1.6939217473896895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2.8</v>
      </c>
      <c r="N120" s="13">
        <f>IF('Données projet'!$A$36&gt;35,N119+M120-V119,IF(A120&lt;'Données projet'!$A$36,$K$205^A120,IF(A120='Données projet'!$A$36,'Données projet'!$B$36,N119+M120-V119)))</f>
        <v>225.6</v>
      </c>
      <c r="O120" s="13">
        <f>N120*VLOOKUP('Données projet'!$B$9,Paramètres!$A$1:$I$89,3,0)*VLOOKUP('Données projet'!$B$9,Paramètres!$A$1:$I$89,5,0)</f>
        <v>204.12287999999998</v>
      </c>
      <c r="P120" s="13">
        <f t="shared" si="87"/>
        <v>50.649173129865886</v>
      </c>
      <c r="Q120" s="20">
        <f t="shared" si="107"/>
        <v>443.72799253451632</v>
      </c>
      <c r="R120" s="59">
        <f t="shared" si="55"/>
        <v>737.06132586784963</v>
      </c>
      <c r="S120" s="59">
        <f ca="1">AVERAGE(OFFSET($R$3,0,0,'Données projet'!$E$9+1,1))-AVERAGE(OFFSET($H$3,0,0,'Données projet'!$E$9+1,1))</f>
        <v>138.8931001150624</v>
      </c>
      <c r="T120" s="59">
        <f t="shared" si="88"/>
        <v>48.964659354096625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-5.3205440053716299E-14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123.60520571614535</v>
      </c>
      <c r="AO120" s="59">
        <f t="shared" si="90"/>
        <v>119.00926870519527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0.15484459659957892</v>
      </c>
      <c r="AV120" s="21">
        <f>EXP(-LN(2)/25)*AV119+(1-EXP(-LN(2)/25))/(LN(2)/25)*Calculateur!AQ120*Calculateur!AS120*VLOOKUP('Données projet'!$B$10,Paramètres!$A$1:$I$89,3,0)*0.475*44/12</f>
        <v>0.42810359337718945</v>
      </c>
      <c r="AW120" s="21">
        <f>EXP(-LN(2)/2)*AW119+(1-EXP(-LN(2)/2))/(LN(2)/2)*AQ120*AT120*VLOOKUP('Données projet'!$B$10,Paramètres!$A$1:$I$89,3,0)*0.475*44/12</f>
        <v>4.9147344571517868E-13</v>
      </c>
      <c r="AX120" s="21">
        <f t="shared" si="60"/>
        <v>0.58294818997725983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-1.1368683772161603E-12</v>
      </c>
      <c r="BE120" s="13">
        <f>BD120*VLOOKUP('Données projet'!$B$11,Paramètres!$A$1:$I$89,3,0)*VLOOKUP('Données projet'!$B$11,Paramètres!$A$1:$I$89,5,0)</f>
        <v>-5.4683368944097316E-13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252.30925789500111</v>
      </c>
      <c r="BJ120" s="59">
        <f t="shared" si="92"/>
        <v>213.96033794804805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0.8270570973232102</v>
      </c>
      <c r="BQ120" s="21">
        <f>EXP(-LN(2)/25)*BQ119+(1-EXP(-LN(2)/25))/(LN(2)/25)*Calculateur!BL120*Calculateur!BN120*VLOOKUP('Données projet'!$B$11,Paramètres!$A$1:$I$89,3,0)*0.475*44/12</f>
        <v>0.82707007238762908</v>
      </c>
      <c r="BR120" s="21">
        <f>EXP(-LN(2)/2)*BR119+(1-EXP(-LN(2)/2))/(LN(2)/2)*BL120*BO120*VLOOKUP('Données projet'!$B$11,Paramètres!$A$1:$I$89,3,0)*0.475*44/12</f>
        <v>1.1557921249865911E-12</v>
      </c>
      <c r="BS120" s="22">
        <f t="shared" si="63"/>
        <v>1.654127169711995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2.8</v>
      </c>
      <c r="N121" s="13">
        <f>IF('Données projet'!$A$36&gt;35,N120+M121-V120,IF(A121&lt;'Données projet'!$A$36,$K$205^A121,IF(A121='Données projet'!$A$36,'Données projet'!$B$36,N120+M121-V120)))</f>
        <v>228.4</v>
      </c>
      <c r="O121" s="13">
        <f>N121*VLOOKUP('Données projet'!$B$9,Paramètres!$A$1:$I$89,3,0)*VLOOKUP('Données projet'!$B$9,Paramètres!$A$1:$I$89,5,0)</f>
        <v>206.65631999999997</v>
      </c>
      <c r="P121" s="13">
        <f t="shared" si="87"/>
        <v>51.20422634371338</v>
      </c>
      <c r="Q121" s="20">
        <f t="shared" si="107"/>
        <v>449.10711821530072</v>
      </c>
      <c r="R121" s="59">
        <f t="shared" si="55"/>
        <v>742.44045154863397</v>
      </c>
      <c r="S121" s="59">
        <f ca="1">AVERAGE(OFFSET($R$3,0,0,'Données projet'!$E$9+1,1))-AVERAGE(OFFSET($H$3,0,0,'Données projet'!$E$9+1,1))</f>
        <v>138.8931001150624</v>
      </c>
      <c r="T121" s="59">
        <f t="shared" si="88"/>
        <v>48.964659354096625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-5.3205440053716299E-14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123.60520571614535</v>
      </c>
      <c r="AO121" s="59">
        <f t="shared" si="90"/>
        <v>119.00926870519527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0.15180818850613934</v>
      </c>
      <c r="AV121" s="21">
        <f>EXP(-LN(2)/25)*AV120+(1-EXP(-LN(2)/25))/(LN(2)/25)*Calculateur!AQ121*Calculateur!AS121*VLOOKUP('Données projet'!$B$10,Paramètres!$A$1:$I$89,3,0)*0.475*44/12</f>
        <v>0.41639707810330068</v>
      </c>
      <c r="AW121" s="21">
        <f>EXP(-LN(2)/2)*AW120+(1-EXP(-LN(2)/2))/(LN(2)/2)*AQ121*AT121*VLOOKUP('Données projet'!$B$10,Paramètres!$A$1:$I$89,3,0)*0.475*44/12</f>
        <v>3.475242062383214E-13</v>
      </c>
      <c r="AX121" s="21">
        <f t="shared" si="60"/>
        <v>0.56820526660978754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-1.1368683772161603E-12</v>
      </c>
      <c r="BE121" s="13">
        <f>BD121*VLOOKUP('Données projet'!$B$11,Paramètres!$A$1:$I$89,3,0)*VLOOKUP('Données projet'!$B$11,Paramètres!$A$1:$I$89,5,0)</f>
        <v>-5.4683368944097316E-13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252.30925789500111</v>
      </c>
      <c r="BJ121" s="59">
        <f t="shared" si="92"/>
        <v>213.96033794804805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0.81083901209972065</v>
      </c>
      <c r="BQ121" s="21">
        <f>EXP(-LN(2)/25)*BQ120+(1-EXP(-LN(2)/25))/(LN(2)/25)*Calculateur!BL121*Calculateur!BN121*VLOOKUP('Données projet'!$B$11,Paramètres!$A$1:$I$89,3,0)*0.475*44/12</f>
        <v>0.80445379776446457</v>
      </c>
      <c r="BR121" s="21">
        <f>EXP(-LN(2)/2)*BR120+(1-EXP(-LN(2)/2))/(LN(2)/2)*BL121*BO121*VLOOKUP('Données projet'!$B$11,Paramètres!$A$1:$I$89,3,0)*0.475*44/12</f>
        <v>8.1726844922002828E-13</v>
      </c>
      <c r="BS121" s="22">
        <f t="shared" si="63"/>
        <v>1.6152928098650026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2.8</v>
      </c>
      <c r="N122" s="13">
        <f>IF('Données projet'!$A$36&gt;35,N121+M122-V121,IF(A122&lt;'Données projet'!$A$36,$K$205^A122,IF(A122='Données projet'!$A$36,'Données projet'!$B$36,N121+M122-V121)))</f>
        <v>231.20000000000002</v>
      </c>
      <c r="O122" s="13">
        <f>N122*VLOOKUP('Données projet'!$B$9,Paramètres!$A$1:$I$89,3,0)*VLOOKUP('Données projet'!$B$9,Paramètres!$A$1:$I$89,5,0)</f>
        <v>209.18976000000001</v>
      </c>
      <c r="P122" s="13">
        <f t="shared" si="87"/>
        <v>51.758488057028018</v>
      </c>
      <c r="Q122" s="20">
        <f t="shared" si="107"/>
        <v>454.4848653659904</v>
      </c>
      <c r="R122" s="59">
        <f t="shared" si="55"/>
        <v>747.81819869932372</v>
      </c>
      <c r="S122" s="59">
        <f ca="1">AVERAGE(OFFSET($R$3,0,0,'Données projet'!$E$9+1,1))-AVERAGE(OFFSET($H$3,0,0,'Données projet'!$E$9+1,1))</f>
        <v>138.8931001150624</v>
      </c>
      <c r="T122" s="59">
        <f t="shared" si="88"/>
        <v>48.964659354096625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-5.3205440053716299E-14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123.60520571614535</v>
      </c>
      <c r="AO122" s="59">
        <f t="shared" si="90"/>
        <v>119.00926870519527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0.14883132252338604</v>
      </c>
      <c r="AV122" s="21">
        <f>EXP(-LN(2)/25)*AV121+(1-EXP(-LN(2)/25))/(LN(2)/25)*Calculateur!AQ122*Calculateur!AS122*VLOOKUP('Données projet'!$B$10,Paramètres!$A$1:$I$89,3,0)*0.475*44/12</f>
        <v>0.40501067810519525</v>
      </c>
      <c r="AW122" s="21">
        <f>EXP(-LN(2)/2)*AW121+(1-EXP(-LN(2)/2))/(LN(2)/2)*AQ122*AT122*VLOOKUP('Données projet'!$B$10,Paramètres!$A$1:$I$89,3,0)*0.475*44/12</f>
        <v>2.4573672285758934E-13</v>
      </c>
      <c r="AX122" s="21">
        <f t="shared" si="60"/>
        <v>0.55384200062882705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-1.1368683772161603E-12</v>
      </c>
      <c r="BE122" s="13">
        <f>BD122*VLOOKUP('Données projet'!$B$11,Paramètres!$A$1:$I$89,3,0)*VLOOKUP('Données projet'!$B$11,Paramètres!$A$1:$I$89,5,0)</f>
        <v>-5.4683368944097316E-13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252.30925789500111</v>
      </c>
      <c r="BJ122" s="59">
        <f t="shared" si="92"/>
        <v>213.96033794804805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0.79493895363540845</v>
      </c>
      <c r="BQ122" s="21">
        <f>EXP(-LN(2)/25)*BQ121+(1-EXP(-LN(2)/25))/(LN(2)/25)*Calculateur!BL122*Calculateur!BN122*VLOOKUP('Données projet'!$B$11,Paramètres!$A$1:$I$89,3,0)*0.475*44/12</f>
        <v>0.78245596636020864</v>
      </c>
      <c r="BR122" s="21">
        <f>EXP(-LN(2)/2)*BR121+(1-EXP(-LN(2)/2))/(LN(2)/2)*BL122*BO122*VLOOKUP('Données projet'!$B$11,Paramètres!$A$1:$I$89,3,0)*0.475*44/12</f>
        <v>5.7789606249329556E-13</v>
      </c>
      <c r="BS122" s="22">
        <f t="shared" si="63"/>
        <v>1.577394919996195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234</v>
      </c>
      <c r="L123" s="12">
        <f>VLOOKUP(A123,'Données projet'!$A$35:$I$55,9,0)</f>
        <v>2.8</v>
      </c>
      <c r="M123" s="12">
        <f t="array" ref="M123">INDEX(L:L,MIN(IF(ISNUMBER(L123:L319),ROW(L123:L319),"")))</f>
        <v>2.8</v>
      </c>
      <c r="N123" s="13">
        <f>IF('Données projet'!$A$36&gt;35,N122+M123-V122,IF(A123&lt;'Données projet'!$A$36,$K$205^A123,IF(A123='Données projet'!$A$36,'Données projet'!$B$36,N122+M123-V122)))</f>
        <v>234.00000000000003</v>
      </c>
      <c r="O123" s="13">
        <f>N123*VLOOKUP('Données projet'!$B$9,Paramètres!$A$1:$I$89,3,0)*VLOOKUP('Données projet'!$B$9,Paramètres!$A$1:$I$89,5,0)</f>
        <v>211.72319999999999</v>
      </c>
      <c r="P123" s="13">
        <f t="shared" si="87"/>
        <v>52.311968964212078</v>
      </c>
      <c r="Q123" s="20">
        <f t="shared" si="107"/>
        <v>459.86125261266926</v>
      </c>
      <c r="R123" s="59">
        <f t="shared" si="55"/>
        <v>753.19458594600258</v>
      </c>
      <c r="S123" s="59">
        <f ca="1">AVERAGE(OFFSET($R$3,0,0,'Données projet'!$E$9+1,1))-AVERAGE(OFFSET($H$3,0,0,'Données projet'!$E$9+1,1))</f>
        <v>138.8931001150624</v>
      </c>
      <c r="T123" s="59">
        <f t="shared" si="88"/>
        <v>48.964659354096625</v>
      </c>
      <c r="U123" s="15">
        <f>IF(ISNA(VLOOKUP(A123,'Données projet'!$A$35:$I$55,3,0)),0,VLOOKUP(A123,'Données projet'!$A$35:$I$55,3,0))</f>
        <v>9</v>
      </c>
      <c r="V123" s="15">
        <f>IF(ISNA(VLOOKUP(A123,'Données projet'!$A$35:$I$55,4,0)),0,VLOOKUP(A123,'Données projet'!$A$35:$I$55,4,0))</f>
        <v>234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-5.3205440053716299E-14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123.60520571614535</v>
      </c>
      <c r="AO123" s="59">
        <f t="shared" si="90"/>
        <v>119.00926870519527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0.14591283106684558</v>
      </c>
      <c r="AV123" s="21">
        <f>EXP(-LN(2)/25)*AV122+(1-EXP(-LN(2)/25))/(LN(2)/25)*Calculateur!AQ123*Calculateur!AS123*VLOOKUP('Données projet'!$B$10,Paramètres!$A$1:$I$89,3,0)*0.475*44/12</f>
        <v>0.39393563981382279</v>
      </c>
      <c r="AW123" s="21">
        <f>EXP(-LN(2)/2)*AW122+(1-EXP(-LN(2)/2))/(LN(2)/2)*AQ123*AT123*VLOOKUP('Données projet'!$B$10,Paramètres!$A$1:$I$89,3,0)*0.475*44/12</f>
        <v>1.737621031191607E-13</v>
      </c>
      <c r="AX123" s="21">
        <f t="shared" si="60"/>
        <v>0.53984847088084209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-1.1368683772161603E-12</v>
      </c>
      <c r="BE123" s="13">
        <f>BD123*VLOOKUP('Données projet'!$B$11,Paramètres!$A$1:$I$89,3,0)*VLOOKUP('Données projet'!$B$11,Paramètres!$A$1:$I$89,5,0)</f>
        <v>-5.4683368944097316E-13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252.30925789500111</v>
      </c>
      <c r="BJ123" s="59">
        <f t="shared" si="92"/>
        <v>213.96033794804805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0.77935068561950338</v>
      </c>
      <c r="BQ123" s="21">
        <f>EXP(-LN(2)/25)*BQ122+(1-EXP(-LN(2)/25))/(LN(2)/25)*Calculateur!BL123*Calculateur!BN123*VLOOKUP('Données projet'!$B$11,Paramètres!$A$1:$I$89,3,0)*0.475*44/12</f>
        <v>0.7610596668125178</v>
      </c>
      <c r="BR123" s="21">
        <f>EXP(-LN(2)/2)*BR122+(1-EXP(-LN(2)/2))/(LN(2)/2)*BL123*BO123*VLOOKUP('Données projet'!$B$11,Paramètres!$A$1:$I$89,3,0)*0.475*44/12</f>
        <v>4.0863422461001414E-13</v>
      </c>
      <c r="BS123" s="22">
        <f t="shared" si="63"/>
        <v>1.5404103524324297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2.8421709430404007E-14</v>
      </c>
      <c r="O124" s="13">
        <f>N124*VLOOKUP('Données projet'!$B$9,Paramètres!$A$1:$I$89,3,0)*VLOOKUP('Données projet'!$B$9,Paramètres!$A$1:$I$89,5,0)</f>
        <v>2.5715962692629544E-14</v>
      </c>
      <c r="P124" s="13">
        <f t="shared" si="87"/>
        <v>4.5248818890525812E-13</v>
      </c>
      <c r="Q124" s="20">
        <f t="shared" si="107"/>
        <v>8.3287223069965432E-13</v>
      </c>
      <c r="R124" s="59">
        <f t="shared" si="55"/>
        <v>293.33333333333417</v>
      </c>
      <c r="S124" s="59">
        <f ca="1">AVERAGE(OFFSET($R$3,0,0,'Données projet'!$E$9+1,1))-AVERAGE(OFFSET($H$3,0,0,'Données projet'!$E$9+1,1))</f>
        <v>138.8931001150624</v>
      </c>
      <c r="T124" s="59">
        <f t="shared" si="88"/>
        <v>48.964659354096625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-5.3205440053716299E-14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123.60520571614535</v>
      </c>
      <c r="AO124" s="59">
        <f t="shared" si="90"/>
        <v>119.00926870519527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0.14305156944766387</v>
      </c>
      <c r="AV124" s="21">
        <f>EXP(-LN(2)/25)*AV123+(1-EXP(-LN(2)/25))/(LN(2)/25)*Calculateur!AQ124*Calculateur!AS124*VLOOKUP('Données projet'!$B$10,Paramètres!$A$1:$I$89,3,0)*0.475*44/12</f>
        <v>0.38316344902693888</v>
      </c>
      <c r="AW124" s="21">
        <f>EXP(-LN(2)/2)*AW123+(1-EXP(-LN(2)/2))/(LN(2)/2)*AQ124*AT124*VLOOKUP('Données projet'!$B$10,Paramètres!$A$1:$I$89,3,0)*0.475*44/12</f>
        <v>1.2286836142879467E-13</v>
      </c>
      <c r="AX124" s="21">
        <f t="shared" si="60"/>
        <v>0.52621501847472563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-1.1368683772161603E-12</v>
      </c>
      <c r="BE124" s="13">
        <f>BD124*VLOOKUP('Données projet'!$B$11,Paramètres!$A$1:$I$89,3,0)*VLOOKUP('Données projet'!$B$11,Paramètres!$A$1:$I$89,5,0)</f>
        <v>-5.4683368944097316E-13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252.30925789500111</v>
      </c>
      <c r="BJ124" s="59">
        <f t="shared" si="92"/>
        <v>213.96033794804805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0.76406809403148557</v>
      </c>
      <c r="BQ124" s="21">
        <f>EXP(-LN(2)/25)*BQ123+(1-EXP(-LN(2)/25))/(LN(2)/25)*Calculateur!BL124*Calculateur!BN124*VLOOKUP('Données projet'!$B$11,Paramètres!$A$1:$I$89,3,0)*0.475*44/12</f>
        <v>0.74024845020114105</v>
      </c>
      <c r="BR124" s="21">
        <f>EXP(-LN(2)/2)*BR123+(1-EXP(-LN(2)/2))/(LN(2)/2)*BL124*BO124*VLOOKUP('Données projet'!$B$11,Paramètres!$A$1:$I$89,3,0)*0.475*44/12</f>
        <v>2.8894803124664778E-13</v>
      </c>
      <c r="BS124" s="22">
        <f t="shared" si="63"/>
        <v>1.5043165442329156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2.8421709430404007E-14</v>
      </c>
      <c r="O125" s="13">
        <f>N125*VLOOKUP('Données projet'!$B$9,Paramètres!$A$1:$I$89,3,0)*VLOOKUP('Données projet'!$B$9,Paramètres!$A$1:$I$89,5,0)</f>
        <v>2.5715962692629544E-14</v>
      </c>
      <c r="P125" s="13">
        <f t="shared" si="87"/>
        <v>4.5248818890525812E-13</v>
      </c>
      <c r="Q125" s="20">
        <f t="shared" si="107"/>
        <v>8.3287223069965432E-13</v>
      </c>
      <c r="R125" s="59">
        <f t="shared" si="55"/>
        <v>293.33333333333417</v>
      </c>
      <c r="S125" s="59">
        <f ca="1">AVERAGE(OFFSET($R$3,0,0,'Données projet'!$E$9+1,1))-AVERAGE(OFFSET($H$3,0,0,'Données projet'!$E$9+1,1))</f>
        <v>138.8931001150624</v>
      </c>
      <c r="T125" s="59">
        <f t="shared" si="88"/>
        <v>48.964659354096625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-5.3205440053716299E-14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123.60520571614535</v>
      </c>
      <c r="AO125" s="59">
        <f t="shared" si="90"/>
        <v>119.00926870519527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0.14024641542363703</v>
      </c>
      <c r="AV125" s="21">
        <f>EXP(-LN(2)/25)*AV124+(1-EXP(-LN(2)/25))/(LN(2)/25)*Calculateur!AQ125*Calculateur!AS125*VLOOKUP('Données projet'!$B$10,Paramètres!$A$1:$I$89,3,0)*0.475*44/12</f>
        <v>0.3726858243636072</v>
      </c>
      <c r="AW125" s="21">
        <f>EXP(-LN(2)/2)*AW124+(1-EXP(-LN(2)/2))/(LN(2)/2)*AQ125*AT125*VLOOKUP('Données projet'!$B$10,Paramètres!$A$1:$I$89,3,0)*0.475*44/12</f>
        <v>8.6881051559580349E-14</v>
      </c>
      <c r="AX125" s="21">
        <f t="shared" si="60"/>
        <v>0.51293223978733116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-1.1368683772161603E-12</v>
      </c>
      <c r="BE125" s="13">
        <f>BD125*VLOOKUP('Données projet'!$B$11,Paramètres!$A$1:$I$89,3,0)*VLOOKUP('Données projet'!$B$11,Paramètres!$A$1:$I$89,5,0)</f>
        <v>-5.4683368944097316E-13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252.30925789500111</v>
      </c>
      <c r="BJ125" s="59">
        <f t="shared" si="92"/>
        <v>213.96033794804805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0.7490851847430483</v>
      </c>
      <c r="BQ125" s="21">
        <f>EXP(-LN(2)/25)*BQ124+(1-EXP(-LN(2)/25))/(LN(2)/25)*Calculateur!BL125*Calculateur!BN125*VLOOKUP('Données projet'!$B$11,Paramètres!$A$1:$I$89,3,0)*0.475*44/12</f>
        <v>0.72000631740241672</v>
      </c>
      <c r="BR125" s="21">
        <f>EXP(-LN(2)/2)*BR124+(1-EXP(-LN(2)/2))/(LN(2)/2)*BL125*BO125*VLOOKUP('Données projet'!$B$11,Paramètres!$A$1:$I$89,3,0)*0.475*44/12</f>
        <v>2.0431711230500707E-13</v>
      </c>
      <c r="BS125" s="22">
        <f t="shared" si="63"/>
        <v>1.4690915021456692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2.8421709430404007E-14</v>
      </c>
      <c r="O126" s="13">
        <f>N126*VLOOKUP('Données projet'!$B$9,Paramètres!$A$1:$I$89,3,0)*VLOOKUP('Données projet'!$B$9,Paramètres!$A$1:$I$89,5,0)</f>
        <v>2.5715962692629544E-14</v>
      </c>
      <c r="P126" s="13">
        <f t="shared" si="87"/>
        <v>4.5248818890525812E-13</v>
      </c>
      <c r="Q126" s="20">
        <f t="shared" si="107"/>
        <v>8.3287223069965432E-13</v>
      </c>
      <c r="R126" s="59">
        <f t="shared" si="55"/>
        <v>293.33333333333417</v>
      </c>
      <c r="S126" s="59">
        <f ca="1">AVERAGE(OFFSET($R$3,0,0,'Données projet'!$E$9+1,1))-AVERAGE(OFFSET($H$3,0,0,'Données projet'!$E$9+1,1))</f>
        <v>138.8931001150624</v>
      </c>
      <c r="T126" s="59">
        <f t="shared" si="88"/>
        <v>48.964659354096625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-5.3205440053716299E-14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123.60520571614535</v>
      </c>
      <c r="AO126" s="59">
        <f t="shared" si="90"/>
        <v>119.00926870519527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0.13749626875904636</v>
      </c>
      <c r="AV126" s="21">
        <f>EXP(-LN(2)/25)*AV125+(1-EXP(-LN(2)/25))/(LN(2)/25)*Calculateur!AQ126*Calculateur!AS126*VLOOKUP('Données projet'!$B$10,Paramètres!$A$1:$I$89,3,0)*0.475*44/12</f>
        <v>0.36249471089768864</v>
      </c>
      <c r="AW126" s="21">
        <f>EXP(-LN(2)/2)*AW125+(1-EXP(-LN(2)/2))/(LN(2)/2)*AQ126*AT126*VLOOKUP('Données projet'!$B$10,Paramètres!$A$1:$I$89,3,0)*0.475*44/12</f>
        <v>6.1434180714397334E-14</v>
      </c>
      <c r="AX126" s="21">
        <f t="shared" si="60"/>
        <v>0.49999097965679645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-1.1368683772161603E-12</v>
      </c>
      <c r="BE126" s="13">
        <f>BD126*VLOOKUP('Données projet'!$B$11,Paramètres!$A$1:$I$89,3,0)*VLOOKUP('Données projet'!$B$11,Paramètres!$A$1:$I$89,5,0)</f>
        <v>-5.4683368944097316E-13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252.30925789500111</v>
      </c>
      <c r="BJ126" s="59">
        <f t="shared" si="92"/>
        <v>213.96033794804805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0.73439608116708499</v>
      </c>
      <c r="BQ126" s="21">
        <f>EXP(-LN(2)/25)*BQ125+(1-EXP(-LN(2)/25))/(LN(2)/25)*Calculateur!BL126*Calculateur!BN126*VLOOKUP('Données projet'!$B$11,Paramètres!$A$1:$I$89,3,0)*0.475*44/12</f>
        <v>0.70031770678956096</v>
      </c>
      <c r="BR126" s="21">
        <f>EXP(-LN(2)/2)*BR125+(1-EXP(-LN(2)/2))/(LN(2)/2)*BL126*BO126*VLOOKUP('Données projet'!$B$11,Paramètres!$A$1:$I$89,3,0)*0.475*44/12</f>
        <v>1.4447401562332389E-13</v>
      </c>
      <c r="BS126" s="22">
        <f t="shared" si="63"/>
        <v>1.4347137879567906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2.8421709430404007E-14</v>
      </c>
      <c r="O127" s="13">
        <f>N127*VLOOKUP('Données projet'!$B$9,Paramètres!$A$1:$I$89,3,0)*VLOOKUP('Données projet'!$B$9,Paramètres!$A$1:$I$89,5,0)</f>
        <v>2.5715962692629544E-14</v>
      </c>
      <c r="P127" s="13">
        <f t="shared" si="87"/>
        <v>4.5248818890525812E-13</v>
      </c>
      <c r="Q127" s="20">
        <f t="shared" si="107"/>
        <v>8.3287223069965432E-13</v>
      </c>
      <c r="R127" s="59">
        <f t="shared" si="55"/>
        <v>293.33333333333417</v>
      </c>
      <c r="S127" s="59">
        <f ca="1">AVERAGE(OFFSET($R$3,0,0,'Données projet'!$E$9+1,1))-AVERAGE(OFFSET($H$3,0,0,'Données projet'!$E$9+1,1))</f>
        <v>138.8931001150624</v>
      </c>
      <c r="T127" s="59">
        <f t="shared" si="88"/>
        <v>48.964659354096625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-5.3205440053716299E-14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123.60520571614535</v>
      </c>
      <c r="AO127" s="59">
        <f t="shared" si="90"/>
        <v>119.00926870519527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0.13480005079312449</v>
      </c>
      <c r="AV127" s="21">
        <f>EXP(-LN(2)/25)*AV126+(1-EXP(-LN(2)/25))/(LN(2)/25)*Calculateur!AQ127*Calculateur!AS127*VLOOKUP('Données projet'!$B$10,Paramètres!$A$1:$I$89,3,0)*0.475*44/12</f>
        <v>0.35258227396542302</v>
      </c>
      <c r="AW127" s="21">
        <f>EXP(-LN(2)/2)*AW126+(1-EXP(-LN(2)/2))/(LN(2)/2)*AQ127*AT127*VLOOKUP('Données projet'!$B$10,Paramètres!$A$1:$I$89,3,0)*0.475*44/12</f>
        <v>4.3440525779790175E-14</v>
      </c>
      <c r="AX127" s="21">
        <f t="shared" si="60"/>
        <v>0.48738232475859095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-1.1368683772161603E-12</v>
      </c>
      <c r="BE127" s="13">
        <f>BD127*VLOOKUP('Données projet'!$B$11,Paramètres!$A$1:$I$89,3,0)*VLOOKUP('Données projet'!$B$11,Paramètres!$A$1:$I$89,5,0)</f>
        <v>-5.4683368944097316E-13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252.30925789500111</v>
      </c>
      <c r="BJ127" s="59">
        <f t="shared" si="92"/>
        <v>213.96033794804805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0.71999502195277787</v>
      </c>
      <c r="BQ127" s="21">
        <f>EXP(-LN(2)/25)*BQ126+(1-EXP(-LN(2)/25))/(LN(2)/25)*Calculateur!BL127*Calculateur!BN127*VLOOKUP('Données projet'!$B$11,Paramètres!$A$1:$I$89,3,0)*0.475*44/12</f>
        <v>0.6811674822692928</v>
      </c>
      <c r="BR127" s="21">
        <f>EXP(-LN(2)/2)*BR126+(1-EXP(-LN(2)/2))/(LN(2)/2)*BL127*BO127*VLOOKUP('Données projet'!$B$11,Paramètres!$A$1:$I$89,3,0)*0.475*44/12</f>
        <v>1.0215855615250354E-13</v>
      </c>
      <c r="BS127" s="22">
        <f t="shared" si="63"/>
        <v>1.4011625042221727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2.8421709430404007E-14</v>
      </c>
      <c r="O128" s="13">
        <f>N128*VLOOKUP('Données projet'!$B$9,Paramètres!$A$1:$I$89,3,0)*VLOOKUP('Données projet'!$B$9,Paramètres!$A$1:$I$89,5,0)</f>
        <v>2.5715962692629544E-14</v>
      </c>
      <c r="P128" s="13">
        <f t="shared" si="87"/>
        <v>4.5248818890525812E-13</v>
      </c>
      <c r="Q128" s="20">
        <f t="shared" si="107"/>
        <v>8.3287223069965432E-13</v>
      </c>
      <c r="R128" s="59">
        <f t="shared" si="55"/>
        <v>293.33333333333417</v>
      </c>
      <c r="S128" s="59">
        <f ca="1">AVERAGE(OFFSET($R$3,0,0,'Données projet'!$E$9+1,1))-AVERAGE(OFFSET($H$3,0,0,'Données projet'!$E$9+1,1))</f>
        <v>138.8931001150624</v>
      </c>
      <c r="T128" s="59">
        <f t="shared" si="88"/>
        <v>48.964659354096625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-5.3205440053716299E-14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123.60520571614535</v>
      </c>
      <c r="AO128" s="59">
        <f t="shared" si="90"/>
        <v>119.00926870519527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0.13215670401698376</v>
      </c>
      <c r="AV128" s="21">
        <f>EXP(-LN(2)/25)*AV127+(1-EXP(-LN(2)/25))/(LN(2)/25)*Calculateur!AQ128*Calculateur!AS128*VLOOKUP('Données projet'!$B$10,Paramètres!$A$1:$I$89,3,0)*0.475*44/12</f>
        <v>0.34294089314234255</v>
      </c>
      <c r="AW128" s="21">
        <f>EXP(-LN(2)/2)*AW127+(1-EXP(-LN(2)/2))/(LN(2)/2)*AQ128*AT128*VLOOKUP('Données projet'!$B$10,Paramètres!$A$1:$I$89,3,0)*0.475*44/12</f>
        <v>3.0717090357198667E-14</v>
      </c>
      <c r="AX128" s="21">
        <f t="shared" si="60"/>
        <v>0.47509759715935701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-1.1368683772161603E-12</v>
      </c>
      <c r="BE128" s="13">
        <f>BD128*VLOOKUP('Données projet'!$B$11,Paramètres!$A$1:$I$89,3,0)*VLOOKUP('Données projet'!$B$11,Paramètres!$A$1:$I$89,5,0)</f>
        <v>-5.4683368944097316E-13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252.30925789500111</v>
      </c>
      <c r="BJ128" s="59">
        <f t="shared" si="92"/>
        <v>213.96033794804805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0.7058763587258845</v>
      </c>
      <c r="BQ128" s="21">
        <f>EXP(-LN(2)/25)*BQ127+(1-EXP(-LN(2)/25))/(LN(2)/25)*Calculateur!BL128*Calculateur!BN128*VLOOKUP('Données projet'!$B$11,Paramètres!$A$1:$I$89,3,0)*0.475*44/12</f>
        <v>0.66254092164559797</v>
      </c>
      <c r="BR128" s="21">
        <f>EXP(-LN(2)/2)*BR127+(1-EXP(-LN(2)/2))/(LN(2)/2)*BL128*BO128*VLOOKUP('Données projet'!$B$11,Paramètres!$A$1:$I$89,3,0)*0.475*44/12</f>
        <v>7.2237007811661944E-14</v>
      </c>
      <c r="BS128" s="22">
        <f t="shared" si="63"/>
        <v>1.3684172803715546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2.8421709430404007E-14</v>
      </c>
      <c r="O129" s="13">
        <f>N129*VLOOKUP('Données projet'!$B$9,Paramètres!$A$1:$I$89,3,0)*VLOOKUP('Données projet'!$B$9,Paramètres!$A$1:$I$89,5,0)</f>
        <v>2.5715962692629544E-14</v>
      </c>
      <c r="P129" s="13">
        <f t="shared" si="87"/>
        <v>4.5248818890525812E-13</v>
      </c>
      <c r="Q129" s="20">
        <f t="shared" si="107"/>
        <v>8.3287223069965432E-13</v>
      </c>
      <c r="R129" s="59">
        <f t="shared" si="55"/>
        <v>293.33333333333417</v>
      </c>
      <c r="S129" s="59">
        <f ca="1">AVERAGE(OFFSET($R$3,0,0,'Données projet'!$E$9+1,1))-AVERAGE(OFFSET($H$3,0,0,'Données projet'!$E$9+1,1))</f>
        <v>138.8931001150624</v>
      </c>
      <c r="T129" s="59">
        <f t="shared" si="88"/>
        <v>48.964659354096625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-5.3205440053716299E-14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123.60520571614535</v>
      </c>
      <c r="AO129" s="59">
        <f t="shared" si="90"/>
        <v>119.00926870519527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0.12956519165884081</v>
      </c>
      <c r="AV129" s="21">
        <f>EXP(-LN(2)/25)*AV128+(1-EXP(-LN(2)/25))/(LN(2)/25)*Calculateur!AQ129*Calculateur!AS129*VLOOKUP('Données projet'!$B$10,Paramètres!$A$1:$I$89,3,0)*0.475*44/12</f>
        <v>0.33356315638488743</v>
      </c>
      <c r="AW129" s="21">
        <f>EXP(-LN(2)/2)*AW128+(1-EXP(-LN(2)/2))/(LN(2)/2)*AQ129*AT129*VLOOKUP('Données projet'!$B$10,Paramètres!$A$1:$I$89,3,0)*0.475*44/12</f>
        <v>2.1720262889895087E-14</v>
      </c>
      <c r="AX129" s="21">
        <f t="shared" si="60"/>
        <v>0.46312834804374997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-1.1368683772161603E-12</v>
      </c>
      <c r="BE129" s="13">
        <f>BD129*VLOOKUP('Données projet'!$B$11,Paramètres!$A$1:$I$89,3,0)*VLOOKUP('Données projet'!$B$11,Paramètres!$A$1:$I$89,5,0)</f>
        <v>-5.4683368944097316E-13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252.30925789500111</v>
      </c>
      <c r="BJ129" s="59">
        <f t="shared" si="92"/>
        <v>213.96033794804805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0.69203455387333623</v>
      </c>
      <c r="BQ129" s="21">
        <f>EXP(-LN(2)/25)*BQ128+(1-EXP(-LN(2)/25))/(LN(2)/25)*Calculateur!BL129*Calculateur!BN129*VLOOKUP('Données projet'!$B$11,Paramètres!$A$1:$I$89,3,0)*0.475*44/12</f>
        <v>0.64442370530168624</v>
      </c>
      <c r="BR129" s="21">
        <f>EXP(-LN(2)/2)*BR128+(1-EXP(-LN(2)/2))/(LN(2)/2)*BL129*BO129*VLOOKUP('Données projet'!$B$11,Paramètres!$A$1:$I$89,3,0)*0.475*44/12</f>
        <v>5.1079278076251768E-14</v>
      </c>
      <c r="BS129" s="22">
        <f t="shared" si="63"/>
        <v>1.3364582591750735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2.8421709430404007E-14</v>
      </c>
      <c r="O130" s="13">
        <f>N130*VLOOKUP('Données projet'!$B$9,Paramètres!$A$1:$I$89,3,0)*VLOOKUP('Données projet'!$B$9,Paramètres!$A$1:$I$89,5,0)</f>
        <v>2.5715962692629544E-14</v>
      </c>
      <c r="P130" s="13">
        <f t="shared" si="87"/>
        <v>4.5248818890525812E-13</v>
      </c>
      <c r="Q130" s="20">
        <f t="shared" si="107"/>
        <v>8.3287223069965432E-13</v>
      </c>
      <c r="R130" s="59">
        <f t="shared" si="55"/>
        <v>293.33333333333417</v>
      </c>
      <c r="S130" s="59">
        <f ca="1">AVERAGE(OFFSET($R$3,0,0,'Données projet'!$E$9+1,1))-AVERAGE(OFFSET($H$3,0,0,'Données projet'!$E$9+1,1))</f>
        <v>138.8931001150624</v>
      </c>
      <c r="T130" s="59">
        <f t="shared" si="88"/>
        <v>48.964659354096625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-5.3205440053716299E-14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123.60520571614535</v>
      </c>
      <c r="AO130" s="59">
        <f t="shared" si="90"/>
        <v>119.00926870519527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0.12702449727737458</v>
      </c>
      <c r="AV130" s="21">
        <f>EXP(-LN(2)/25)*AV129+(1-EXP(-LN(2)/25))/(LN(2)/25)*Calculateur!AQ130*Calculateur!AS130*VLOOKUP('Données projet'!$B$10,Paramètres!$A$1:$I$89,3,0)*0.475*44/12</f>
        <v>0.32444185433221867</v>
      </c>
      <c r="AW130" s="21">
        <f>EXP(-LN(2)/2)*AW129+(1-EXP(-LN(2)/2))/(LN(2)/2)*AQ130*AT130*VLOOKUP('Données projet'!$B$10,Paramètres!$A$1:$I$89,3,0)*0.475*44/12</f>
        <v>1.5358545178599334E-14</v>
      </c>
      <c r="AX130" s="21">
        <f t="shared" si="60"/>
        <v>0.45146635160960863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-1.1368683772161603E-12</v>
      </c>
      <c r="BE130" s="13">
        <f>BD130*VLOOKUP('Données projet'!$B$11,Paramètres!$A$1:$I$89,3,0)*VLOOKUP('Données projet'!$B$11,Paramètres!$A$1:$I$89,5,0)</f>
        <v>-5.4683368944097316E-13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252.30925789500111</v>
      </c>
      <c r="BJ130" s="59">
        <f t="shared" si="92"/>
        <v>213.96033794804805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0.67846417837127915</v>
      </c>
      <c r="BQ130" s="21">
        <f>EXP(-LN(2)/25)*BQ129+(1-EXP(-LN(2)/25))/(LN(2)/25)*Calculateur!BL130*Calculateur!BN130*VLOOKUP('Données projet'!$B$11,Paramètres!$A$1:$I$89,3,0)*0.475*44/12</f>
        <v>0.62680190519144185</v>
      </c>
      <c r="BR130" s="21">
        <f>EXP(-LN(2)/2)*BR129+(1-EXP(-LN(2)/2))/(LN(2)/2)*BL130*BO130*VLOOKUP('Données projet'!$B$11,Paramètres!$A$1:$I$89,3,0)*0.475*44/12</f>
        <v>3.6118503905830972E-14</v>
      </c>
      <c r="BS130" s="22">
        <f t="shared" si="63"/>
        <v>1.3052660835627572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2.8421709430404007E-14</v>
      </c>
      <c r="O131" s="13">
        <f>N131*VLOOKUP('Données projet'!$B$9,Paramètres!$A$1:$I$89,3,0)*VLOOKUP('Données projet'!$B$9,Paramètres!$A$1:$I$89,5,0)</f>
        <v>2.5715962692629544E-14</v>
      </c>
      <c r="P131" s="13">
        <f t="shared" si="87"/>
        <v>4.5248818890525812E-13</v>
      </c>
      <c r="Q131" s="20">
        <f t="shared" ref="Q131:Q153" si="108">(O131+P131)*0.475*44/12</f>
        <v>8.3287223069965432E-13</v>
      </c>
      <c r="R131" s="59">
        <f t="shared" ref="R131:R194" si="109">Q131+(I131+J131)*44/12</f>
        <v>293.33333333333417</v>
      </c>
      <c r="S131" s="59">
        <f ca="1">AVERAGE(OFFSET($R$3,0,0,'Données projet'!$E$9+1,1))-AVERAGE(OFFSET($H$3,0,0,'Données projet'!$E$9+1,1))</f>
        <v>138.8931001150624</v>
      </c>
      <c r="T131" s="59">
        <f t="shared" si="88"/>
        <v>48.964659354096625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-5.3205440053716299E-14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123.60520571614535</v>
      </c>
      <c r="AO131" s="59">
        <f t="shared" si="90"/>
        <v>119.00926870519527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0.12453362436305836</v>
      </c>
      <c r="AV131" s="21">
        <f>EXP(-LN(2)/25)*AV130+(1-EXP(-LN(2)/25))/(LN(2)/25)*Calculateur!AQ131*Calculateur!AS131*VLOOKUP('Données projet'!$B$10,Paramètres!$A$1:$I$89,3,0)*0.475*44/12</f>
        <v>0.31556997476384857</v>
      </c>
      <c r="AW131" s="21">
        <f>EXP(-LN(2)/2)*AW130+(1-EXP(-LN(2)/2))/(LN(2)/2)*AQ131*AT131*VLOOKUP('Données projet'!$B$10,Paramètres!$A$1:$I$89,3,0)*0.475*44/12</f>
        <v>1.0860131444947544E-14</v>
      </c>
      <c r="AX131" s="21">
        <f t="shared" si="60"/>
        <v>0.44010359912691782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-1.1368683772161603E-12</v>
      </c>
      <c r="BE131" s="13">
        <f>BD131*VLOOKUP('Données projet'!$B$11,Paramètres!$A$1:$I$89,3,0)*VLOOKUP('Données projet'!$B$11,Paramètres!$A$1:$I$89,5,0)</f>
        <v>-5.4683368944097316E-13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252.30925789500111</v>
      </c>
      <c r="BJ131" s="59">
        <f t="shared" si="92"/>
        <v>213.96033794804805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0.66515990965570559</v>
      </c>
      <c r="BQ131" s="21">
        <f>EXP(-LN(2)/25)*BQ130+(1-EXP(-LN(2)/25))/(LN(2)/25)*Calculateur!BL131*Calculateur!BN131*VLOOKUP('Données projet'!$B$11,Paramètres!$A$1:$I$89,3,0)*0.475*44/12</f>
        <v>0.60966197413190226</v>
      </c>
      <c r="BR131" s="21">
        <f>EXP(-LN(2)/2)*BR130+(1-EXP(-LN(2)/2))/(LN(2)/2)*BL131*BO131*VLOOKUP('Données projet'!$B$11,Paramètres!$A$1:$I$89,3,0)*0.475*44/12</f>
        <v>2.5539639038125884E-14</v>
      </c>
      <c r="BS131" s="22">
        <f t="shared" si="63"/>
        <v>1.2748218837876333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2.8421709430404007E-14</v>
      </c>
      <c r="O132" s="13">
        <f>N132*VLOOKUP('Données projet'!$B$9,Paramètres!$A$1:$I$89,3,0)*VLOOKUP('Données projet'!$B$9,Paramètres!$A$1:$I$89,5,0)</f>
        <v>2.5715962692629544E-14</v>
      </c>
      <c r="P132" s="13">
        <f t="shared" si="87"/>
        <v>4.5248818890525812E-13</v>
      </c>
      <c r="Q132" s="20">
        <f t="shared" si="108"/>
        <v>8.3287223069965432E-13</v>
      </c>
      <c r="R132" s="59">
        <f t="shared" si="109"/>
        <v>293.33333333333417</v>
      </c>
      <c r="S132" s="59">
        <f ca="1">AVERAGE(OFFSET($R$3,0,0,'Données projet'!$E$9+1,1))-AVERAGE(OFFSET($H$3,0,0,'Données projet'!$E$9+1,1))</f>
        <v>138.8931001150624</v>
      </c>
      <c r="T132" s="59">
        <f t="shared" si="88"/>
        <v>48.964659354096625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-5.3205440053716299E-14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123.60520571614535</v>
      </c>
      <c r="AO132" s="59">
        <f t="shared" si="90"/>
        <v>119.00926870519527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0.12209159594730941</v>
      </c>
      <c r="AV132" s="21">
        <f>EXP(-LN(2)/25)*AV131+(1-EXP(-LN(2)/25))/(LN(2)/25)*Calculateur!AQ132*Calculateur!AS132*VLOOKUP('Données projet'!$B$10,Paramètres!$A$1:$I$89,3,0)*0.475*44/12</f>
        <v>0.30694069720882738</v>
      </c>
      <c r="AW132" s="21">
        <f>EXP(-LN(2)/2)*AW131+(1-EXP(-LN(2)/2))/(LN(2)/2)*AQ132*AT132*VLOOKUP('Données projet'!$B$10,Paramètres!$A$1:$I$89,3,0)*0.475*44/12</f>
        <v>7.6792725892996668E-15</v>
      </c>
      <c r="AX132" s="21">
        <f t="shared" ref="AX132:AX153" si="114">SUM(AU132:AW132)</f>
        <v>0.42903229315614444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-1.1368683772161603E-12</v>
      </c>
      <c r="BE132" s="13">
        <f>BD132*VLOOKUP('Données projet'!$B$11,Paramètres!$A$1:$I$89,3,0)*VLOOKUP('Données projet'!$B$11,Paramètres!$A$1:$I$89,5,0)</f>
        <v>-5.4683368944097316E-13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252.30925789500111</v>
      </c>
      <c r="BJ132" s="59">
        <f t="shared" si="92"/>
        <v>213.96033794804805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0.65211652953484178</v>
      </c>
      <c r="BQ132" s="21">
        <f>EXP(-LN(2)/25)*BQ131+(1-EXP(-LN(2)/25))/(LN(2)/25)*Calculateur!BL132*Calculateur!BN132*VLOOKUP('Données projet'!$B$11,Paramètres!$A$1:$I$89,3,0)*0.475*44/12</f>
        <v>0.59299073538853553</v>
      </c>
      <c r="BR132" s="21">
        <f>EXP(-LN(2)/2)*BR131+(1-EXP(-LN(2)/2))/(LN(2)/2)*BL132*BO132*VLOOKUP('Données projet'!$B$11,Paramètres!$A$1:$I$89,3,0)*0.475*44/12</f>
        <v>1.8059251952915486E-14</v>
      </c>
      <c r="BS132" s="22">
        <f t="shared" ref="BS132:BS153" si="117">SUM(BP132:BR132)</f>
        <v>1.2451072649233954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2.8421709430404007E-14</v>
      </c>
      <c r="O133" s="13">
        <f>N133*VLOOKUP('Données projet'!$B$9,Paramètres!$A$1:$I$89,3,0)*VLOOKUP('Données projet'!$B$9,Paramètres!$A$1:$I$89,5,0)</f>
        <v>2.5715962692629544E-14</v>
      </c>
      <c r="P133" s="13">
        <f t="shared" ref="P133:P196" si="141">EXP(-1.0587+0.8836*LN(O133)+0.284)</f>
        <v>4.5248818890525812E-13</v>
      </c>
      <c r="Q133" s="20">
        <f t="shared" si="108"/>
        <v>8.3287223069965432E-13</v>
      </c>
      <c r="R133" s="59">
        <f t="shared" si="109"/>
        <v>293.33333333333417</v>
      </c>
      <c r="S133" s="59">
        <f ca="1">AVERAGE(OFFSET($R$3,0,0,'Données projet'!$E$9+1,1))-AVERAGE(OFFSET($H$3,0,0,'Données projet'!$E$9+1,1))</f>
        <v>138.8931001150624</v>
      </c>
      <c r="T133" s="59">
        <f t="shared" ref="T133:T196" si="142">$T$3</f>
        <v>48.964659354096625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-5.3205440053716299E-14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123.60520571614535</v>
      </c>
      <c r="AO133" s="59">
        <f t="shared" ref="AO133:AO196" si="144">$AO$3</f>
        <v>119.00926870519527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0.11969745421930304</v>
      </c>
      <c r="AV133" s="21">
        <f>EXP(-LN(2)/25)*AV132+(1-EXP(-LN(2)/25))/(LN(2)/25)*Calculateur!AQ133*Calculateur!AS133*VLOOKUP('Données projet'!$B$10,Paramètres!$A$1:$I$89,3,0)*0.475*44/12</f>
        <v>0.29854738770234224</v>
      </c>
      <c r="AW133" s="21">
        <f>EXP(-LN(2)/2)*AW132+(1-EXP(-LN(2)/2))/(LN(2)/2)*AQ133*AT133*VLOOKUP('Données projet'!$B$10,Paramètres!$A$1:$I$89,3,0)*0.475*44/12</f>
        <v>5.4300657224737718E-15</v>
      </c>
      <c r="AX133" s="21">
        <f t="shared" si="114"/>
        <v>0.41824484192165073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-1.1368683772161603E-12</v>
      </c>
      <c r="BE133" s="13">
        <f>BD133*VLOOKUP('Données projet'!$B$11,Paramètres!$A$1:$I$89,3,0)*VLOOKUP('Données projet'!$B$11,Paramètres!$A$1:$I$89,5,0)</f>
        <v>-5.4683368944097316E-13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252.30925789500111</v>
      </c>
      <c r="BJ133" s="59">
        <f t="shared" ref="BJ133:BJ196" si="146">$BJ$3</f>
        <v>213.96033794804805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0.63932892214247183</v>
      </c>
      <c r="BQ133" s="21">
        <f>EXP(-LN(2)/25)*BQ132+(1-EXP(-LN(2)/25))/(LN(2)/25)*Calculateur!BL133*Calculateur!BN133*VLOOKUP('Données projet'!$B$11,Paramètres!$A$1:$I$89,3,0)*0.475*44/12</f>
        <v>0.57677537254530853</v>
      </c>
      <c r="BR133" s="21">
        <f>EXP(-LN(2)/2)*BR132+(1-EXP(-LN(2)/2))/(LN(2)/2)*BL133*BO133*VLOOKUP('Données projet'!$B$11,Paramètres!$A$1:$I$89,3,0)*0.475*44/12</f>
        <v>1.2769819519062942E-14</v>
      </c>
      <c r="BS133" s="22">
        <f t="shared" si="117"/>
        <v>1.2161042946877934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2.8421709430404007E-14</v>
      </c>
      <c r="O134" s="13">
        <f>N134*VLOOKUP('Données projet'!$B$9,Paramètres!$A$1:$I$89,3,0)*VLOOKUP('Données projet'!$B$9,Paramètres!$A$1:$I$89,5,0)</f>
        <v>2.5715962692629544E-14</v>
      </c>
      <c r="P134" s="13">
        <f t="shared" si="141"/>
        <v>4.5248818890525812E-13</v>
      </c>
      <c r="Q134" s="20">
        <f t="shared" si="108"/>
        <v>8.3287223069965432E-13</v>
      </c>
      <c r="R134" s="59">
        <f t="shared" si="109"/>
        <v>293.33333333333417</v>
      </c>
      <c r="S134" s="59">
        <f ca="1">AVERAGE(OFFSET($R$3,0,0,'Données projet'!$E$9+1,1))-AVERAGE(OFFSET($H$3,0,0,'Données projet'!$E$9+1,1))</f>
        <v>138.8931001150624</v>
      </c>
      <c r="T134" s="59">
        <f t="shared" si="142"/>
        <v>48.964659354096625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-5.3205440053716299E-14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123.60520571614535</v>
      </c>
      <c r="AO134" s="59">
        <f t="shared" si="144"/>
        <v>119.00926870519527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0.11735026015030062</v>
      </c>
      <c r="AV134" s="21">
        <f>EXP(-LN(2)/25)*AV133+(1-EXP(-LN(2)/25))/(LN(2)/25)*Calculateur!AQ134*Calculateur!AS134*VLOOKUP('Données projet'!$B$10,Paramètres!$A$1:$I$89,3,0)*0.475*44/12</f>
        <v>0.29038359368569688</v>
      </c>
      <c r="AW134" s="21">
        <f>EXP(-LN(2)/2)*AW133+(1-EXP(-LN(2)/2))/(LN(2)/2)*AQ134*AT134*VLOOKUP('Données projet'!$B$10,Paramètres!$A$1:$I$89,3,0)*0.475*44/12</f>
        <v>3.8396362946498334E-15</v>
      </c>
      <c r="AX134" s="21">
        <f t="shared" si="114"/>
        <v>0.4077338538360013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-1.1368683772161603E-12</v>
      </c>
      <c r="BE134" s="13">
        <f>BD134*VLOOKUP('Données projet'!$B$11,Paramètres!$A$1:$I$89,3,0)*VLOOKUP('Données projet'!$B$11,Paramètres!$A$1:$I$89,5,0)</f>
        <v>-5.4683368944097316E-13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252.30925789500111</v>
      </c>
      <c r="BJ134" s="59">
        <f t="shared" si="146"/>
        <v>213.96033794804805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0.62679207193139586</v>
      </c>
      <c r="BQ134" s="21">
        <f>EXP(-LN(2)/25)*BQ133+(1-EXP(-LN(2)/25))/(LN(2)/25)*Calculateur!BL134*Calculateur!BN134*VLOOKUP('Données projet'!$B$11,Paramètres!$A$1:$I$89,3,0)*0.475*44/12</f>
        <v>0.56100341965175848</v>
      </c>
      <c r="BR134" s="21">
        <f>EXP(-LN(2)/2)*BR133+(1-EXP(-LN(2)/2))/(LN(2)/2)*BL134*BO134*VLOOKUP('Données projet'!$B$11,Paramètres!$A$1:$I$89,3,0)*0.475*44/12</f>
        <v>9.0296259764577431E-15</v>
      </c>
      <c r="BS134" s="22">
        <f t="shared" si="117"/>
        <v>1.1877954915831634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2.8421709430404007E-14</v>
      </c>
      <c r="O135" s="13">
        <f>N135*VLOOKUP('Données projet'!$B$9,Paramètres!$A$1:$I$89,3,0)*VLOOKUP('Données projet'!$B$9,Paramètres!$A$1:$I$89,5,0)</f>
        <v>2.5715962692629544E-14</v>
      </c>
      <c r="P135" s="13">
        <f t="shared" si="141"/>
        <v>4.5248818890525812E-13</v>
      </c>
      <c r="Q135" s="20">
        <f t="shared" si="108"/>
        <v>8.3287223069965432E-13</v>
      </c>
      <c r="R135" s="59">
        <f t="shared" si="109"/>
        <v>293.33333333333417</v>
      </c>
      <c r="S135" s="59">
        <f ca="1">AVERAGE(OFFSET($R$3,0,0,'Données projet'!$E$9+1,1))-AVERAGE(OFFSET($H$3,0,0,'Données projet'!$E$9+1,1))</f>
        <v>138.8931001150624</v>
      </c>
      <c r="T135" s="59">
        <f t="shared" si="142"/>
        <v>48.964659354096625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-5.3205440053716299E-14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123.60520571614535</v>
      </c>
      <c r="AO135" s="59">
        <f t="shared" si="144"/>
        <v>119.00926870519527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0.11504909312534431</v>
      </c>
      <c r="AV135" s="21">
        <f>EXP(-LN(2)/25)*AV134+(1-EXP(-LN(2)/25))/(LN(2)/25)*Calculateur!AQ135*Calculateur!AS135*VLOOKUP('Données projet'!$B$10,Paramètres!$A$1:$I$89,3,0)*0.475*44/12</f>
        <v>0.28244303904575196</v>
      </c>
      <c r="AW135" s="21">
        <f>EXP(-LN(2)/2)*AW134+(1-EXP(-LN(2)/2))/(LN(2)/2)*AQ135*AT135*VLOOKUP('Données projet'!$B$10,Paramètres!$A$1:$I$89,3,0)*0.475*44/12</f>
        <v>2.7150328612368859E-15</v>
      </c>
      <c r="AX135" s="21">
        <f t="shared" si="114"/>
        <v>0.39749213217109897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-1.1368683772161603E-12</v>
      </c>
      <c r="BE135" s="13">
        <f>BD135*VLOOKUP('Données projet'!$B$11,Paramètres!$A$1:$I$89,3,0)*VLOOKUP('Données projet'!$B$11,Paramètres!$A$1:$I$89,5,0)</f>
        <v>-5.4683368944097316E-13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252.30925789500111</v>
      </c>
      <c r="BJ135" s="59">
        <f t="shared" si="146"/>
        <v>213.96033794804805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0.61450106170623553</v>
      </c>
      <c r="BQ135" s="21">
        <f>EXP(-LN(2)/25)*BQ134+(1-EXP(-LN(2)/25))/(LN(2)/25)*Calculateur!BL135*Calculateur!BN135*VLOOKUP('Données projet'!$B$11,Paramètres!$A$1:$I$89,3,0)*0.475*44/12</f>
        <v>0.54566275163949352</v>
      </c>
      <c r="BR135" s="21">
        <f>EXP(-LN(2)/2)*BR134+(1-EXP(-LN(2)/2))/(LN(2)/2)*BL135*BO135*VLOOKUP('Données projet'!$B$11,Paramètres!$A$1:$I$89,3,0)*0.475*44/12</f>
        <v>6.3849097595314709E-15</v>
      </c>
      <c r="BS135" s="22">
        <f t="shared" si="117"/>
        <v>1.1601638133457355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2.8421709430404007E-14</v>
      </c>
      <c r="O136" s="13">
        <f>N136*VLOOKUP('Données projet'!$B$9,Paramètres!$A$1:$I$89,3,0)*VLOOKUP('Données projet'!$B$9,Paramètres!$A$1:$I$89,5,0)</f>
        <v>2.5715962692629544E-14</v>
      </c>
      <c r="P136" s="13">
        <f t="shared" si="141"/>
        <v>4.5248818890525812E-13</v>
      </c>
      <c r="Q136" s="20">
        <f t="shared" si="108"/>
        <v>8.3287223069965432E-13</v>
      </c>
      <c r="R136" s="59">
        <f t="shared" si="109"/>
        <v>293.33333333333417</v>
      </c>
      <c r="S136" s="59">
        <f ca="1">AVERAGE(OFFSET($R$3,0,0,'Données projet'!$E$9+1,1))-AVERAGE(OFFSET($H$3,0,0,'Données projet'!$E$9+1,1))</f>
        <v>138.8931001150624</v>
      </c>
      <c r="T136" s="59">
        <f t="shared" si="142"/>
        <v>48.964659354096625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-5.3205440053716299E-14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123.60520571614535</v>
      </c>
      <c r="AO136" s="59">
        <f t="shared" si="144"/>
        <v>119.00926870519527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0.11279305058217411</v>
      </c>
      <c r="AV136" s="21">
        <f>EXP(-LN(2)/25)*AV135+(1-EXP(-LN(2)/25))/(LN(2)/25)*Calculateur!AQ136*Calculateur!AS136*VLOOKUP('Données projet'!$B$10,Paramètres!$A$1:$I$89,3,0)*0.475*44/12</f>
        <v>0.27471961929001198</v>
      </c>
      <c r="AW136" s="21">
        <f>EXP(-LN(2)/2)*AW135+(1-EXP(-LN(2)/2))/(LN(2)/2)*AQ136*AT136*VLOOKUP('Données projet'!$B$10,Paramètres!$A$1:$I$89,3,0)*0.475*44/12</f>
        <v>1.9198181473249167E-15</v>
      </c>
      <c r="AX136" s="21">
        <f t="shared" si="114"/>
        <v>0.38751266987218802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-1.1368683772161603E-12</v>
      </c>
      <c r="BE136" s="13">
        <f>BD136*VLOOKUP('Données projet'!$B$11,Paramètres!$A$1:$I$89,3,0)*VLOOKUP('Données projet'!$B$11,Paramètres!$A$1:$I$89,5,0)</f>
        <v>-5.4683368944097316E-13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252.30925789500111</v>
      </c>
      <c r="BJ136" s="59">
        <f t="shared" si="146"/>
        <v>213.96033794804805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0.60245107069481463</v>
      </c>
      <c r="BQ136" s="21">
        <f>EXP(-LN(2)/25)*BQ135+(1-EXP(-LN(2)/25))/(LN(2)/25)*Calculateur!BL136*Calculateur!BN136*VLOOKUP('Données projet'!$B$11,Paramètres!$A$1:$I$89,3,0)*0.475*44/12</f>
        <v>0.53074157500075458</v>
      </c>
      <c r="BR136" s="21">
        <f>EXP(-LN(2)/2)*BR135+(1-EXP(-LN(2)/2))/(LN(2)/2)*BL136*BO136*VLOOKUP('Données projet'!$B$11,Paramètres!$A$1:$I$89,3,0)*0.475*44/12</f>
        <v>4.5148129882288715E-15</v>
      </c>
      <c r="BS136" s="22">
        <f t="shared" si="117"/>
        <v>1.1331926456955737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2.8421709430404007E-14</v>
      </c>
      <c r="O137" s="13">
        <f>N137*VLOOKUP('Données projet'!$B$9,Paramètres!$A$1:$I$89,3,0)*VLOOKUP('Données projet'!$B$9,Paramètres!$A$1:$I$89,5,0)</f>
        <v>2.5715962692629544E-14</v>
      </c>
      <c r="P137" s="13">
        <f t="shared" si="141"/>
        <v>4.5248818890525812E-13</v>
      </c>
      <c r="Q137" s="20">
        <f t="shared" si="108"/>
        <v>8.3287223069965432E-13</v>
      </c>
      <c r="R137" s="59">
        <f t="shared" si="109"/>
        <v>293.33333333333417</v>
      </c>
      <c r="S137" s="59">
        <f ca="1">AVERAGE(OFFSET($R$3,0,0,'Données projet'!$E$9+1,1))-AVERAGE(OFFSET($H$3,0,0,'Données projet'!$E$9+1,1))</f>
        <v>138.8931001150624</v>
      </c>
      <c r="T137" s="59">
        <f t="shared" si="142"/>
        <v>48.964659354096625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-5.3205440053716299E-14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123.60520571614535</v>
      </c>
      <c r="AO137" s="59">
        <f t="shared" si="144"/>
        <v>119.00926870519527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0.11058124765722539</v>
      </c>
      <c r="AV137" s="21">
        <f>EXP(-LN(2)/25)*AV136+(1-EXP(-LN(2)/25))/(LN(2)/25)*Calculateur!AQ137*Calculateur!AS137*VLOOKUP('Données projet'!$B$10,Paramètres!$A$1:$I$89,3,0)*0.475*44/12</f>
        <v>0.26720739685364969</v>
      </c>
      <c r="AW137" s="21">
        <f>EXP(-LN(2)/2)*AW136+(1-EXP(-LN(2)/2))/(LN(2)/2)*AQ137*AT137*VLOOKUP('Données projet'!$B$10,Paramètres!$A$1:$I$89,3,0)*0.475*44/12</f>
        <v>1.357516430618443E-15</v>
      </c>
      <c r="AX137" s="21">
        <f t="shared" si="114"/>
        <v>0.3777886445108764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-1.1368683772161603E-12</v>
      </c>
      <c r="BE137" s="13">
        <f>BD137*VLOOKUP('Données projet'!$B$11,Paramètres!$A$1:$I$89,3,0)*VLOOKUP('Données projet'!$B$11,Paramètres!$A$1:$I$89,5,0)</f>
        <v>-5.4683368944097316E-13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252.30925789500111</v>
      </c>
      <c r="BJ137" s="59">
        <f t="shared" si="146"/>
        <v>213.96033794804805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0.59063737265735894</v>
      </c>
      <c r="BQ137" s="21">
        <f>EXP(-LN(2)/25)*BQ136+(1-EXP(-LN(2)/25))/(LN(2)/25)*Calculateur!BL137*Calculateur!BN137*VLOOKUP('Données projet'!$B$11,Paramètres!$A$1:$I$89,3,0)*0.475*44/12</f>
        <v>0.51622841872187253</v>
      </c>
      <c r="BR137" s="21">
        <f>EXP(-LN(2)/2)*BR136+(1-EXP(-LN(2)/2))/(LN(2)/2)*BL137*BO137*VLOOKUP('Données projet'!$B$11,Paramètres!$A$1:$I$89,3,0)*0.475*44/12</f>
        <v>3.1924548797657355E-15</v>
      </c>
      <c r="BS137" s="22">
        <f t="shared" si="117"/>
        <v>1.1068657913792346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2.8421709430404007E-14</v>
      </c>
      <c r="O138" s="13">
        <f>N138*VLOOKUP('Données projet'!$B$9,Paramètres!$A$1:$I$89,3,0)*VLOOKUP('Données projet'!$B$9,Paramètres!$A$1:$I$89,5,0)</f>
        <v>2.5715962692629544E-14</v>
      </c>
      <c r="P138" s="13">
        <f t="shared" si="141"/>
        <v>4.5248818890525812E-13</v>
      </c>
      <c r="Q138" s="20">
        <f t="shared" si="108"/>
        <v>8.3287223069965432E-13</v>
      </c>
      <c r="R138" s="59">
        <f t="shared" si="109"/>
        <v>293.33333333333417</v>
      </c>
      <c r="S138" s="59">
        <f ca="1">AVERAGE(OFFSET($R$3,0,0,'Données projet'!$E$9+1,1))-AVERAGE(OFFSET($H$3,0,0,'Données projet'!$E$9+1,1))</f>
        <v>138.8931001150624</v>
      </c>
      <c r="T138" s="59">
        <f t="shared" si="142"/>
        <v>48.964659354096625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-5.3205440053716299E-14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123.60520571614535</v>
      </c>
      <c r="AO138" s="59">
        <f t="shared" si="144"/>
        <v>119.00926870519527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0.10841281683856835</v>
      </c>
      <c r="AV138" s="21">
        <f>EXP(-LN(2)/25)*AV137+(1-EXP(-LN(2)/25))/(LN(2)/25)*Calculateur!AQ138*Calculateur!AS138*VLOOKUP('Données projet'!$B$10,Paramètres!$A$1:$I$89,3,0)*0.475*44/12</f>
        <v>0.25990059653486036</v>
      </c>
      <c r="AW138" s="21">
        <f>EXP(-LN(2)/2)*AW137+(1-EXP(-LN(2)/2))/(LN(2)/2)*AQ138*AT138*VLOOKUP('Données projet'!$B$10,Paramètres!$A$1:$I$89,3,0)*0.475*44/12</f>
        <v>9.5990907366245835E-16</v>
      </c>
      <c r="AX138" s="21">
        <f t="shared" si="114"/>
        <v>0.36831341337342965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-1.1368683772161603E-12</v>
      </c>
      <c r="BE138" s="13">
        <f>BD138*VLOOKUP('Données projet'!$B$11,Paramètres!$A$1:$I$89,3,0)*VLOOKUP('Données projet'!$B$11,Paramètres!$A$1:$I$89,5,0)</f>
        <v>-5.4683368944097316E-13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252.30925789500111</v>
      </c>
      <c r="BJ138" s="59">
        <f t="shared" si="146"/>
        <v>213.96033794804805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0.57905533403277343</v>
      </c>
      <c r="BQ138" s="21">
        <f>EXP(-LN(2)/25)*BQ137+(1-EXP(-LN(2)/25))/(LN(2)/25)*Calculateur!BL138*Calculateur!BN138*VLOOKUP('Données projet'!$B$11,Paramètres!$A$1:$I$89,3,0)*0.475*44/12</f>
        <v>0.50211212546465023</v>
      </c>
      <c r="BR138" s="21">
        <f>EXP(-LN(2)/2)*BR137+(1-EXP(-LN(2)/2))/(LN(2)/2)*BL138*BO138*VLOOKUP('Données projet'!$B$11,Paramètres!$A$1:$I$89,3,0)*0.475*44/12</f>
        <v>2.2574064941144358E-15</v>
      </c>
      <c r="BS138" s="22">
        <f t="shared" si="117"/>
        <v>1.0811674594974259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2.8421709430404007E-14</v>
      </c>
      <c r="O139" s="13">
        <f>N139*VLOOKUP('Données projet'!$B$9,Paramètres!$A$1:$I$89,3,0)*VLOOKUP('Données projet'!$B$9,Paramètres!$A$1:$I$89,5,0)</f>
        <v>2.5715962692629544E-14</v>
      </c>
      <c r="P139" s="13">
        <f t="shared" si="141"/>
        <v>4.5248818890525812E-13</v>
      </c>
      <c r="Q139" s="20">
        <f t="shared" si="108"/>
        <v>8.3287223069965432E-13</v>
      </c>
      <c r="R139" s="59">
        <f t="shared" si="109"/>
        <v>293.33333333333417</v>
      </c>
      <c r="S139" s="59">
        <f ca="1">AVERAGE(OFFSET($R$3,0,0,'Données projet'!$E$9+1,1))-AVERAGE(OFFSET($H$3,0,0,'Données projet'!$E$9+1,1))</f>
        <v>138.8931001150624</v>
      </c>
      <c r="T139" s="59">
        <f t="shared" si="142"/>
        <v>48.964659354096625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-5.3205440053716299E-14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123.60520571614535</v>
      </c>
      <c r="AO139" s="59">
        <f t="shared" si="144"/>
        <v>119.00926870519527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0.10628690762565296</v>
      </c>
      <c r="AV139" s="21">
        <f>EXP(-LN(2)/25)*AV138+(1-EXP(-LN(2)/25))/(LN(2)/25)*Calculateur!AQ139*Calculateur!AS139*VLOOKUP('Données projet'!$B$10,Paramètres!$A$1:$I$89,3,0)*0.475*44/12</f>
        <v>0.25279360105503623</v>
      </c>
      <c r="AW139" s="21">
        <f>EXP(-LN(2)/2)*AW138+(1-EXP(-LN(2)/2))/(LN(2)/2)*AQ139*AT139*VLOOKUP('Données projet'!$B$10,Paramètres!$A$1:$I$89,3,0)*0.475*44/12</f>
        <v>6.7875821530922148E-16</v>
      </c>
      <c r="AX139" s="21">
        <f t="shared" si="114"/>
        <v>0.35908050868068986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-1.1368683772161603E-12</v>
      </c>
      <c r="BE139" s="13">
        <f>BD139*VLOOKUP('Données projet'!$B$11,Paramètres!$A$1:$I$89,3,0)*VLOOKUP('Données projet'!$B$11,Paramètres!$A$1:$I$89,5,0)</f>
        <v>-5.4683368944097316E-13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252.30925789500111</v>
      </c>
      <c r="BJ139" s="59">
        <f t="shared" si="146"/>
        <v>213.96033794804805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0.56770041212126998</v>
      </c>
      <c r="BQ139" s="21">
        <f>EXP(-LN(2)/25)*BQ138+(1-EXP(-LN(2)/25))/(LN(2)/25)*Calculateur!BL139*Calculateur!BN139*VLOOKUP('Données projet'!$B$11,Paramètres!$A$1:$I$89,3,0)*0.475*44/12</f>
        <v>0.48838184298889026</v>
      </c>
      <c r="BR139" s="21">
        <f>EXP(-LN(2)/2)*BR138+(1-EXP(-LN(2)/2))/(LN(2)/2)*BL139*BO139*VLOOKUP('Données projet'!$B$11,Paramètres!$A$1:$I$89,3,0)*0.475*44/12</f>
        <v>1.5962274398828677E-15</v>
      </c>
      <c r="BS139" s="22">
        <f t="shared" si="117"/>
        <v>1.0560822551101618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2.8421709430404007E-14</v>
      </c>
      <c r="O140" s="13">
        <f>N140*VLOOKUP('Données projet'!$B$9,Paramètres!$A$1:$I$89,3,0)*VLOOKUP('Données projet'!$B$9,Paramètres!$A$1:$I$89,5,0)</f>
        <v>2.5715962692629544E-14</v>
      </c>
      <c r="P140" s="13">
        <f t="shared" si="141"/>
        <v>4.5248818890525812E-13</v>
      </c>
      <c r="Q140" s="20">
        <f t="shared" si="108"/>
        <v>8.3287223069965432E-13</v>
      </c>
      <c r="R140" s="59">
        <f t="shared" si="109"/>
        <v>293.33333333333417</v>
      </c>
      <c r="S140" s="59">
        <f ca="1">AVERAGE(OFFSET($R$3,0,0,'Données projet'!$E$9+1,1))-AVERAGE(OFFSET($H$3,0,0,'Données projet'!$E$9+1,1))</f>
        <v>138.8931001150624</v>
      </c>
      <c r="T140" s="59">
        <f t="shared" si="142"/>
        <v>48.964659354096625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-5.3205440053716299E-14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123.60520571614535</v>
      </c>
      <c r="AO140" s="59">
        <f t="shared" si="144"/>
        <v>119.00926870519527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0.10420268619572626</v>
      </c>
      <c r="AV140" s="21">
        <f>EXP(-LN(2)/25)*AV139+(1-EXP(-LN(2)/25))/(LN(2)/25)*Calculateur!AQ140*Calculateur!AS140*VLOOKUP('Données projet'!$B$10,Paramètres!$A$1:$I$89,3,0)*0.475*44/12</f>
        <v>0.24588094674034855</v>
      </c>
      <c r="AW140" s="21">
        <f>EXP(-LN(2)/2)*AW139+(1-EXP(-LN(2)/2))/(LN(2)/2)*AQ140*AT140*VLOOKUP('Données projet'!$B$10,Paramètres!$A$1:$I$89,3,0)*0.475*44/12</f>
        <v>4.7995453683122918E-16</v>
      </c>
      <c r="AX140" s="21">
        <f t="shared" si="114"/>
        <v>0.35008363293607531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-1.1368683772161603E-12</v>
      </c>
      <c r="BE140" s="13">
        <f>BD140*VLOOKUP('Données projet'!$B$11,Paramètres!$A$1:$I$89,3,0)*VLOOKUP('Données projet'!$B$11,Paramètres!$A$1:$I$89,5,0)</f>
        <v>-5.4683368944097316E-13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252.30925789500111</v>
      </c>
      <c r="BJ140" s="59">
        <f t="shared" si="146"/>
        <v>213.96033794804805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0.55656815330263265</v>
      </c>
      <c r="BQ140" s="21">
        <f>EXP(-LN(2)/25)*BQ139+(1-EXP(-LN(2)/25))/(LN(2)/25)*Calculateur!BL140*Calculateur!BN140*VLOOKUP('Données projet'!$B$11,Paramètres!$A$1:$I$89,3,0)*0.475*44/12</f>
        <v>0.47502701580947415</v>
      </c>
      <c r="BR140" s="21">
        <f>EXP(-LN(2)/2)*BR139+(1-EXP(-LN(2)/2))/(LN(2)/2)*BL140*BO140*VLOOKUP('Données projet'!$B$11,Paramètres!$A$1:$I$89,3,0)*0.475*44/12</f>
        <v>1.1287032470572179E-15</v>
      </c>
      <c r="BS140" s="22">
        <f t="shared" si="117"/>
        <v>1.0315951691121079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2.8421709430404007E-14</v>
      </c>
      <c r="O141" s="13">
        <f>N141*VLOOKUP('Données projet'!$B$9,Paramètres!$A$1:$I$89,3,0)*VLOOKUP('Données projet'!$B$9,Paramètres!$A$1:$I$89,5,0)</f>
        <v>2.5715962692629544E-14</v>
      </c>
      <c r="P141" s="13">
        <f t="shared" si="141"/>
        <v>4.5248818890525812E-13</v>
      </c>
      <c r="Q141" s="20">
        <f t="shared" si="108"/>
        <v>8.3287223069965432E-13</v>
      </c>
      <c r="R141" s="59">
        <f t="shared" si="109"/>
        <v>293.33333333333417</v>
      </c>
      <c r="S141" s="59">
        <f ca="1">AVERAGE(OFFSET($R$3,0,0,'Données projet'!$E$9+1,1))-AVERAGE(OFFSET($H$3,0,0,'Données projet'!$E$9+1,1))</f>
        <v>138.8931001150624</v>
      </c>
      <c r="T141" s="59">
        <f t="shared" si="142"/>
        <v>48.964659354096625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-5.3205440053716299E-14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123.60520571614535</v>
      </c>
      <c r="AO141" s="59">
        <f t="shared" si="144"/>
        <v>119.00926870519527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0.10215933507679088</v>
      </c>
      <c r="AV141" s="21">
        <f>EXP(-LN(2)/25)*AV140+(1-EXP(-LN(2)/25))/(LN(2)/25)*Calculateur!AQ141*Calculateur!AS141*VLOOKUP('Données projet'!$B$10,Paramètres!$A$1:$I$89,3,0)*0.475*44/12</f>
        <v>0.23915731932141671</v>
      </c>
      <c r="AW141" s="21">
        <f>EXP(-LN(2)/2)*AW140+(1-EXP(-LN(2)/2))/(LN(2)/2)*AQ141*AT141*VLOOKUP('Données projet'!$B$10,Paramètres!$A$1:$I$89,3,0)*0.475*44/12</f>
        <v>3.3937910765461074E-16</v>
      </c>
      <c r="AX141" s="21">
        <f t="shared" si="114"/>
        <v>0.34131665439820791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-1.1368683772161603E-12</v>
      </c>
      <c r="BE141" s="13">
        <f>BD141*VLOOKUP('Données projet'!$B$11,Paramètres!$A$1:$I$89,3,0)*VLOOKUP('Données projet'!$B$11,Paramètres!$A$1:$I$89,5,0)</f>
        <v>-5.4683368944097316E-13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252.30925789500111</v>
      </c>
      <c r="BJ141" s="59">
        <f t="shared" si="146"/>
        <v>213.96033794804805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0.54565419128942139</v>
      </c>
      <c r="BQ141" s="21">
        <f>EXP(-LN(2)/25)*BQ140+(1-EXP(-LN(2)/25))/(LN(2)/25)*Calculateur!BL141*Calculateur!BN141*VLOOKUP('Données projet'!$B$11,Paramètres!$A$1:$I$89,3,0)*0.475*44/12</f>
        <v>0.46203737708157899</v>
      </c>
      <c r="BR141" s="21">
        <f>EXP(-LN(2)/2)*BR140+(1-EXP(-LN(2)/2))/(LN(2)/2)*BL141*BO141*VLOOKUP('Données projet'!$B$11,Paramètres!$A$1:$I$89,3,0)*0.475*44/12</f>
        <v>7.9811371994143387E-16</v>
      </c>
      <c r="BS141" s="22">
        <f t="shared" si="117"/>
        <v>1.0076915683710013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2.8421709430404007E-14</v>
      </c>
      <c r="O142" s="13">
        <f>N142*VLOOKUP('Données projet'!$B$9,Paramètres!$A$1:$I$89,3,0)*VLOOKUP('Données projet'!$B$9,Paramètres!$A$1:$I$89,5,0)</f>
        <v>2.5715962692629544E-14</v>
      </c>
      <c r="P142" s="13">
        <f t="shared" si="141"/>
        <v>4.5248818890525812E-13</v>
      </c>
      <c r="Q142" s="20">
        <f t="shared" si="108"/>
        <v>8.3287223069965432E-13</v>
      </c>
      <c r="R142" s="59">
        <f t="shared" si="109"/>
        <v>293.33333333333417</v>
      </c>
      <c r="S142" s="59">
        <f ca="1">AVERAGE(OFFSET($R$3,0,0,'Données projet'!$E$9+1,1))-AVERAGE(OFFSET($H$3,0,0,'Données projet'!$E$9+1,1))</f>
        <v>138.8931001150624</v>
      </c>
      <c r="T142" s="59">
        <f t="shared" si="142"/>
        <v>48.964659354096625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-5.3205440053716299E-14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123.60520571614535</v>
      </c>
      <c r="AO142" s="59">
        <f t="shared" si="144"/>
        <v>119.00926870519527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0.1001560528269767</v>
      </c>
      <c r="AV142" s="21">
        <f>EXP(-LN(2)/25)*AV141+(1-EXP(-LN(2)/25))/(LN(2)/25)*Calculateur!AQ142*Calculateur!AS142*VLOOKUP('Données projet'!$B$10,Paramètres!$A$1:$I$89,3,0)*0.475*44/12</f>
        <v>0.23261754984783575</v>
      </c>
      <c r="AW142" s="21">
        <f>EXP(-LN(2)/2)*AW141+(1-EXP(-LN(2)/2))/(LN(2)/2)*AQ142*AT142*VLOOKUP('Données projet'!$B$10,Paramètres!$A$1:$I$89,3,0)*0.475*44/12</f>
        <v>2.3997726841561459E-16</v>
      </c>
      <c r="AX142" s="21">
        <f t="shared" si="114"/>
        <v>0.33277360267481271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-1.1368683772161603E-12</v>
      </c>
      <c r="BE142" s="13">
        <f>BD142*VLOOKUP('Données projet'!$B$11,Paramètres!$A$1:$I$89,3,0)*VLOOKUP('Données projet'!$B$11,Paramètres!$A$1:$I$89,5,0)</f>
        <v>-5.4683368944097316E-13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252.30925789500111</v>
      </c>
      <c r="BJ142" s="59">
        <f t="shared" si="146"/>
        <v>213.96033794804805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0.5349542454144296</v>
      </c>
      <c r="BQ142" s="21">
        <f>EXP(-LN(2)/25)*BQ141+(1-EXP(-LN(2)/25))/(LN(2)/25)*Calculateur!BL142*Calculateur!BN142*VLOOKUP('Données projet'!$B$11,Paramètres!$A$1:$I$89,3,0)*0.475*44/12</f>
        <v>0.44940294070779357</v>
      </c>
      <c r="BR142" s="21">
        <f>EXP(-LN(2)/2)*BR141+(1-EXP(-LN(2)/2))/(LN(2)/2)*BL142*BO142*VLOOKUP('Données projet'!$B$11,Paramètres!$A$1:$I$89,3,0)*0.475*44/12</f>
        <v>5.6435162352860894E-16</v>
      </c>
      <c r="BS142" s="22">
        <f t="shared" si="117"/>
        <v>0.98435718612222367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2.8421709430404007E-14</v>
      </c>
      <c r="O143" s="13">
        <f>N143*VLOOKUP('Données projet'!$B$9,Paramètres!$A$1:$I$89,3,0)*VLOOKUP('Données projet'!$B$9,Paramètres!$A$1:$I$89,5,0)</f>
        <v>2.5715962692629544E-14</v>
      </c>
      <c r="P143" s="13">
        <f t="shared" si="141"/>
        <v>4.5248818890525812E-13</v>
      </c>
      <c r="Q143" s="20">
        <f t="shared" si="108"/>
        <v>8.3287223069965432E-13</v>
      </c>
      <c r="R143" s="59">
        <f t="shared" si="109"/>
        <v>293.33333333333417</v>
      </c>
      <c r="S143" s="59">
        <f ca="1">AVERAGE(OFFSET($R$3,0,0,'Données projet'!$E$9+1,1))-AVERAGE(OFFSET($H$3,0,0,'Données projet'!$E$9+1,1))</f>
        <v>138.8931001150624</v>
      </c>
      <c r="T143" s="59">
        <f t="shared" si="142"/>
        <v>48.964659354096625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-5.3205440053716299E-14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123.60520571614535</v>
      </c>
      <c r="AO143" s="59">
        <f t="shared" si="144"/>
        <v>119.00926870519527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9.8192053720199859E-2</v>
      </c>
      <c r="AV143" s="21">
        <f>EXP(-LN(2)/25)*AV142+(1-EXP(-LN(2)/25))/(LN(2)/25)*Calculateur!AQ143*Calculateur!AS143*VLOOKUP('Données projet'!$B$10,Paramètres!$A$1:$I$89,3,0)*0.475*44/12</f>
        <v>0.22625661071442138</v>
      </c>
      <c r="AW143" s="21">
        <f>EXP(-LN(2)/2)*AW142+(1-EXP(-LN(2)/2))/(LN(2)/2)*AQ143*AT143*VLOOKUP('Données projet'!$B$10,Paramètres!$A$1:$I$89,3,0)*0.475*44/12</f>
        <v>1.6968955382730537E-16</v>
      </c>
      <c r="AX143" s="21">
        <f t="shared" si="114"/>
        <v>0.32444866443462139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-1.1368683772161603E-12</v>
      </c>
      <c r="BE143" s="13">
        <f>BD143*VLOOKUP('Données projet'!$B$11,Paramètres!$A$1:$I$89,3,0)*VLOOKUP('Données projet'!$B$11,Paramètres!$A$1:$I$89,5,0)</f>
        <v>-5.4683368944097316E-13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252.30925789500111</v>
      </c>
      <c r="BJ143" s="59">
        <f t="shared" si="146"/>
        <v>213.96033794804805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0.52446411895172385</v>
      </c>
      <c r="BQ143" s="21">
        <f>EXP(-LN(2)/25)*BQ142+(1-EXP(-LN(2)/25))/(LN(2)/25)*Calculateur!BL143*Calculateur!BN143*VLOOKUP('Données projet'!$B$11,Paramètres!$A$1:$I$89,3,0)*0.475*44/12</f>
        <v>0.43711399366106546</v>
      </c>
      <c r="BR143" s="21">
        <f>EXP(-LN(2)/2)*BR142+(1-EXP(-LN(2)/2))/(LN(2)/2)*BL143*BO143*VLOOKUP('Données projet'!$B$11,Paramètres!$A$1:$I$89,3,0)*0.475*44/12</f>
        <v>3.9905685997071693E-16</v>
      </c>
      <c r="BS143" s="22">
        <f t="shared" si="117"/>
        <v>0.9615781126127898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2.8421709430404007E-14</v>
      </c>
      <c r="O144" s="13">
        <f>N144*VLOOKUP('Données projet'!$B$9,Paramètres!$A$1:$I$89,3,0)*VLOOKUP('Données projet'!$B$9,Paramètres!$A$1:$I$89,5,0)</f>
        <v>2.5715962692629544E-14</v>
      </c>
      <c r="P144" s="13">
        <f t="shared" si="141"/>
        <v>4.5248818890525812E-13</v>
      </c>
      <c r="Q144" s="20">
        <f t="shared" si="108"/>
        <v>8.3287223069965432E-13</v>
      </c>
      <c r="R144" s="59">
        <f t="shared" si="109"/>
        <v>293.33333333333417</v>
      </c>
      <c r="S144" s="59">
        <f ca="1">AVERAGE(OFFSET($R$3,0,0,'Données projet'!$E$9+1,1))-AVERAGE(OFFSET($H$3,0,0,'Données projet'!$E$9+1,1))</f>
        <v>138.8931001150624</v>
      </c>
      <c r="T144" s="59">
        <f t="shared" si="142"/>
        <v>48.964659354096625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-5.3205440053716299E-14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123.60520571614535</v>
      </c>
      <c r="AO144" s="59">
        <f t="shared" si="144"/>
        <v>119.00926870519527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9.6266567437985742E-2</v>
      </c>
      <c r="AV144" s="21">
        <f>EXP(-LN(2)/25)*AV143+(1-EXP(-LN(2)/25))/(LN(2)/25)*Calculateur!AQ144*Calculateur!AS144*VLOOKUP('Données projet'!$B$10,Paramètres!$A$1:$I$89,3,0)*0.475*44/12</f>
        <v>0.22006961179611748</v>
      </c>
      <c r="AW144" s="21">
        <f>EXP(-LN(2)/2)*AW143+(1-EXP(-LN(2)/2))/(LN(2)/2)*AQ144*AT144*VLOOKUP('Données projet'!$B$10,Paramètres!$A$1:$I$89,3,0)*0.475*44/12</f>
        <v>1.1998863420780729E-16</v>
      </c>
      <c r="AX144" s="21">
        <f t="shared" si="114"/>
        <v>0.31633617923410334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-1.1368683772161603E-12</v>
      </c>
      <c r="BE144" s="13">
        <f>BD144*VLOOKUP('Données projet'!$B$11,Paramètres!$A$1:$I$89,3,0)*VLOOKUP('Données projet'!$B$11,Paramètres!$A$1:$I$89,5,0)</f>
        <v>-5.4683368944097316E-13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252.30925789500111</v>
      </c>
      <c r="BJ144" s="59">
        <f t="shared" si="146"/>
        <v>213.96033794804805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0.51417969747060643</v>
      </c>
      <c r="BQ144" s="21">
        <f>EXP(-LN(2)/25)*BQ143+(1-EXP(-LN(2)/25))/(LN(2)/25)*Calculateur!BL144*Calculateur!BN144*VLOOKUP('Données projet'!$B$11,Paramètres!$A$1:$I$89,3,0)*0.475*44/12</f>
        <v>0.42516108851757772</v>
      </c>
      <c r="BR144" s="21">
        <f>EXP(-LN(2)/2)*BR143+(1-EXP(-LN(2)/2))/(LN(2)/2)*BL144*BO144*VLOOKUP('Données projet'!$B$11,Paramètres!$A$1:$I$89,3,0)*0.475*44/12</f>
        <v>2.8217581176430447E-16</v>
      </c>
      <c r="BS144" s="22">
        <f t="shared" si="117"/>
        <v>0.93934078598818449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2.8421709430404007E-14</v>
      </c>
      <c r="O145" s="13">
        <f>N145*VLOOKUP('Données projet'!$B$9,Paramètres!$A$1:$I$89,3,0)*VLOOKUP('Données projet'!$B$9,Paramètres!$A$1:$I$89,5,0)</f>
        <v>2.5715962692629544E-14</v>
      </c>
      <c r="P145" s="13">
        <f t="shared" si="141"/>
        <v>4.5248818890525812E-13</v>
      </c>
      <c r="Q145" s="20">
        <f t="shared" si="108"/>
        <v>8.3287223069965432E-13</v>
      </c>
      <c r="R145" s="59">
        <f t="shared" si="109"/>
        <v>293.33333333333417</v>
      </c>
      <c r="S145" s="59">
        <f ca="1">AVERAGE(OFFSET($R$3,0,0,'Données projet'!$E$9+1,1))-AVERAGE(OFFSET($H$3,0,0,'Données projet'!$E$9+1,1))</f>
        <v>138.8931001150624</v>
      </c>
      <c r="T145" s="59">
        <f t="shared" si="142"/>
        <v>48.964659354096625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-5.3205440053716299E-14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123.60520571614535</v>
      </c>
      <c r="AO145" s="59">
        <f t="shared" si="144"/>
        <v>119.00926870519527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9.4378838767335174E-2</v>
      </c>
      <c r="AV145" s="21">
        <f>EXP(-LN(2)/25)*AV144+(1-EXP(-LN(2)/25))/(LN(2)/25)*Calculateur!AQ145*Calculateur!AS145*VLOOKUP('Données projet'!$B$10,Paramètres!$A$1:$I$89,3,0)*0.475*44/12</f>
        <v>0.21405179668859473</v>
      </c>
      <c r="AW145" s="21">
        <f>EXP(-LN(2)/2)*AW144+(1-EXP(-LN(2)/2))/(LN(2)/2)*AQ145*AT145*VLOOKUP('Données projet'!$B$10,Paramètres!$A$1:$I$89,3,0)*0.475*44/12</f>
        <v>8.4844776913652685E-17</v>
      </c>
      <c r="AX145" s="21">
        <f t="shared" si="114"/>
        <v>0.30843063545593002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-1.1368683772161603E-12</v>
      </c>
      <c r="BE145" s="13">
        <f>BD145*VLOOKUP('Données projet'!$B$11,Paramètres!$A$1:$I$89,3,0)*VLOOKUP('Données projet'!$B$11,Paramètres!$A$1:$I$89,5,0)</f>
        <v>-5.4683368944097316E-13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252.30925789500111</v>
      </c>
      <c r="BJ145" s="59">
        <f t="shared" si="146"/>
        <v>213.96033794804805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0.50409694722185605</v>
      </c>
      <c r="BQ145" s="21">
        <f>EXP(-LN(2)/25)*BQ144+(1-EXP(-LN(2)/25))/(LN(2)/25)*Calculateur!BL145*Calculateur!BN145*VLOOKUP('Données projet'!$B$11,Paramètres!$A$1:$I$89,3,0)*0.475*44/12</f>
        <v>0.41353503619381465</v>
      </c>
      <c r="BR145" s="21">
        <f>EXP(-LN(2)/2)*BR144+(1-EXP(-LN(2)/2))/(LN(2)/2)*BL145*BO145*VLOOKUP('Données projet'!$B$11,Paramètres!$A$1:$I$89,3,0)*0.475*44/12</f>
        <v>1.9952842998535847E-16</v>
      </c>
      <c r="BS145" s="22">
        <f t="shared" si="117"/>
        <v>0.91763198341567098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2.8421709430404007E-14</v>
      </c>
      <c r="O146" s="13">
        <f>N146*VLOOKUP('Données projet'!$B$9,Paramètres!$A$1:$I$89,3,0)*VLOOKUP('Données projet'!$B$9,Paramètres!$A$1:$I$89,5,0)</f>
        <v>2.5715962692629544E-14</v>
      </c>
      <c r="P146" s="13">
        <f t="shared" si="141"/>
        <v>4.5248818890525812E-13</v>
      </c>
      <c r="Q146" s="20">
        <f t="shared" si="108"/>
        <v>8.3287223069965432E-13</v>
      </c>
      <c r="R146" s="59">
        <f t="shared" si="109"/>
        <v>293.33333333333417</v>
      </c>
      <c r="S146" s="59">
        <f ca="1">AVERAGE(OFFSET($R$3,0,0,'Données projet'!$E$9+1,1))-AVERAGE(OFFSET($H$3,0,0,'Données projet'!$E$9+1,1))</f>
        <v>138.8931001150624</v>
      </c>
      <c r="T146" s="59">
        <f t="shared" si="142"/>
        <v>48.964659354096625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-5.3205440053716299E-14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123.60520571614535</v>
      </c>
      <c r="AO146" s="59">
        <f t="shared" si="144"/>
        <v>119.00926870519527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9.2528127304515262E-2</v>
      </c>
      <c r="AV146" s="21">
        <f>EXP(-LN(2)/25)*AV145+(1-EXP(-LN(2)/25))/(LN(2)/25)*Calculateur!AQ146*Calculateur!AS146*VLOOKUP('Données projet'!$B$10,Paramètres!$A$1:$I$89,3,0)*0.475*44/12</f>
        <v>0.20819853905165034</v>
      </c>
      <c r="AW146" s="21">
        <f>EXP(-LN(2)/2)*AW145+(1-EXP(-LN(2)/2))/(LN(2)/2)*AQ146*AT146*VLOOKUP('Données projet'!$B$10,Paramètres!$A$1:$I$89,3,0)*0.475*44/12</f>
        <v>5.9994317103903647E-17</v>
      </c>
      <c r="AX146" s="21">
        <f t="shared" si="114"/>
        <v>0.30072666635616568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-1.1368683772161603E-12</v>
      </c>
      <c r="BE146" s="13">
        <f>BD146*VLOOKUP('Données projet'!$B$11,Paramètres!$A$1:$I$89,3,0)*VLOOKUP('Données projet'!$B$11,Paramètres!$A$1:$I$89,5,0)</f>
        <v>-5.4683368944097316E-13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252.30925789500111</v>
      </c>
      <c r="BJ146" s="59">
        <f t="shared" si="146"/>
        <v>213.96033794804805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0.49421191355561322</v>
      </c>
      <c r="BQ146" s="21">
        <f>EXP(-LN(2)/25)*BQ145+(1-EXP(-LN(2)/25))/(LN(2)/25)*Calculateur!BL146*Calculateur!BN146*VLOOKUP('Données projet'!$B$11,Paramètres!$A$1:$I$89,3,0)*0.475*44/12</f>
        <v>0.4022268988822324</v>
      </c>
      <c r="BR146" s="21">
        <f>EXP(-LN(2)/2)*BR145+(1-EXP(-LN(2)/2))/(LN(2)/2)*BL146*BO146*VLOOKUP('Données projet'!$B$11,Paramètres!$A$1:$I$89,3,0)*0.475*44/12</f>
        <v>1.4108790588215224E-16</v>
      </c>
      <c r="BS146" s="22">
        <f t="shared" si="117"/>
        <v>0.89643881243784573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2.8421709430404007E-14</v>
      </c>
      <c r="O147" s="13">
        <f>N147*VLOOKUP('Données projet'!$B$9,Paramètres!$A$1:$I$89,3,0)*VLOOKUP('Données projet'!$B$9,Paramètres!$A$1:$I$89,5,0)</f>
        <v>2.5715962692629544E-14</v>
      </c>
      <c r="P147" s="13">
        <f t="shared" si="141"/>
        <v>4.5248818890525812E-13</v>
      </c>
      <c r="Q147" s="20">
        <f t="shared" si="108"/>
        <v>8.3287223069965432E-13</v>
      </c>
      <c r="R147" s="59">
        <f t="shared" si="109"/>
        <v>293.33333333333417</v>
      </c>
      <c r="S147" s="59">
        <f ca="1">AVERAGE(OFFSET($R$3,0,0,'Données projet'!$E$9+1,1))-AVERAGE(OFFSET($H$3,0,0,'Données projet'!$E$9+1,1))</f>
        <v>138.8931001150624</v>
      </c>
      <c r="T147" s="59">
        <f t="shared" si="142"/>
        <v>48.964659354096625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-5.3205440053716299E-14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123.60520571614535</v>
      </c>
      <c r="AO147" s="59">
        <f t="shared" si="144"/>
        <v>119.00926870519527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9.0713707164658722E-2</v>
      </c>
      <c r="AV147" s="21">
        <f>EXP(-LN(2)/25)*AV146+(1-EXP(-LN(2)/25))/(LN(2)/25)*Calculateur!AQ147*Calculateur!AS147*VLOOKUP('Données projet'!$B$10,Paramètres!$A$1:$I$89,3,0)*0.475*44/12</f>
        <v>0.20250533905259763</v>
      </c>
      <c r="AW147" s="21">
        <f>EXP(-LN(2)/2)*AW146+(1-EXP(-LN(2)/2))/(LN(2)/2)*AQ147*AT147*VLOOKUP('Données projet'!$B$10,Paramètres!$A$1:$I$89,3,0)*0.475*44/12</f>
        <v>4.2422388456826342E-17</v>
      </c>
      <c r="AX147" s="21">
        <f t="shared" si="114"/>
        <v>0.29321904621725642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-1.1368683772161603E-12</v>
      </c>
      <c r="BE147" s="13">
        <f>BD147*VLOOKUP('Données projet'!$B$11,Paramètres!$A$1:$I$89,3,0)*VLOOKUP('Données projet'!$B$11,Paramètres!$A$1:$I$89,5,0)</f>
        <v>-5.4683368944097316E-13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252.30925789500111</v>
      </c>
      <c r="BJ147" s="59">
        <f t="shared" si="146"/>
        <v>213.96033794804805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0.48452071937029023</v>
      </c>
      <c r="BQ147" s="21">
        <f>EXP(-LN(2)/25)*BQ146+(1-EXP(-LN(2)/25))/(LN(2)/25)*Calculateur!BL147*Calculateur!BN147*VLOOKUP('Données projet'!$B$11,Paramètres!$A$1:$I$89,3,0)*0.475*44/12</f>
        <v>0.39122798318010443</v>
      </c>
      <c r="BR147" s="21">
        <f>EXP(-LN(2)/2)*BR146+(1-EXP(-LN(2)/2))/(LN(2)/2)*BL147*BO147*VLOOKUP('Données projet'!$B$11,Paramètres!$A$1:$I$89,3,0)*0.475*44/12</f>
        <v>9.9764214992679234E-17</v>
      </c>
      <c r="BS147" s="22">
        <f t="shared" si="117"/>
        <v>0.87574870255039483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2.8421709430404007E-14</v>
      </c>
      <c r="O148" s="13">
        <f>N148*VLOOKUP('Données projet'!$B$9,Paramètres!$A$1:$I$89,3,0)*VLOOKUP('Données projet'!$B$9,Paramètres!$A$1:$I$89,5,0)</f>
        <v>2.5715962692629544E-14</v>
      </c>
      <c r="P148" s="13">
        <f t="shared" si="141"/>
        <v>4.5248818890525812E-13</v>
      </c>
      <c r="Q148" s="20">
        <f t="shared" si="108"/>
        <v>8.3287223069965432E-13</v>
      </c>
      <c r="R148" s="59">
        <f t="shared" si="109"/>
        <v>293.33333333333417</v>
      </c>
      <c r="S148" s="59">
        <f ca="1">AVERAGE(OFFSET($R$3,0,0,'Données projet'!$E$9+1,1))-AVERAGE(OFFSET($H$3,0,0,'Données projet'!$E$9+1,1))</f>
        <v>138.8931001150624</v>
      </c>
      <c r="T148" s="59">
        <f t="shared" si="142"/>
        <v>48.964659354096625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-5.3205440053716299E-14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123.60520571614535</v>
      </c>
      <c r="AO148" s="59">
        <f t="shared" si="144"/>
        <v>119.00926870519527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8.893486669705776E-2</v>
      </c>
      <c r="AV148" s="21">
        <f>EXP(-LN(2)/25)*AV147+(1-EXP(-LN(2)/25))/(LN(2)/25)*Calculateur!AQ148*Calculateur!AS148*VLOOKUP('Données projet'!$B$10,Paramètres!$A$1:$I$89,3,0)*0.475*44/12</f>
        <v>0.1969678199069114</v>
      </c>
      <c r="AW148" s="21">
        <f>EXP(-LN(2)/2)*AW147+(1-EXP(-LN(2)/2))/(LN(2)/2)*AQ148*AT148*VLOOKUP('Données projet'!$B$10,Paramètres!$A$1:$I$89,3,0)*0.475*44/12</f>
        <v>2.9997158551951823E-17</v>
      </c>
      <c r="AX148" s="21">
        <f t="shared" si="114"/>
        <v>0.28590268660396922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-1.1368683772161603E-12</v>
      </c>
      <c r="BE148" s="13">
        <f>BD148*VLOOKUP('Données projet'!$B$11,Paramètres!$A$1:$I$89,3,0)*VLOOKUP('Données projet'!$B$11,Paramètres!$A$1:$I$89,5,0)</f>
        <v>-5.4683368944097316E-13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252.30925789500111</v>
      </c>
      <c r="BJ148" s="59">
        <f t="shared" si="146"/>
        <v>213.96033794804805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0.47501956359189662</v>
      </c>
      <c r="BQ148" s="21">
        <f>EXP(-LN(2)/25)*BQ147+(1-EXP(-LN(2)/25))/(LN(2)/25)*Calculateur!BL148*Calculateur!BN148*VLOOKUP('Données projet'!$B$11,Paramètres!$A$1:$I$89,3,0)*0.475*44/12</f>
        <v>0.38052983340625901</v>
      </c>
      <c r="BR148" s="21">
        <f>EXP(-LN(2)/2)*BR147+(1-EXP(-LN(2)/2))/(LN(2)/2)*BL148*BO148*VLOOKUP('Données projet'!$B$11,Paramètres!$A$1:$I$89,3,0)*0.475*44/12</f>
        <v>7.0543952941076118E-17</v>
      </c>
      <c r="BS148" s="22">
        <f t="shared" si="117"/>
        <v>0.85554939699815569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2.8421709430404007E-14</v>
      </c>
      <c r="O149" s="13">
        <f>N149*VLOOKUP('Données projet'!$B$9,Paramètres!$A$1:$I$89,3,0)*VLOOKUP('Données projet'!$B$9,Paramètres!$A$1:$I$89,5,0)</f>
        <v>2.5715962692629544E-14</v>
      </c>
      <c r="P149" s="13">
        <f t="shared" si="141"/>
        <v>4.5248818890525812E-13</v>
      </c>
      <c r="Q149" s="20">
        <f t="shared" si="108"/>
        <v>8.3287223069965432E-13</v>
      </c>
      <c r="R149" s="59">
        <f t="shared" si="109"/>
        <v>293.33333333333417</v>
      </c>
      <c r="S149" s="59">
        <f ca="1">AVERAGE(OFFSET($R$3,0,0,'Données projet'!$E$9+1,1))-AVERAGE(OFFSET($H$3,0,0,'Données projet'!$E$9+1,1))</f>
        <v>138.8931001150624</v>
      </c>
      <c r="T149" s="59">
        <f t="shared" si="142"/>
        <v>48.964659354096625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-5.3205440053716299E-14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123.60520571614535</v>
      </c>
      <c r="AO149" s="59">
        <f t="shared" si="144"/>
        <v>119.00926870519527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8.7190908206040904E-2</v>
      </c>
      <c r="AV149" s="21">
        <f>EXP(-LN(2)/25)*AV148+(1-EXP(-LN(2)/25))/(LN(2)/25)*Calculateur!AQ149*Calculateur!AS149*VLOOKUP('Données projet'!$B$10,Paramètres!$A$1:$I$89,3,0)*0.475*44/12</f>
        <v>0.19158172451346944</v>
      </c>
      <c r="AW149" s="21">
        <f>EXP(-LN(2)/2)*AW148+(1-EXP(-LN(2)/2))/(LN(2)/2)*AQ149*AT149*VLOOKUP('Données projet'!$B$10,Paramètres!$A$1:$I$89,3,0)*0.475*44/12</f>
        <v>2.1211194228413171E-17</v>
      </c>
      <c r="AX149" s="21">
        <f t="shared" si="114"/>
        <v>0.27877263271951036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-1.1368683772161603E-12</v>
      </c>
      <c r="BE149" s="13">
        <f>BD149*VLOOKUP('Données projet'!$B$11,Paramètres!$A$1:$I$89,3,0)*VLOOKUP('Données projet'!$B$11,Paramètres!$A$1:$I$89,5,0)</f>
        <v>-5.4683368944097316E-13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252.30925789500111</v>
      </c>
      <c r="BJ149" s="59">
        <f t="shared" si="146"/>
        <v>213.96033794804805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0.46570471968318455</v>
      </c>
      <c r="BQ149" s="21">
        <f>EXP(-LN(2)/25)*BQ148+(1-EXP(-LN(2)/25))/(LN(2)/25)*Calculateur!BL149*Calculateur!BN149*VLOOKUP('Données projet'!$B$11,Paramètres!$A$1:$I$89,3,0)*0.475*44/12</f>
        <v>0.37012422510057064</v>
      </c>
      <c r="BR149" s="21">
        <f>EXP(-LN(2)/2)*BR148+(1-EXP(-LN(2)/2))/(LN(2)/2)*BL149*BO149*VLOOKUP('Données projet'!$B$11,Paramètres!$A$1:$I$89,3,0)*0.475*44/12</f>
        <v>4.9882107496339617E-17</v>
      </c>
      <c r="BS149" s="22">
        <f t="shared" si="117"/>
        <v>0.83582894478375525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2.8421709430404007E-14</v>
      </c>
      <c r="O150" s="13">
        <f>N150*VLOOKUP('Données projet'!$B$9,Paramètres!$A$1:$I$89,3,0)*VLOOKUP('Données projet'!$B$9,Paramètres!$A$1:$I$89,5,0)</f>
        <v>2.5715962692629544E-14</v>
      </c>
      <c r="P150" s="13">
        <f t="shared" si="141"/>
        <v>4.5248818890525812E-13</v>
      </c>
      <c r="Q150" s="20">
        <f t="shared" si="108"/>
        <v>8.3287223069965432E-13</v>
      </c>
      <c r="R150" s="59">
        <f t="shared" si="109"/>
        <v>293.33333333333417</v>
      </c>
      <c r="S150" s="59">
        <f ca="1">AVERAGE(OFFSET($R$3,0,0,'Données projet'!$E$9+1,1))-AVERAGE(OFFSET($H$3,0,0,'Données projet'!$E$9+1,1))</f>
        <v>138.8931001150624</v>
      </c>
      <c r="T150" s="59">
        <f t="shared" si="142"/>
        <v>48.964659354096625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-5.3205440053716299E-14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123.60520571614535</v>
      </c>
      <c r="AO150" s="59">
        <f t="shared" si="144"/>
        <v>119.00926870519527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8.5481147677323246E-2</v>
      </c>
      <c r="AV150" s="21">
        <f>EXP(-LN(2)/25)*AV149+(1-EXP(-LN(2)/25))/(LN(2)/25)*Calculateur!AQ150*Calculateur!AS150*VLOOKUP('Données projet'!$B$10,Paramètres!$A$1:$I$89,3,0)*0.475*44/12</f>
        <v>0.1863429121818036</v>
      </c>
      <c r="AW150" s="21">
        <f>EXP(-LN(2)/2)*AW149+(1-EXP(-LN(2)/2))/(LN(2)/2)*AQ150*AT150*VLOOKUP('Données projet'!$B$10,Paramètres!$A$1:$I$89,3,0)*0.475*44/12</f>
        <v>1.4998579275975912E-17</v>
      </c>
      <c r="AX150" s="21">
        <f t="shared" si="114"/>
        <v>0.27182405985912683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-1.1368683772161603E-12</v>
      </c>
      <c r="BE150" s="13">
        <f>BD150*VLOOKUP('Données projet'!$B$11,Paramètres!$A$1:$I$89,3,0)*VLOOKUP('Données projet'!$B$11,Paramètres!$A$1:$I$89,5,0)</f>
        <v>-5.4683368944097316E-13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252.30925789500111</v>
      </c>
      <c r="BJ150" s="59">
        <f t="shared" si="146"/>
        <v>213.96033794804805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0.45657253418202853</v>
      </c>
      <c r="BQ150" s="21">
        <f>EXP(-LN(2)/25)*BQ149+(1-EXP(-LN(2)/25))/(LN(2)/25)*Calculateur!BL150*Calculateur!BN150*VLOOKUP('Données projet'!$B$11,Paramètres!$A$1:$I$89,3,0)*0.475*44/12</f>
        <v>0.36000315870120847</v>
      </c>
      <c r="BR150" s="21">
        <f>EXP(-LN(2)/2)*BR149+(1-EXP(-LN(2)/2))/(LN(2)/2)*BL150*BO150*VLOOKUP('Données projet'!$B$11,Paramètres!$A$1:$I$89,3,0)*0.475*44/12</f>
        <v>3.5271976470538059E-17</v>
      </c>
      <c r="BS150" s="22">
        <f t="shared" si="117"/>
        <v>0.81657569288323706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2.8421709430404007E-14</v>
      </c>
      <c r="O151" s="13">
        <f>N151*VLOOKUP('Données projet'!$B$9,Paramètres!$A$1:$I$89,3,0)*VLOOKUP('Données projet'!$B$9,Paramètres!$A$1:$I$89,5,0)</f>
        <v>2.5715962692629544E-14</v>
      </c>
      <c r="P151" s="13">
        <f t="shared" si="141"/>
        <v>4.5248818890525812E-13</v>
      </c>
      <c r="Q151" s="20">
        <f t="shared" si="108"/>
        <v>8.3287223069965432E-13</v>
      </c>
      <c r="R151" s="59">
        <f t="shared" si="109"/>
        <v>293.33333333333417</v>
      </c>
      <c r="S151" s="59">
        <f ca="1">AVERAGE(OFFSET($R$3,0,0,'Données projet'!$E$9+1,1))-AVERAGE(OFFSET($H$3,0,0,'Données projet'!$E$9+1,1))</f>
        <v>138.8931001150624</v>
      </c>
      <c r="T151" s="59">
        <f t="shared" si="142"/>
        <v>48.964659354096625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-5.3205440053716299E-14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123.60520571614535</v>
      </c>
      <c r="AO151" s="59">
        <f t="shared" si="144"/>
        <v>119.00926870519527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8.3804914509722786E-2</v>
      </c>
      <c r="AV151" s="21">
        <f>EXP(-LN(2)/25)*AV150+(1-EXP(-LN(2)/25))/(LN(2)/25)*Calculateur!AQ151*Calculateur!AS151*VLOOKUP('Données projet'!$B$10,Paramètres!$A$1:$I$89,3,0)*0.475*44/12</f>
        <v>0.18124735544884432</v>
      </c>
      <c r="AW151" s="21">
        <f>EXP(-LN(2)/2)*AW150+(1-EXP(-LN(2)/2))/(LN(2)/2)*AQ151*AT151*VLOOKUP('Données projet'!$B$10,Paramètres!$A$1:$I$89,3,0)*0.475*44/12</f>
        <v>1.0605597114206586E-17</v>
      </c>
      <c r="AX151" s="21">
        <f t="shared" si="114"/>
        <v>0.26505226995856712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-1.1368683772161603E-12</v>
      </c>
      <c r="BE151" s="13">
        <f>BD151*VLOOKUP('Données projet'!$B$11,Paramètres!$A$1:$I$89,3,0)*VLOOKUP('Données projet'!$B$11,Paramètres!$A$1:$I$89,5,0)</f>
        <v>-5.4683368944097316E-13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252.30925789500111</v>
      </c>
      <c r="BJ151" s="59">
        <f t="shared" si="146"/>
        <v>213.96033794804805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0.44761942526846704</v>
      </c>
      <c r="BQ151" s="21">
        <f>EXP(-LN(2)/25)*BQ150+(1-EXP(-LN(2)/25))/(LN(2)/25)*Calculateur!BL151*Calculateur!BN151*VLOOKUP('Données projet'!$B$11,Paramètres!$A$1:$I$89,3,0)*0.475*44/12</f>
        <v>0.35015885339478059</v>
      </c>
      <c r="BR151" s="21">
        <f>EXP(-LN(2)/2)*BR150+(1-EXP(-LN(2)/2))/(LN(2)/2)*BL151*BO151*VLOOKUP('Données projet'!$B$11,Paramètres!$A$1:$I$89,3,0)*0.475*44/12</f>
        <v>2.4941053748169808E-17</v>
      </c>
      <c r="BS151" s="22">
        <f t="shared" si="117"/>
        <v>0.79777827866324769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2.8421709430404007E-14</v>
      </c>
      <c r="O152" s="13">
        <f>N152*VLOOKUP('Données projet'!$B$9,Paramètres!$A$1:$I$89,3,0)*VLOOKUP('Données projet'!$B$9,Paramètres!$A$1:$I$89,5,0)</f>
        <v>2.5715962692629544E-14</v>
      </c>
      <c r="P152" s="13">
        <f t="shared" si="141"/>
        <v>4.5248818890525812E-13</v>
      </c>
      <c r="Q152" s="20">
        <f t="shared" si="108"/>
        <v>8.3287223069965432E-13</v>
      </c>
      <c r="R152" s="59">
        <f t="shared" si="109"/>
        <v>293.33333333333417</v>
      </c>
      <c r="S152" s="59">
        <f ca="1">AVERAGE(OFFSET($R$3,0,0,'Données projet'!$E$9+1,1))-AVERAGE(OFFSET($H$3,0,0,'Données projet'!$E$9+1,1))</f>
        <v>138.8931001150624</v>
      </c>
      <c r="T152" s="59">
        <f t="shared" si="142"/>
        <v>48.964659354096625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-5.3205440053716299E-14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123.60520571614535</v>
      </c>
      <c r="AO152" s="59">
        <f t="shared" si="144"/>
        <v>119.00926870519527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8.2161551252137699E-2</v>
      </c>
      <c r="AV152" s="21">
        <f>EXP(-LN(2)/25)*AV151+(1-EXP(-LN(2)/25))/(LN(2)/25)*Calculateur!AQ152*Calculateur!AS152*VLOOKUP('Données projet'!$B$10,Paramètres!$A$1:$I$89,3,0)*0.475*44/12</f>
        <v>0.17629113698271151</v>
      </c>
      <c r="AW152" s="21">
        <f>EXP(-LN(2)/2)*AW151+(1-EXP(-LN(2)/2))/(LN(2)/2)*AQ152*AT152*VLOOKUP('Données projet'!$B$10,Paramètres!$A$1:$I$89,3,0)*0.475*44/12</f>
        <v>7.4992896379879559E-18</v>
      </c>
      <c r="AX152" s="21">
        <f t="shared" si="114"/>
        <v>0.25845268823484924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-1.1368683772161603E-12</v>
      </c>
      <c r="BE152" s="13">
        <f>BD152*VLOOKUP('Données projet'!$B$11,Paramètres!$A$1:$I$89,3,0)*VLOOKUP('Données projet'!$B$11,Paramètres!$A$1:$I$89,5,0)</f>
        <v>-5.4683368944097316E-13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252.30925789500111</v>
      </c>
      <c r="BJ152" s="59">
        <f t="shared" si="146"/>
        <v>213.96033794804805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0.43884188135984326</v>
      </c>
      <c r="BQ152" s="21">
        <f>EXP(-LN(2)/25)*BQ151+(1-EXP(-LN(2)/25))/(LN(2)/25)*Calculateur!BL152*Calculateur!BN152*VLOOKUP('Données projet'!$B$11,Paramètres!$A$1:$I$89,3,0)*0.475*44/12</f>
        <v>0.34058374113464651</v>
      </c>
      <c r="BR152" s="21">
        <f>EXP(-LN(2)/2)*BR151+(1-EXP(-LN(2)/2))/(LN(2)/2)*BL152*BO152*VLOOKUP('Données projet'!$B$11,Paramètres!$A$1:$I$89,3,0)*0.475*44/12</f>
        <v>1.7635988235269029E-17</v>
      </c>
      <c r="BS152" s="22">
        <f t="shared" si="117"/>
        <v>0.77942562249448977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2.8421709430404007E-14</v>
      </c>
      <c r="O153" s="13">
        <f>N153*VLOOKUP('Données projet'!$B$9,Paramètres!$A$1:$I$89,3,0)*VLOOKUP('Données projet'!$B$9,Paramètres!$A$1:$I$89,5,0)</f>
        <v>2.5715962692629544E-14</v>
      </c>
      <c r="P153" s="13">
        <f t="shared" si="141"/>
        <v>4.5248818890525812E-13</v>
      </c>
      <c r="Q153" s="20">
        <f t="shared" si="108"/>
        <v>8.3287223069965432E-13</v>
      </c>
      <c r="R153" s="59">
        <f t="shared" si="109"/>
        <v>293.33333333333417</v>
      </c>
      <c r="S153" s="59">
        <f ca="1">AVERAGE(OFFSET($R$3,0,0,'Données projet'!$E$9+1,1))-AVERAGE(OFFSET($H$3,0,0,'Données projet'!$E$9+1,1))</f>
        <v>138.8931001150624</v>
      </c>
      <c r="T153" s="59">
        <f t="shared" si="142"/>
        <v>48.964659354096625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-5.3205440053716299E-14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123.60520571614535</v>
      </c>
      <c r="AO153" s="59">
        <f t="shared" si="144"/>
        <v>119.00926870519527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8.0550413345681235E-2</v>
      </c>
      <c r="AV153" s="21">
        <f>EXP(-LN(2)/25)*AV152+(1-EXP(-LN(2)/25))/(LN(2)/25)*Calculateur!AQ153*Calculateur!AS153*VLOOKUP('Données projet'!$B$10,Paramètres!$A$1:$I$89,3,0)*0.475*44/12</f>
        <v>0.17147044657117128</v>
      </c>
      <c r="AW153" s="21">
        <f>EXP(-LN(2)/2)*AW152+(1-EXP(-LN(2)/2))/(LN(2)/2)*AQ153*AT153*VLOOKUP('Données projet'!$B$10,Paramètres!$A$1:$I$89,3,0)*0.475*44/12</f>
        <v>5.3027985571032928E-18</v>
      </c>
      <c r="AX153" s="21">
        <f t="shared" si="114"/>
        <v>0.25202085991685252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-1.1368683772161603E-12</v>
      </c>
      <c r="BE153" s="13">
        <f>BD153*VLOOKUP('Données projet'!$B$11,Paramètres!$A$1:$I$89,3,0)*VLOOKUP('Données projet'!$B$11,Paramètres!$A$1:$I$89,5,0)</f>
        <v>-5.4683368944097316E-13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252.30925789500111</v>
      </c>
      <c r="BJ153" s="59">
        <f t="shared" si="146"/>
        <v>213.96033794804805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0.43023645973349445</v>
      </c>
      <c r="BQ153" s="21">
        <f>EXP(-LN(2)/25)*BQ152+(1-EXP(-LN(2)/25))/(LN(2)/25)*Calculateur!BL153*Calculateur!BN153*VLOOKUP('Données projet'!$B$11,Paramètres!$A$1:$I$89,3,0)*0.475*44/12</f>
        <v>0.3312704608227991</v>
      </c>
      <c r="BR153" s="21">
        <f>EXP(-LN(2)/2)*BR152+(1-EXP(-LN(2)/2))/(LN(2)/2)*BL153*BO153*VLOOKUP('Données projet'!$B$11,Paramètres!$A$1:$I$89,3,0)*0.475*44/12</f>
        <v>1.2470526874084904E-17</v>
      </c>
      <c r="BS153" s="22">
        <f t="shared" si="117"/>
        <v>0.76150692055629354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2.8421709430404007E-14</v>
      </c>
      <c r="O154" s="13">
        <f>N154*VLOOKUP('Données projet'!$B$9,Paramètres!$A$1:$I$89,3,0)*VLOOKUP('Données projet'!$B$9,Paramètres!$A$1:$I$89,5,0)</f>
        <v>2.5715962692629544E-14</v>
      </c>
      <c r="P154" s="13">
        <f t="shared" si="141"/>
        <v>4.5248818890525812E-13</v>
      </c>
      <c r="Q154" s="20">
        <f t="shared" ref="Q154:Q203" si="162">(O154+P154)*0.475*44/12</f>
        <v>8.3287223069965432E-13</v>
      </c>
      <c r="R154" s="59">
        <f t="shared" si="109"/>
        <v>293.33333333333417</v>
      </c>
      <c r="S154" s="59">
        <f ca="1">AVERAGE(OFFSET($R$3,0,0,'Données projet'!$E$9+1,1))-AVERAGE(OFFSET($H$3,0,0,'Données projet'!$E$9+1,1))</f>
        <v>138.8931001150624</v>
      </c>
      <c r="T154" s="59">
        <f t="shared" si="142"/>
        <v>48.964659354096625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-5.3205440053716299E-14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123.60520571614535</v>
      </c>
      <c r="AO154" s="59">
        <f t="shared" si="144"/>
        <v>119.00926870519527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7.897086887087329E-2</v>
      </c>
      <c r="AV154" s="21">
        <f>EXP(-LN(2)/25)*AV153+(1-EXP(-LN(2)/25))/(LN(2)/25)*Calculateur!AQ154*Calculateur!AS154*VLOOKUP('Données projet'!$B$10,Paramètres!$A$1:$I$89,3,0)*0.475*44/12</f>
        <v>0.16678157819244371</v>
      </c>
      <c r="AW154" s="21">
        <f>EXP(-LN(2)/2)*AW153+(1-EXP(-LN(2)/2))/(LN(2)/2)*AQ154*AT154*VLOOKUP('Données projet'!$B$10,Paramètres!$A$1:$I$89,3,0)*0.475*44/12</f>
        <v>3.7496448189939779E-18</v>
      </c>
      <c r="AX154" s="21">
        <f t="shared" ref="AX154:AX203" si="166">SUM(AU154:AW154)</f>
        <v>0.245752447063317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-1.1368683772161603E-12</v>
      </c>
      <c r="BE154" s="13">
        <f>BD154*VLOOKUP('Données projet'!$B$11,Paramètres!$A$1:$I$89,3,0)*VLOOKUP('Données projet'!$B$11,Paramètres!$A$1:$I$89,5,0)</f>
        <v>-5.4683368944097316E-13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252.30925789500111</v>
      </c>
      <c r="BJ154" s="59">
        <f t="shared" si="146"/>
        <v>213.96033794804805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0.42179978517644939</v>
      </c>
      <c r="BQ154" s="21">
        <f>EXP(-LN(2)/25)*BQ153+(1-EXP(-LN(2)/25))/(LN(2)/25)*Calculateur!BL154*Calculateur!BN154*VLOOKUP('Données projet'!$B$11,Paramètres!$A$1:$I$89,3,0)*0.475*44/12</f>
        <v>0.32221185265084323</v>
      </c>
      <c r="BR154" s="21">
        <f>EXP(-LN(2)/2)*BR153+(1-EXP(-LN(2)/2))/(LN(2)/2)*BL154*BO154*VLOOKUP('Données projet'!$B$11,Paramètres!$A$1:$I$89,3,0)*0.475*44/12</f>
        <v>8.8179941176345147E-18</v>
      </c>
      <c r="BS154" s="22">
        <f t="shared" ref="BS154:BS203" si="169">SUM(BP154:BR154)</f>
        <v>0.74401163782729263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2.8421709430404007E-14</v>
      </c>
      <c r="O155" s="13">
        <f>N155*VLOOKUP('Données projet'!$B$9,Paramètres!$A$1:$I$89,3,0)*VLOOKUP('Données projet'!$B$9,Paramètres!$A$1:$I$89,5,0)</f>
        <v>2.5715962692629544E-14</v>
      </c>
      <c r="P155" s="13">
        <f t="shared" si="141"/>
        <v>4.5248818890525812E-13</v>
      </c>
      <c r="Q155" s="20">
        <f t="shared" si="162"/>
        <v>8.3287223069965432E-13</v>
      </c>
      <c r="R155" s="59">
        <f t="shared" si="109"/>
        <v>293.33333333333417</v>
      </c>
      <c r="S155" s="59">
        <f ca="1">AVERAGE(OFFSET($R$3,0,0,'Données projet'!$E$9+1,1))-AVERAGE(OFFSET($H$3,0,0,'Données projet'!$E$9+1,1))</f>
        <v>138.8931001150624</v>
      </c>
      <c r="T155" s="59">
        <f t="shared" si="142"/>
        <v>48.964659354096625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-5.3205440053716299E-14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123.60520571614535</v>
      </c>
      <c r="AO155" s="59">
        <f t="shared" si="144"/>
        <v>119.00926870519527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7.7422298299789333E-2</v>
      </c>
      <c r="AV155" s="21">
        <f>EXP(-LN(2)/25)*AV154+(1-EXP(-LN(2)/25))/(LN(2)/25)*Calculateur!AQ155*Calculateur!AS155*VLOOKUP('Données projet'!$B$10,Paramètres!$A$1:$I$89,3,0)*0.475*44/12</f>
        <v>0.16222092716610934</v>
      </c>
      <c r="AW155" s="21">
        <f>EXP(-LN(2)/2)*AW154+(1-EXP(-LN(2)/2))/(LN(2)/2)*AQ155*AT155*VLOOKUP('Données projet'!$B$10,Paramètres!$A$1:$I$89,3,0)*0.475*44/12</f>
        <v>2.6513992785516464E-18</v>
      </c>
      <c r="AX155" s="21">
        <f t="shared" si="166"/>
        <v>0.23964322546589867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-1.1368683772161603E-12</v>
      </c>
      <c r="BE155" s="13">
        <f>BD155*VLOOKUP('Données projet'!$B$11,Paramètres!$A$1:$I$89,3,0)*VLOOKUP('Données projet'!$B$11,Paramètres!$A$1:$I$89,5,0)</f>
        <v>-5.4683368944097316E-13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252.30925789500111</v>
      </c>
      <c r="BJ155" s="59">
        <f t="shared" si="146"/>
        <v>213.96033794804805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0.41352854866160466</v>
      </c>
      <c r="BQ155" s="21">
        <f>EXP(-LN(2)/25)*BQ154+(1-EXP(-LN(2)/25))/(LN(2)/25)*Calculateur!BL155*Calculateur!BN155*VLOOKUP('Données projet'!$B$11,Paramètres!$A$1:$I$89,3,0)*0.475*44/12</f>
        <v>0.31340095259572104</v>
      </c>
      <c r="BR155" s="21">
        <f>EXP(-LN(2)/2)*BR154+(1-EXP(-LN(2)/2))/(LN(2)/2)*BL155*BO155*VLOOKUP('Données projet'!$B$11,Paramètres!$A$1:$I$89,3,0)*0.475*44/12</f>
        <v>6.2352634370424521E-18</v>
      </c>
      <c r="BS155" s="22">
        <f t="shared" si="169"/>
        <v>0.72692950125732569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2.8421709430404007E-14</v>
      </c>
      <c r="O156" s="13">
        <f>N156*VLOOKUP('Données projet'!$B$9,Paramètres!$A$1:$I$89,3,0)*VLOOKUP('Données projet'!$B$9,Paramètres!$A$1:$I$89,5,0)</f>
        <v>2.5715962692629544E-14</v>
      </c>
      <c r="P156" s="13">
        <f t="shared" si="141"/>
        <v>4.5248818890525812E-13</v>
      </c>
      <c r="Q156" s="20">
        <f t="shared" si="162"/>
        <v>8.3287223069965432E-13</v>
      </c>
      <c r="R156" s="59">
        <f t="shared" si="109"/>
        <v>293.33333333333417</v>
      </c>
      <c r="S156" s="59">
        <f ca="1">AVERAGE(OFFSET($R$3,0,0,'Données projet'!$E$9+1,1))-AVERAGE(OFFSET($H$3,0,0,'Données projet'!$E$9+1,1))</f>
        <v>138.8931001150624</v>
      </c>
      <c r="T156" s="59">
        <f t="shared" si="142"/>
        <v>48.964659354096625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-5.3205440053716299E-14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123.60520571614535</v>
      </c>
      <c r="AO156" s="59">
        <f t="shared" si="144"/>
        <v>119.00926870519527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7.5904094253069543E-2</v>
      </c>
      <c r="AV156" s="21">
        <f>EXP(-LN(2)/25)*AV155+(1-EXP(-LN(2)/25))/(LN(2)/25)*Calculateur!AQ156*Calculateur!AS156*VLOOKUP('Données projet'!$B$10,Paramètres!$A$1:$I$89,3,0)*0.475*44/12</f>
        <v>0.15778498738192429</v>
      </c>
      <c r="AW156" s="21">
        <f>EXP(-LN(2)/2)*AW155+(1-EXP(-LN(2)/2))/(LN(2)/2)*AQ156*AT156*VLOOKUP('Données projet'!$B$10,Paramètres!$A$1:$I$89,3,0)*0.475*44/12</f>
        <v>1.874822409496989E-18</v>
      </c>
      <c r="AX156" s="21">
        <f t="shared" si="166"/>
        <v>0.23368908163499383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-1.1368683772161603E-12</v>
      </c>
      <c r="BE156" s="13">
        <f>BD156*VLOOKUP('Données projet'!$B$11,Paramètres!$A$1:$I$89,3,0)*VLOOKUP('Données projet'!$B$11,Paramètres!$A$1:$I$89,5,0)</f>
        <v>-5.4683368944097316E-13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252.30925789500111</v>
      </c>
      <c r="BJ156" s="59">
        <f t="shared" si="146"/>
        <v>213.96033794804805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0.40541950604985988</v>
      </c>
      <c r="BQ156" s="21">
        <f>EXP(-LN(2)/25)*BQ155+(1-EXP(-LN(2)/25))/(LN(2)/25)*Calculateur!BL156*Calculateur!BN156*VLOOKUP('Données projet'!$B$11,Paramètres!$A$1:$I$89,3,0)*0.475*44/12</f>
        <v>0.30483098706595124</v>
      </c>
      <c r="BR156" s="21">
        <f>EXP(-LN(2)/2)*BR155+(1-EXP(-LN(2)/2))/(LN(2)/2)*BL156*BO156*VLOOKUP('Données projet'!$B$11,Paramètres!$A$1:$I$89,3,0)*0.475*44/12</f>
        <v>4.4089970588172574E-18</v>
      </c>
      <c r="BS156" s="22">
        <f t="shared" si="169"/>
        <v>0.71025049311581112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2.8421709430404007E-14</v>
      </c>
      <c r="O157" s="13">
        <f>N157*VLOOKUP('Données projet'!$B$9,Paramètres!$A$1:$I$89,3,0)*VLOOKUP('Données projet'!$B$9,Paramètres!$A$1:$I$89,5,0)</f>
        <v>2.5715962692629544E-14</v>
      </c>
      <c r="P157" s="13">
        <f t="shared" si="141"/>
        <v>4.5248818890525812E-13</v>
      </c>
      <c r="Q157" s="20">
        <f t="shared" si="162"/>
        <v>8.3287223069965432E-13</v>
      </c>
      <c r="R157" s="59">
        <f t="shared" si="109"/>
        <v>293.33333333333417</v>
      </c>
      <c r="S157" s="59">
        <f ca="1">AVERAGE(OFFSET($R$3,0,0,'Données projet'!$E$9+1,1))-AVERAGE(OFFSET($H$3,0,0,'Données projet'!$E$9+1,1))</f>
        <v>138.8931001150624</v>
      </c>
      <c r="T157" s="59">
        <f t="shared" si="142"/>
        <v>48.964659354096625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-5.3205440053716299E-14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123.60520571614535</v>
      </c>
      <c r="AO157" s="59">
        <f t="shared" si="144"/>
        <v>119.00926870519527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7.4415661261692898E-2</v>
      </c>
      <c r="AV157" s="21">
        <f>EXP(-LN(2)/25)*AV156+(1-EXP(-LN(2)/25))/(LN(2)/25)*Calculateur!AQ157*Calculateur!AS157*VLOOKUP('Données projet'!$B$10,Paramètres!$A$1:$I$89,3,0)*0.475*44/12</f>
        <v>0.15347034860441369</v>
      </c>
      <c r="AW157" s="21">
        <f>EXP(-LN(2)/2)*AW156+(1-EXP(-LN(2)/2))/(LN(2)/2)*AQ157*AT157*VLOOKUP('Données projet'!$B$10,Paramètres!$A$1:$I$89,3,0)*0.475*44/12</f>
        <v>1.3256996392758232E-18</v>
      </c>
      <c r="AX157" s="21">
        <f t="shared" si="166"/>
        <v>0.22788600986610658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-1.1368683772161603E-12</v>
      </c>
      <c r="BE157" s="13">
        <f>BD157*VLOOKUP('Données projet'!$B$11,Paramètres!$A$1:$I$89,3,0)*VLOOKUP('Données projet'!$B$11,Paramètres!$A$1:$I$89,5,0)</f>
        <v>-5.4683368944097316E-13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252.30925789500111</v>
      </c>
      <c r="BJ157" s="59">
        <f t="shared" si="146"/>
        <v>213.96033794804805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0.39746947681770378</v>
      </c>
      <c r="BQ157" s="21">
        <f>EXP(-LN(2)/25)*BQ156+(1-EXP(-LN(2)/25))/(LN(2)/25)*Calculateur!BL157*Calculateur!BN157*VLOOKUP('Données projet'!$B$11,Paramètres!$A$1:$I$89,3,0)*0.475*44/12</f>
        <v>0.29649536769426788</v>
      </c>
      <c r="BR157" s="21">
        <f>EXP(-LN(2)/2)*BR156+(1-EXP(-LN(2)/2))/(LN(2)/2)*BL157*BO157*VLOOKUP('Données projet'!$B$11,Paramètres!$A$1:$I$89,3,0)*0.475*44/12</f>
        <v>3.117631718521226E-18</v>
      </c>
      <c r="BS157" s="22">
        <f t="shared" si="169"/>
        <v>0.69396484451197171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2.8421709430404007E-14</v>
      </c>
      <c r="O158" s="13">
        <f>N158*VLOOKUP('Données projet'!$B$9,Paramètres!$A$1:$I$89,3,0)*VLOOKUP('Données projet'!$B$9,Paramètres!$A$1:$I$89,5,0)</f>
        <v>2.5715962692629544E-14</v>
      </c>
      <c r="P158" s="13">
        <f t="shared" si="141"/>
        <v>4.5248818890525812E-13</v>
      </c>
      <c r="Q158" s="20">
        <f t="shared" si="162"/>
        <v>8.3287223069965432E-13</v>
      </c>
      <c r="R158" s="59">
        <f t="shared" si="109"/>
        <v>293.33333333333417</v>
      </c>
      <c r="S158" s="59">
        <f ca="1">AVERAGE(OFFSET($R$3,0,0,'Données projet'!$E$9+1,1))-AVERAGE(OFFSET($H$3,0,0,'Données projet'!$E$9+1,1))</f>
        <v>138.8931001150624</v>
      </c>
      <c r="T158" s="59">
        <f t="shared" si="142"/>
        <v>48.964659354096625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-5.3205440053716299E-14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123.60520571614535</v>
      </c>
      <c r="AO158" s="59">
        <f t="shared" si="144"/>
        <v>119.00926870519527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7.2956415533422678E-2</v>
      </c>
      <c r="AV158" s="21">
        <f>EXP(-LN(2)/25)*AV157+(1-EXP(-LN(2)/25))/(LN(2)/25)*Calculateur!AQ158*Calculateur!AS158*VLOOKUP('Données projet'!$B$10,Paramètres!$A$1:$I$89,3,0)*0.475*44/12</f>
        <v>0.14927369385117112</v>
      </c>
      <c r="AW158" s="21">
        <f>EXP(-LN(2)/2)*AW157+(1-EXP(-LN(2)/2))/(LN(2)/2)*AQ158*AT158*VLOOKUP('Données projet'!$B$10,Paramètres!$A$1:$I$89,3,0)*0.475*44/12</f>
        <v>9.3741120474849448E-19</v>
      </c>
      <c r="AX158" s="21">
        <f t="shared" si="166"/>
        <v>0.22223010938459381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-1.1368683772161603E-12</v>
      </c>
      <c r="BE158" s="13">
        <f>BD158*VLOOKUP('Données projet'!$B$11,Paramètres!$A$1:$I$89,3,0)*VLOOKUP('Données projet'!$B$11,Paramètres!$A$1:$I$89,5,0)</f>
        <v>-5.4683368944097316E-13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252.30925789500111</v>
      </c>
      <c r="BJ158" s="59">
        <f t="shared" si="146"/>
        <v>213.96033794804805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0.38967534280975125</v>
      </c>
      <c r="BQ158" s="21">
        <f>EXP(-LN(2)/25)*BQ157+(1-EXP(-LN(2)/25))/(LN(2)/25)*Calculateur!BL158*Calculateur!BN158*VLOOKUP('Données projet'!$B$11,Paramètres!$A$1:$I$89,3,0)*0.475*44/12</f>
        <v>0.28838768627265438</v>
      </c>
      <c r="BR158" s="21">
        <f>EXP(-LN(2)/2)*BR157+(1-EXP(-LN(2)/2))/(LN(2)/2)*BL158*BO158*VLOOKUP('Données projet'!$B$11,Paramètres!$A$1:$I$89,3,0)*0.475*44/12</f>
        <v>2.2044985294086287E-18</v>
      </c>
      <c r="BS158" s="22">
        <f t="shared" si="169"/>
        <v>0.67806302908240568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2.8421709430404007E-14</v>
      </c>
      <c r="O159" s="13">
        <f>N159*VLOOKUP('Données projet'!$B$9,Paramètres!$A$1:$I$89,3,0)*VLOOKUP('Données projet'!$B$9,Paramètres!$A$1:$I$89,5,0)</f>
        <v>2.5715962692629544E-14</v>
      </c>
      <c r="P159" s="13">
        <f t="shared" si="141"/>
        <v>4.5248818890525812E-13</v>
      </c>
      <c r="Q159" s="20">
        <f t="shared" si="162"/>
        <v>8.3287223069965432E-13</v>
      </c>
      <c r="R159" s="59">
        <f t="shared" si="109"/>
        <v>293.33333333333417</v>
      </c>
      <c r="S159" s="59">
        <f ca="1">AVERAGE(OFFSET($R$3,0,0,'Données projet'!$E$9+1,1))-AVERAGE(OFFSET($H$3,0,0,'Données projet'!$E$9+1,1))</f>
        <v>138.8931001150624</v>
      </c>
      <c r="T159" s="59">
        <f t="shared" si="142"/>
        <v>48.964659354096625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-5.3205440053716299E-14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123.60520571614535</v>
      </c>
      <c r="AO159" s="59">
        <f t="shared" si="144"/>
        <v>119.00926870519527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7.1525784723831823E-2</v>
      </c>
      <c r="AV159" s="21">
        <f>EXP(-LN(2)/25)*AV158+(1-EXP(-LN(2)/25))/(LN(2)/25)*Calculateur!AQ159*Calculateur!AS159*VLOOKUP('Données projet'!$B$10,Paramètres!$A$1:$I$89,3,0)*0.475*44/12</f>
        <v>0.14519179684284844</v>
      </c>
      <c r="AW159" s="21">
        <f>EXP(-LN(2)/2)*AW158+(1-EXP(-LN(2)/2))/(LN(2)/2)*AQ159*AT159*VLOOKUP('Données projet'!$B$10,Paramètres!$A$1:$I$89,3,0)*0.475*44/12</f>
        <v>6.628498196379116E-19</v>
      </c>
      <c r="AX159" s="21">
        <f t="shared" si="166"/>
        <v>0.21671758156668025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-1.1368683772161603E-12</v>
      </c>
      <c r="BE159" s="13">
        <f>BD159*VLOOKUP('Données projet'!$B$11,Paramètres!$A$1:$I$89,3,0)*VLOOKUP('Données projet'!$B$11,Paramètres!$A$1:$I$89,5,0)</f>
        <v>-5.4683368944097316E-13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252.30925789500111</v>
      </c>
      <c r="BJ159" s="59">
        <f t="shared" si="146"/>
        <v>213.96033794804805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0.38203404701574234</v>
      </c>
      <c r="BQ159" s="21">
        <f>EXP(-LN(2)/25)*BQ158+(1-EXP(-LN(2)/25))/(LN(2)/25)*Calculateur!BL159*Calculateur!BN159*VLOOKUP('Données projet'!$B$11,Paramètres!$A$1:$I$89,3,0)*0.475*44/12</f>
        <v>0.28050170982587935</v>
      </c>
      <c r="BR159" s="21">
        <f>EXP(-LN(2)/2)*BR158+(1-EXP(-LN(2)/2))/(LN(2)/2)*BL159*BO159*VLOOKUP('Données projet'!$B$11,Paramètres!$A$1:$I$89,3,0)*0.475*44/12</f>
        <v>1.558815859260613E-18</v>
      </c>
      <c r="BS159" s="22">
        <f t="shared" si="169"/>
        <v>0.66253575684162169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2.8421709430404007E-14</v>
      </c>
      <c r="O160" s="13">
        <f>N160*VLOOKUP('Données projet'!$B$9,Paramètres!$A$1:$I$89,3,0)*VLOOKUP('Données projet'!$B$9,Paramètres!$A$1:$I$89,5,0)</f>
        <v>2.5715962692629544E-14</v>
      </c>
      <c r="P160" s="13">
        <f t="shared" si="141"/>
        <v>4.5248818890525812E-13</v>
      </c>
      <c r="Q160" s="20">
        <f t="shared" si="162"/>
        <v>8.3287223069965432E-13</v>
      </c>
      <c r="R160" s="59">
        <f t="shared" si="109"/>
        <v>293.33333333333417</v>
      </c>
      <c r="S160" s="59">
        <f ca="1">AVERAGE(OFFSET($R$3,0,0,'Données projet'!$E$9+1,1))-AVERAGE(OFFSET($H$3,0,0,'Données projet'!$E$9+1,1))</f>
        <v>138.8931001150624</v>
      </c>
      <c r="T160" s="59">
        <f t="shared" si="142"/>
        <v>48.964659354096625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-5.3205440053716299E-14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123.60520571614535</v>
      </c>
      <c r="AO160" s="59">
        <f t="shared" si="144"/>
        <v>119.00926870519527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7.0123207711818417E-2</v>
      </c>
      <c r="AV160" s="21">
        <f>EXP(-LN(2)/25)*AV159+(1-EXP(-LN(2)/25))/(LN(2)/25)*Calculateur!AQ160*Calculateur!AS160*VLOOKUP('Données projet'!$B$10,Paramètres!$A$1:$I$89,3,0)*0.475*44/12</f>
        <v>0.14122151952287598</v>
      </c>
      <c r="AW160" s="21">
        <f>EXP(-LN(2)/2)*AW159+(1-EXP(-LN(2)/2))/(LN(2)/2)*AQ160*AT160*VLOOKUP('Données projet'!$B$10,Paramètres!$A$1:$I$89,3,0)*0.475*44/12</f>
        <v>4.6870560237424724E-19</v>
      </c>
      <c r="AX160" s="21">
        <f t="shared" si="166"/>
        <v>0.21134472723469439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-1.1368683772161603E-12</v>
      </c>
      <c r="BE160" s="13">
        <f>BD160*VLOOKUP('Données projet'!$B$11,Paramètres!$A$1:$I$89,3,0)*VLOOKUP('Données projet'!$B$11,Paramètres!$A$1:$I$89,5,0)</f>
        <v>-5.4683368944097316E-13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252.30925789500111</v>
      </c>
      <c r="BJ160" s="59">
        <f t="shared" si="146"/>
        <v>213.96033794804805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0.37454259237152371</v>
      </c>
      <c r="BQ160" s="21">
        <f>EXP(-LN(2)/25)*BQ159+(1-EXP(-LN(2)/25))/(LN(2)/25)*Calculateur!BL160*Calculateur!BN160*VLOOKUP('Données projet'!$B$11,Paramètres!$A$1:$I$89,3,0)*0.475*44/12</f>
        <v>0.27283137581974687</v>
      </c>
      <c r="BR160" s="21">
        <f>EXP(-LN(2)/2)*BR159+(1-EXP(-LN(2)/2))/(LN(2)/2)*BL160*BO160*VLOOKUP('Données projet'!$B$11,Paramètres!$A$1:$I$89,3,0)*0.475*44/12</f>
        <v>1.1022492647043143E-18</v>
      </c>
      <c r="BS160" s="22">
        <f t="shared" si="169"/>
        <v>0.64737396819127058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2.8421709430404007E-14</v>
      </c>
      <c r="O161" s="13">
        <f>N161*VLOOKUP('Données projet'!$B$9,Paramètres!$A$1:$I$89,3,0)*VLOOKUP('Données projet'!$B$9,Paramètres!$A$1:$I$89,5,0)</f>
        <v>2.5715962692629544E-14</v>
      </c>
      <c r="P161" s="13">
        <f t="shared" si="141"/>
        <v>4.5248818890525812E-13</v>
      </c>
      <c r="Q161" s="20">
        <f t="shared" si="162"/>
        <v>8.3287223069965432E-13</v>
      </c>
      <c r="R161" s="59">
        <f t="shared" si="109"/>
        <v>293.33333333333417</v>
      </c>
      <c r="S161" s="59">
        <f ca="1">AVERAGE(OFFSET($R$3,0,0,'Données projet'!$E$9+1,1))-AVERAGE(OFFSET($H$3,0,0,'Données projet'!$E$9+1,1))</f>
        <v>138.8931001150624</v>
      </c>
      <c r="T161" s="59">
        <f t="shared" si="142"/>
        <v>48.964659354096625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-5.3205440053716299E-14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123.60520571614535</v>
      </c>
      <c r="AO161" s="59">
        <f t="shared" si="144"/>
        <v>119.00926870519527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6.8748134379523082E-2</v>
      </c>
      <c r="AV161" s="21">
        <f>EXP(-LN(2)/25)*AV160+(1-EXP(-LN(2)/25))/(LN(2)/25)*Calculateur!AQ161*Calculateur!AS161*VLOOKUP('Données projet'!$B$10,Paramètres!$A$1:$I$89,3,0)*0.475*44/12</f>
        <v>0.13735980964500599</v>
      </c>
      <c r="AW161" s="21">
        <f>EXP(-LN(2)/2)*AW160+(1-EXP(-LN(2)/2))/(LN(2)/2)*AQ161*AT161*VLOOKUP('Données projet'!$B$10,Paramètres!$A$1:$I$89,3,0)*0.475*44/12</f>
        <v>3.314249098189558E-19</v>
      </c>
      <c r="AX161" s="21">
        <f t="shared" si="166"/>
        <v>0.20610794402452909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-1.1368683772161603E-12</v>
      </c>
      <c r="BE161" s="13">
        <f>BD161*VLOOKUP('Données projet'!$B$11,Paramètres!$A$1:$I$89,3,0)*VLOOKUP('Données projet'!$B$11,Paramètres!$A$1:$I$89,5,0)</f>
        <v>-5.4683368944097316E-13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252.30925789500111</v>
      </c>
      <c r="BJ161" s="59">
        <f t="shared" si="146"/>
        <v>213.96033794804805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0.36719804058354205</v>
      </c>
      <c r="BQ161" s="21">
        <f>EXP(-LN(2)/25)*BQ160+(1-EXP(-LN(2)/25))/(LN(2)/25)*Calculateur!BL161*Calculateur!BN161*VLOOKUP('Données projet'!$B$11,Paramètres!$A$1:$I$89,3,0)*0.475*44/12</f>
        <v>0.2653707875003774</v>
      </c>
      <c r="BR161" s="21">
        <f>EXP(-LN(2)/2)*BR160+(1-EXP(-LN(2)/2))/(LN(2)/2)*BL161*BO161*VLOOKUP('Données projet'!$B$11,Paramètres!$A$1:$I$89,3,0)*0.475*44/12</f>
        <v>7.7940792963030651E-19</v>
      </c>
      <c r="BS161" s="22">
        <f t="shared" si="169"/>
        <v>0.63256882808391945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2.8421709430404007E-14</v>
      </c>
      <c r="O162" s="13">
        <f>N162*VLOOKUP('Données projet'!$B$9,Paramètres!$A$1:$I$89,3,0)*VLOOKUP('Données projet'!$B$9,Paramètres!$A$1:$I$89,5,0)</f>
        <v>2.5715962692629544E-14</v>
      </c>
      <c r="P162" s="13">
        <f t="shared" si="141"/>
        <v>4.5248818890525812E-13</v>
      </c>
      <c r="Q162" s="20">
        <f t="shared" si="162"/>
        <v>8.3287223069965432E-13</v>
      </c>
      <c r="R162" s="59">
        <f t="shared" si="109"/>
        <v>293.33333333333417</v>
      </c>
      <c r="S162" s="59">
        <f ca="1">AVERAGE(OFFSET($R$3,0,0,'Données projet'!$E$9+1,1))-AVERAGE(OFFSET($H$3,0,0,'Données projet'!$E$9+1,1))</f>
        <v>138.8931001150624</v>
      </c>
      <c r="T162" s="59">
        <f t="shared" si="142"/>
        <v>48.964659354096625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-5.3205440053716299E-14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123.60520571614535</v>
      </c>
      <c r="AO162" s="59">
        <f t="shared" si="144"/>
        <v>119.00926870519527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6.7400025396562147E-2</v>
      </c>
      <c r="AV162" s="21">
        <f>EXP(-LN(2)/25)*AV161+(1-EXP(-LN(2)/25))/(LN(2)/25)*Calculateur!AQ162*Calculateur!AS162*VLOOKUP('Données projet'!$B$10,Paramètres!$A$1:$I$89,3,0)*0.475*44/12</f>
        <v>0.13360369842682485</v>
      </c>
      <c r="AW162" s="21">
        <f>EXP(-LN(2)/2)*AW161+(1-EXP(-LN(2)/2))/(LN(2)/2)*AQ162*AT162*VLOOKUP('Données projet'!$B$10,Paramètres!$A$1:$I$89,3,0)*0.475*44/12</f>
        <v>2.3435280118712362E-19</v>
      </c>
      <c r="AX162" s="21">
        <f t="shared" si="166"/>
        <v>0.20100372382338699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-1.1368683772161603E-12</v>
      </c>
      <c r="BE162" s="13">
        <f>BD162*VLOOKUP('Données projet'!$B$11,Paramètres!$A$1:$I$89,3,0)*VLOOKUP('Données projet'!$B$11,Paramètres!$A$1:$I$89,5,0)</f>
        <v>-5.4683368944097316E-13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252.30925789500111</v>
      </c>
      <c r="BJ162" s="59">
        <f t="shared" si="146"/>
        <v>213.96033794804805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0.35999751097638849</v>
      </c>
      <c r="BQ162" s="21">
        <f>EXP(-LN(2)/25)*BQ161+(1-EXP(-LN(2)/25))/(LN(2)/25)*Calculateur!BL162*Calculateur!BN162*VLOOKUP('Données projet'!$B$11,Paramètres!$A$1:$I$89,3,0)*0.475*44/12</f>
        <v>0.25811420936093638</v>
      </c>
      <c r="BR162" s="21">
        <f>EXP(-LN(2)/2)*BR161+(1-EXP(-LN(2)/2))/(LN(2)/2)*BL162*BO162*VLOOKUP('Données projet'!$B$11,Paramètres!$A$1:$I$89,3,0)*0.475*44/12</f>
        <v>5.5112463235215717E-19</v>
      </c>
      <c r="BS162" s="22">
        <f t="shared" si="169"/>
        <v>0.61811172033732487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2.8421709430404007E-14</v>
      </c>
      <c r="O163" s="13">
        <f>N163*VLOOKUP('Données projet'!$B$9,Paramètres!$A$1:$I$89,3,0)*VLOOKUP('Données projet'!$B$9,Paramètres!$A$1:$I$89,5,0)</f>
        <v>2.5715962692629544E-14</v>
      </c>
      <c r="P163" s="13">
        <f t="shared" si="141"/>
        <v>4.5248818890525812E-13</v>
      </c>
      <c r="Q163" s="20">
        <f t="shared" si="162"/>
        <v>8.3287223069965432E-13</v>
      </c>
      <c r="R163" s="59">
        <f t="shared" si="109"/>
        <v>293.33333333333417</v>
      </c>
      <c r="S163" s="59">
        <f ca="1">AVERAGE(OFFSET($R$3,0,0,'Données projet'!$E$9+1,1))-AVERAGE(OFFSET($H$3,0,0,'Données projet'!$E$9+1,1))</f>
        <v>138.8931001150624</v>
      </c>
      <c r="T163" s="59">
        <f t="shared" si="142"/>
        <v>48.964659354096625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-5.3205440053716299E-14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123.60520571614535</v>
      </c>
      <c r="AO163" s="59">
        <f t="shared" si="144"/>
        <v>119.00926870519527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6.6078352008491784E-2</v>
      </c>
      <c r="AV163" s="21">
        <f>EXP(-LN(2)/25)*AV162+(1-EXP(-LN(2)/25))/(LN(2)/25)*Calculateur!AQ163*Calculateur!AS163*VLOOKUP('Données projet'!$B$10,Paramètres!$A$1:$I$89,3,0)*0.475*44/12</f>
        <v>0.12995029826743018</v>
      </c>
      <c r="AW163" s="21">
        <f>EXP(-LN(2)/2)*AW162+(1-EXP(-LN(2)/2))/(LN(2)/2)*AQ163*AT163*VLOOKUP('Données projet'!$B$10,Paramètres!$A$1:$I$89,3,0)*0.475*44/12</f>
        <v>1.657124549094779E-19</v>
      </c>
      <c r="AX163" s="21">
        <f t="shared" si="166"/>
        <v>0.19602865027592198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-1.1368683772161603E-12</v>
      </c>
      <c r="BE163" s="13">
        <f>BD163*VLOOKUP('Données projet'!$B$11,Paramètres!$A$1:$I$89,3,0)*VLOOKUP('Données projet'!$B$11,Paramètres!$A$1:$I$89,5,0)</f>
        <v>-5.4683368944097316E-13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252.30925789500111</v>
      </c>
      <c r="BJ163" s="59">
        <f t="shared" si="146"/>
        <v>213.96033794804805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0.35293817936294181</v>
      </c>
      <c r="BQ163" s="21">
        <f>EXP(-LN(2)/25)*BQ162+(1-EXP(-LN(2)/25))/(LN(2)/25)*Calculateur!BL163*Calculateur!BN163*VLOOKUP('Données projet'!$B$11,Paramètres!$A$1:$I$89,3,0)*0.475*44/12</f>
        <v>0.25105606273232522</v>
      </c>
      <c r="BR163" s="21">
        <f>EXP(-LN(2)/2)*BR162+(1-EXP(-LN(2)/2))/(LN(2)/2)*BL163*BO163*VLOOKUP('Données projet'!$B$11,Paramètres!$A$1:$I$89,3,0)*0.475*44/12</f>
        <v>3.8970396481515326E-19</v>
      </c>
      <c r="BS163" s="22">
        <f t="shared" si="169"/>
        <v>0.60399424209526709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2.8421709430404007E-14</v>
      </c>
      <c r="O164" s="13">
        <f>N164*VLOOKUP('Données projet'!$B$9,Paramètres!$A$1:$I$89,3,0)*VLOOKUP('Données projet'!$B$9,Paramètres!$A$1:$I$89,5,0)</f>
        <v>2.5715962692629544E-14</v>
      </c>
      <c r="P164" s="13">
        <f t="shared" si="141"/>
        <v>4.5248818890525812E-13</v>
      </c>
      <c r="Q164" s="20">
        <f t="shared" si="162"/>
        <v>8.3287223069965432E-13</v>
      </c>
      <c r="R164" s="59">
        <f t="shared" si="109"/>
        <v>293.33333333333417</v>
      </c>
      <c r="S164" s="59">
        <f ca="1">AVERAGE(OFFSET($R$3,0,0,'Données projet'!$E$9+1,1))-AVERAGE(OFFSET($H$3,0,0,'Données projet'!$E$9+1,1))</f>
        <v>138.8931001150624</v>
      </c>
      <c r="T164" s="59">
        <f t="shared" si="142"/>
        <v>48.964659354096625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-5.3205440053716299E-14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123.60520571614535</v>
      </c>
      <c r="AO164" s="59">
        <f t="shared" si="144"/>
        <v>119.00926870519527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6.4782595829420309E-2</v>
      </c>
      <c r="AV164" s="21">
        <f>EXP(-LN(2)/25)*AV163+(1-EXP(-LN(2)/25))/(LN(2)/25)*Calculateur!AQ164*Calculateur!AS164*VLOOKUP('Données projet'!$B$10,Paramètres!$A$1:$I$89,3,0)*0.475*44/12</f>
        <v>0.12639680052751812</v>
      </c>
      <c r="AW164" s="21">
        <f>EXP(-LN(2)/2)*AW163+(1-EXP(-LN(2)/2))/(LN(2)/2)*AQ164*AT164*VLOOKUP('Données projet'!$B$10,Paramètres!$A$1:$I$89,3,0)*0.475*44/12</f>
        <v>1.1717640059356181E-19</v>
      </c>
      <c r="AX164" s="21">
        <f t="shared" si="166"/>
        <v>0.19117939635693842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-1.1368683772161603E-12</v>
      </c>
      <c r="BE164" s="13">
        <f>BD164*VLOOKUP('Données projet'!$B$11,Paramètres!$A$1:$I$89,3,0)*VLOOKUP('Données projet'!$B$11,Paramètres!$A$1:$I$89,5,0)</f>
        <v>-5.4683368944097316E-13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252.30925789500111</v>
      </c>
      <c r="BJ164" s="59">
        <f t="shared" si="146"/>
        <v>213.96033794804805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0.34601727693666767</v>
      </c>
      <c r="BQ164" s="21">
        <f>EXP(-LN(2)/25)*BQ163+(1-EXP(-LN(2)/25))/(LN(2)/25)*Calculateur!BL164*Calculateur!BN164*VLOOKUP('Données projet'!$B$11,Paramètres!$A$1:$I$89,3,0)*0.475*44/12</f>
        <v>0.24419092149444524</v>
      </c>
      <c r="BR164" s="21">
        <f>EXP(-LN(2)/2)*BR163+(1-EXP(-LN(2)/2))/(LN(2)/2)*BL164*BO164*VLOOKUP('Données projet'!$B$11,Paramètres!$A$1:$I$89,3,0)*0.475*44/12</f>
        <v>2.7556231617607858E-19</v>
      </c>
      <c r="BS164" s="22">
        <f t="shared" si="169"/>
        <v>0.59020819843111294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2.8421709430404007E-14</v>
      </c>
      <c r="O165" s="13">
        <f>N165*VLOOKUP('Données projet'!$B$9,Paramètres!$A$1:$I$89,3,0)*VLOOKUP('Données projet'!$B$9,Paramètres!$A$1:$I$89,5,0)</f>
        <v>2.5715962692629544E-14</v>
      </c>
      <c r="P165" s="13">
        <f t="shared" si="141"/>
        <v>4.5248818890525812E-13</v>
      </c>
      <c r="Q165" s="20">
        <f t="shared" si="162"/>
        <v>8.3287223069965432E-13</v>
      </c>
      <c r="R165" s="59">
        <f t="shared" si="109"/>
        <v>293.33333333333417</v>
      </c>
      <c r="S165" s="59">
        <f ca="1">AVERAGE(OFFSET($R$3,0,0,'Données projet'!$E$9+1,1))-AVERAGE(OFFSET($H$3,0,0,'Données projet'!$E$9+1,1))</f>
        <v>138.8931001150624</v>
      </c>
      <c r="T165" s="59">
        <f t="shared" si="142"/>
        <v>48.964659354096625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-5.3205440053716299E-14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123.60520571614535</v>
      </c>
      <c r="AO165" s="59">
        <f t="shared" si="144"/>
        <v>119.00926870519527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6.3512248638687194E-2</v>
      </c>
      <c r="AV165" s="21">
        <f>EXP(-LN(2)/25)*AV164+(1-EXP(-LN(2)/25))/(LN(2)/25)*Calculateur!AQ165*Calculateur!AS165*VLOOKUP('Données projet'!$B$10,Paramètres!$A$1:$I$89,3,0)*0.475*44/12</f>
        <v>0.12294047337017427</v>
      </c>
      <c r="AW165" s="21">
        <f>EXP(-LN(2)/2)*AW164+(1-EXP(-LN(2)/2))/(LN(2)/2)*AQ165*AT165*VLOOKUP('Données projet'!$B$10,Paramètres!$A$1:$I$89,3,0)*0.475*44/12</f>
        <v>8.285622745473895E-20</v>
      </c>
      <c r="AX165" s="21">
        <f t="shared" si="166"/>
        <v>0.18645272200886148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-1.1368683772161603E-12</v>
      </c>
      <c r="BE165" s="13">
        <f>BD165*VLOOKUP('Données projet'!$B$11,Paramètres!$A$1:$I$89,3,0)*VLOOKUP('Données projet'!$B$11,Paramètres!$A$1:$I$89,5,0)</f>
        <v>-5.4683368944097316E-13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252.30925789500111</v>
      </c>
      <c r="BJ165" s="59">
        <f t="shared" si="146"/>
        <v>213.96033794804805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0.33923208918563913</v>
      </c>
      <c r="BQ165" s="21">
        <f>EXP(-LN(2)/25)*BQ164+(1-EXP(-LN(2)/25))/(LN(2)/25)*Calculateur!BL165*Calculateur!BN165*VLOOKUP('Données projet'!$B$11,Paramètres!$A$1:$I$89,3,0)*0.475*44/12</f>
        <v>0.23751350790473719</v>
      </c>
      <c r="BR165" s="21">
        <f>EXP(-LN(2)/2)*BR164+(1-EXP(-LN(2)/2))/(LN(2)/2)*BL165*BO165*VLOOKUP('Données projet'!$B$11,Paramètres!$A$1:$I$89,3,0)*0.475*44/12</f>
        <v>1.9485198240757663E-19</v>
      </c>
      <c r="BS165" s="22">
        <f t="shared" si="169"/>
        <v>0.57674559709037632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2.8421709430404007E-14</v>
      </c>
      <c r="O166" s="13">
        <f>N166*VLOOKUP('Données projet'!$B$9,Paramètres!$A$1:$I$89,3,0)*VLOOKUP('Données projet'!$B$9,Paramètres!$A$1:$I$89,5,0)</f>
        <v>2.5715962692629544E-14</v>
      </c>
      <c r="P166" s="13">
        <f t="shared" si="141"/>
        <v>4.5248818890525812E-13</v>
      </c>
      <c r="Q166" s="20">
        <f t="shared" si="162"/>
        <v>8.3287223069965432E-13</v>
      </c>
      <c r="R166" s="59">
        <f t="shared" si="109"/>
        <v>293.33333333333417</v>
      </c>
      <c r="S166" s="59">
        <f ca="1">AVERAGE(OFFSET($R$3,0,0,'Données projet'!$E$9+1,1))-AVERAGE(OFFSET($H$3,0,0,'Données projet'!$E$9+1,1))</f>
        <v>138.8931001150624</v>
      </c>
      <c r="T166" s="59">
        <f t="shared" si="142"/>
        <v>48.964659354096625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-5.3205440053716299E-14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123.60520571614535</v>
      </c>
      <c r="AO166" s="59">
        <f t="shared" si="144"/>
        <v>119.00926870519527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6.2266812181529081E-2</v>
      </c>
      <c r="AV166" s="21">
        <f>EXP(-LN(2)/25)*AV165+(1-EXP(-LN(2)/25))/(LN(2)/25)*Calculateur!AQ166*Calculateur!AS166*VLOOKUP('Données projet'!$B$10,Paramètres!$A$1:$I$89,3,0)*0.475*44/12</f>
        <v>0.11957865966070835</v>
      </c>
      <c r="AW166" s="21">
        <f>EXP(-LN(2)/2)*AW165+(1-EXP(-LN(2)/2))/(LN(2)/2)*AQ166*AT166*VLOOKUP('Données projet'!$B$10,Paramètres!$A$1:$I$89,3,0)*0.475*44/12</f>
        <v>5.8588200296780905E-20</v>
      </c>
      <c r="AX166" s="21">
        <f t="shared" si="166"/>
        <v>0.18184547184223743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-1.1368683772161603E-12</v>
      </c>
      <c r="BE166" s="13">
        <f>BD166*VLOOKUP('Données projet'!$B$11,Paramètres!$A$1:$I$89,3,0)*VLOOKUP('Données projet'!$B$11,Paramètres!$A$1:$I$89,5,0)</f>
        <v>-5.4683368944097316E-13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252.30925789500111</v>
      </c>
      <c r="BJ166" s="59">
        <f t="shared" si="146"/>
        <v>213.96033794804805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0.33257995482785235</v>
      </c>
      <c r="BQ166" s="21">
        <f>EXP(-LN(2)/25)*BQ165+(1-EXP(-LN(2)/25))/(LN(2)/25)*Calculateur!BL166*Calculateur!BN166*VLOOKUP('Données projet'!$B$11,Paramètres!$A$1:$I$89,3,0)*0.475*44/12</f>
        <v>0.23101868854078961</v>
      </c>
      <c r="BR166" s="21">
        <f>EXP(-LN(2)/2)*BR165+(1-EXP(-LN(2)/2))/(LN(2)/2)*BL166*BO166*VLOOKUP('Données projet'!$B$11,Paramètres!$A$1:$I$89,3,0)*0.475*44/12</f>
        <v>1.3778115808803929E-19</v>
      </c>
      <c r="BS166" s="22">
        <f t="shared" si="169"/>
        <v>0.56359864336864196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2.8421709430404007E-14</v>
      </c>
      <c r="O167" s="13">
        <f>N167*VLOOKUP('Données projet'!$B$9,Paramètres!$A$1:$I$89,3,0)*VLOOKUP('Données projet'!$B$9,Paramètres!$A$1:$I$89,5,0)</f>
        <v>2.5715962692629544E-14</v>
      </c>
      <c r="P167" s="13">
        <f t="shared" si="141"/>
        <v>4.5248818890525812E-13</v>
      </c>
      <c r="Q167" s="20">
        <f t="shared" si="162"/>
        <v>8.3287223069965432E-13</v>
      </c>
      <c r="R167" s="59">
        <f t="shared" si="109"/>
        <v>293.33333333333417</v>
      </c>
      <c r="S167" s="59">
        <f ca="1">AVERAGE(OFFSET($R$3,0,0,'Données projet'!$E$9+1,1))-AVERAGE(OFFSET($H$3,0,0,'Données projet'!$E$9+1,1))</f>
        <v>138.8931001150624</v>
      </c>
      <c r="T167" s="59">
        <f t="shared" si="142"/>
        <v>48.964659354096625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-5.3205440053716299E-14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123.60520571614535</v>
      </c>
      <c r="AO167" s="59">
        <f t="shared" si="144"/>
        <v>119.00926870519527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6.1045797973654614E-2</v>
      </c>
      <c r="AV167" s="21">
        <f>EXP(-LN(2)/25)*AV166+(1-EXP(-LN(2)/25))/(LN(2)/25)*Calculateur!AQ167*Calculateur!AS167*VLOOKUP('Données projet'!$B$10,Paramètres!$A$1:$I$89,3,0)*0.475*44/12</f>
        <v>0.11630877492391788</v>
      </c>
      <c r="AW167" s="21">
        <f>EXP(-LN(2)/2)*AW166+(1-EXP(-LN(2)/2))/(LN(2)/2)*AQ167*AT167*VLOOKUP('Données projet'!$B$10,Paramètres!$A$1:$I$89,3,0)*0.475*44/12</f>
        <v>4.1428113727369475E-20</v>
      </c>
      <c r="AX167" s="21">
        <f t="shared" si="166"/>
        <v>0.1773545728975725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-1.1368683772161603E-12</v>
      </c>
      <c r="BE167" s="13">
        <f>BD167*VLOOKUP('Données projet'!$B$11,Paramètres!$A$1:$I$89,3,0)*VLOOKUP('Données projet'!$B$11,Paramètres!$A$1:$I$89,5,0)</f>
        <v>-5.4683368944097316E-13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252.30925789500111</v>
      </c>
      <c r="BJ167" s="59">
        <f t="shared" si="146"/>
        <v>213.96033794804805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0.32605826476742045</v>
      </c>
      <c r="BQ167" s="21">
        <f>EXP(-LN(2)/25)*BQ166+(1-EXP(-LN(2)/25))/(LN(2)/25)*Calculateur!BL167*Calculateur!BN167*VLOOKUP('Données projet'!$B$11,Paramètres!$A$1:$I$89,3,0)*0.475*44/12</f>
        <v>0.2247014703538969</v>
      </c>
      <c r="BR167" s="21">
        <f>EXP(-LN(2)/2)*BR166+(1-EXP(-LN(2)/2))/(LN(2)/2)*BL167*BO167*VLOOKUP('Données projet'!$B$11,Paramètres!$A$1:$I$89,3,0)*0.475*44/12</f>
        <v>9.7425991203788314E-20</v>
      </c>
      <c r="BS167" s="22">
        <f t="shared" si="169"/>
        <v>0.55075973512131737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2.8421709430404007E-14</v>
      </c>
      <c r="O168" s="13">
        <f>N168*VLOOKUP('Données projet'!$B$9,Paramètres!$A$1:$I$89,3,0)*VLOOKUP('Données projet'!$B$9,Paramètres!$A$1:$I$89,5,0)</f>
        <v>2.5715962692629544E-14</v>
      </c>
      <c r="P168" s="13">
        <f t="shared" si="141"/>
        <v>4.5248818890525812E-13</v>
      </c>
      <c r="Q168" s="20">
        <f t="shared" si="162"/>
        <v>8.3287223069965432E-13</v>
      </c>
      <c r="R168" s="59">
        <f t="shared" si="109"/>
        <v>293.33333333333417</v>
      </c>
      <c r="S168" s="59">
        <f ca="1">AVERAGE(OFFSET($R$3,0,0,'Données projet'!$E$9+1,1))-AVERAGE(OFFSET($H$3,0,0,'Données projet'!$E$9+1,1))</f>
        <v>138.8931001150624</v>
      </c>
      <c r="T168" s="59">
        <f t="shared" si="142"/>
        <v>48.964659354096625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-5.3205440053716299E-14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123.60520571614535</v>
      </c>
      <c r="AO168" s="59">
        <f t="shared" si="144"/>
        <v>119.00926870519527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5.9848727109651431E-2</v>
      </c>
      <c r="AV168" s="21">
        <f>EXP(-LN(2)/25)*AV167+(1-EXP(-LN(2)/25))/(LN(2)/25)*Calculateur!AQ168*Calculateur!AS168*VLOOKUP('Données projet'!$B$10,Paramètres!$A$1:$I$89,3,0)*0.475*44/12</f>
        <v>0.11312830535721069</v>
      </c>
      <c r="AW168" s="21">
        <f>EXP(-LN(2)/2)*AW167+(1-EXP(-LN(2)/2))/(LN(2)/2)*AQ168*AT168*VLOOKUP('Données projet'!$B$10,Paramètres!$A$1:$I$89,3,0)*0.475*44/12</f>
        <v>2.9294100148390453E-20</v>
      </c>
      <c r="AX168" s="21">
        <f t="shared" si="166"/>
        <v>0.17297703246686214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-1.1368683772161603E-12</v>
      </c>
      <c r="BE168" s="13">
        <f>BD168*VLOOKUP('Données projet'!$B$11,Paramètres!$A$1:$I$89,3,0)*VLOOKUP('Données projet'!$B$11,Paramètres!$A$1:$I$89,5,0)</f>
        <v>-5.4683368944097316E-13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252.30925789500111</v>
      </c>
      <c r="BJ168" s="59">
        <f t="shared" si="146"/>
        <v>213.96033794804805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0.31966446107123547</v>
      </c>
      <c r="BQ168" s="21">
        <f>EXP(-LN(2)/25)*BQ167+(1-EXP(-LN(2)/25))/(LN(2)/25)*Calculateur!BL168*Calculateur!BN168*VLOOKUP('Données projet'!$B$11,Paramètres!$A$1:$I$89,3,0)*0.475*44/12</f>
        <v>0.21855699683053281</v>
      </c>
      <c r="BR168" s="21">
        <f>EXP(-LN(2)/2)*BR167+(1-EXP(-LN(2)/2))/(LN(2)/2)*BL168*BO168*VLOOKUP('Données projet'!$B$11,Paramètres!$A$1:$I$89,3,0)*0.475*44/12</f>
        <v>6.8890579044019646E-20</v>
      </c>
      <c r="BS168" s="22">
        <f t="shared" si="169"/>
        <v>0.53822145790176834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2.8421709430404007E-14</v>
      </c>
      <c r="O169" s="13">
        <f>N169*VLOOKUP('Données projet'!$B$9,Paramètres!$A$1:$I$89,3,0)*VLOOKUP('Données projet'!$B$9,Paramètres!$A$1:$I$89,5,0)</f>
        <v>2.5715962692629544E-14</v>
      </c>
      <c r="P169" s="13">
        <f t="shared" si="141"/>
        <v>4.5248818890525812E-13</v>
      </c>
      <c r="Q169" s="20">
        <f t="shared" si="162"/>
        <v>8.3287223069965432E-13</v>
      </c>
      <c r="R169" s="59">
        <f t="shared" si="109"/>
        <v>293.33333333333417</v>
      </c>
      <c r="S169" s="59">
        <f ca="1">AVERAGE(OFFSET($R$3,0,0,'Données projet'!$E$9+1,1))-AVERAGE(OFFSET($H$3,0,0,'Données projet'!$E$9+1,1))</f>
        <v>138.8931001150624</v>
      </c>
      <c r="T169" s="59">
        <f t="shared" si="142"/>
        <v>48.964659354096625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-5.3205440053716299E-14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123.60520571614535</v>
      </c>
      <c r="AO169" s="59">
        <f t="shared" si="144"/>
        <v>119.00926870519527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5.8675130075150218E-2</v>
      </c>
      <c r="AV169" s="21">
        <f>EXP(-LN(2)/25)*AV168+(1-EXP(-LN(2)/25))/(LN(2)/25)*Calculateur!AQ169*Calculateur!AS169*VLOOKUP('Données projet'!$B$10,Paramètres!$A$1:$I$89,3,0)*0.475*44/12</f>
        <v>0.11003480589805874</v>
      </c>
      <c r="AW169" s="21">
        <f>EXP(-LN(2)/2)*AW168+(1-EXP(-LN(2)/2))/(LN(2)/2)*AQ169*AT169*VLOOKUP('Données projet'!$B$10,Paramètres!$A$1:$I$89,3,0)*0.475*44/12</f>
        <v>2.0714056863684738E-20</v>
      </c>
      <c r="AX169" s="21">
        <f t="shared" si="166"/>
        <v>0.16870993597320896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-1.1368683772161603E-12</v>
      </c>
      <c r="BE169" s="13">
        <f>BD169*VLOOKUP('Données projet'!$B$11,Paramètres!$A$1:$I$89,3,0)*VLOOKUP('Données projet'!$B$11,Paramètres!$A$1:$I$89,5,0)</f>
        <v>-5.4683368944097316E-13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252.30925789500111</v>
      </c>
      <c r="BJ169" s="59">
        <f t="shared" si="146"/>
        <v>213.96033794804805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0.31339603596569748</v>
      </c>
      <c r="BQ169" s="21">
        <f>EXP(-LN(2)/25)*BQ168+(1-EXP(-LN(2)/25))/(LN(2)/25)*Calculateur!BL169*Calculateur!BN169*VLOOKUP('Données projet'!$B$11,Paramètres!$A$1:$I$89,3,0)*0.475*44/12</f>
        <v>0.21258054425878894</v>
      </c>
      <c r="BR169" s="21">
        <f>EXP(-LN(2)/2)*BR168+(1-EXP(-LN(2)/2))/(LN(2)/2)*BL169*BO169*VLOOKUP('Données projet'!$B$11,Paramètres!$A$1:$I$89,3,0)*0.475*44/12</f>
        <v>4.8712995601894157E-20</v>
      </c>
      <c r="BS169" s="22">
        <f t="shared" si="169"/>
        <v>0.52597658022448646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2.8421709430404007E-14</v>
      </c>
      <c r="O170" s="13">
        <f>N170*VLOOKUP('Données projet'!$B$9,Paramètres!$A$1:$I$89,3,0)*VLOOKUP('Données projet'!$B$9,Paramètres!$A$1:$I$89,5,0)</f>
        <v>2.5715962692629544E-14</v>
      </c>
      <c r="P170" s="13">
        <f t="shared" si="141"/>
        <v>4.5248818890525812E-13</v>
      </c>
      <c r="Q170" s="20">
        <f t="shared" si="162"/>
        <v>8.3287223069965432E-13</v>
      </c>
      <c r="R170" s="59">
        <f t="shared" si="109"/>
        <v>293.33333333333417</v>
      </c>
      <c r="S170" s="59">
        <f ca="1">AVERAGE(OFFSET($R$3,0,0,'Données projet'!$E$9+1,1))-AVERAGE(OFFSET($H$3,0,0,'Données projet'!$E$9+1,1))</f>
        <v>138.8931001150624</v>
      </c>
      <c r="T170" s="59">
        <f t="shared" si="142"/>
        <v>48.964659354096625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-5.3205440053716299E-14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123.60520571614535</v>
      </c>
      <c r="AO170" s="59">
        <f t="shared" si="144"/>
        <v>119.00926870519527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5.7524546562672065E-2</v>
      </c>
      <c r="AV170" s="21">
        <f>EXP(-LN(2)/25)*AV169+(1-EXP(-LN(2)/25))/(LN(2)/25)*Calculateur!AQ170*Calculateur!AS170*VLOOKUP('Données projet'!$B$10,Paramètres!$A$1:$I$89,3,0)*0.475*44/12</f>
        <v>0.10702589834429736</v>
      </c>
      <c r="AW170" s="21">
        <f>EXP(-LN(2)/2)*AW169+(1-EXP(-LN(2)/2))/(LN(2)/2)*AQ170*AT170*VLOOKUP('Données projet'!$B$10,Paramètres!$A$1:$I$89,3,0)*0.475*44/12</f>
        <v>1.4647050074195226E-20</v>
      </c>
      <c r="AX170" s="21">
        <f t="shared" si="166"/>
        <v>0.16455044490696943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-1.1368683772161603E-12</v>
      </c>
      <c r="BE170" s="13">
        <f>BD170*VLOOKUP('Données projet'!$B$11,Paramètres!$A$1:$I$89,3,0)*VLOOKUP('Données projet'!$B$11,Paramètres!$A$1:$I$89,5,0)</f>
        <v>-5.4683368944097316E-13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252.30925789500111</v>
      </c>
      <c r="BJ170" s="59">
        <f t="shared" si="146"/>
        <v>213.96033794804805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0.30725053085311732</v>
      </c>
      <c r="BQ170" s="21">
        <f>EXP(-LN(2)/25)*BQ169+(1-EXP(-LN(2)/25))/(LN(2)/25)*Calculateur!BL170*Calculateur!BN170*VLOOKUP('Données projet'!$B$11,Paramètres!$A$1:$I$89,3,0)*0.475*44/12</f>
        <v>0.20676751809690741</v>
      </c>
      <c r="BR170" s="21">
        <f>EXP(-LN(2)/2)*BR169+(1-EXP(-LN(2)/2))/(LN(2)/2)*BL170*BO170*VLOOKUP('Données projet'!$B$11,Paramètres!$A$1:$I$89,3,0)*0.475*44/12</f>
        <v>3.4445289522009823E-20</v>
      </c>
      <c r="BS170" s="22">
        <f t="shared" si="169"/>
        <v>0.51401804895002479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2.8421709430404007E-14</v>
      </c>
      <c r="O171" s="13">
        <f>N171*VLOOKUP('Données projet'!$B$9,Paramètres!$A$1:$I$89,3,0)*VLOOKUP('Données projet'!$B$9,Paramètres!$A$1:$I$89,5,0)</f>
        <v>2.5715962692629544E-14</v>
      </c>
      <c r="P171" s="13">
        <f t="shared" si="141"/>
        <v>4.5248818890525812E-13</v>
      </c>
      <c r="Q171" s="20">
        <f t="shared" si="162"/>
        <v>8.3287223069965432E-13</v>
      </c>
      <c r="R171" s="59">
        <f t="shared" si="109"/>
        <v>293.33333333333417</v>
      </c>
      <c r="S171" s="59">
        <f ca="1">AVERAGE(OFFSET($R$3,0,0,'Données projet'!$E$9+1,1))-AVERAGE(OFFSET($H$3,0,0,'Données projet'!$E$9+1,1))</f>
        <v>138.8931001150624</v>
      </c>
      <c r="T171" s="59">
        <f t="shared" si="142"/>
        <v>48.964659354096625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-5.3205440053716299E-14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123.60520571614535</v>
      </c>
      <c r="AO171" s="59">
        <f t="shared" si="144"/>
        <v>119.00926870519527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5.6396525291086963E-2</v>
      </c>
      <c r="AV171" s="21">
        <f>EXP(-LN(2)/25)*AV170+(1-EXP(-LN(2)/25))/(LN(2)/25)*Calculateur!AQ171*Calculateur!AS171*VLOOKUP('Données projet'!$B$10,Paramètres!$A$1:$I$89,3,0)*0.475*44/12</f>
        <v>0.10409926952582517</v>
      </c>
      <c r="AW171" s="21">
        <f>EXP(-LN(2)/2)*AW170+(1-EXP(-LN(2)/2))/(LN(2)/2)*AQ171*AT171*VLOOKUP('Données projet'!$B$10,Paramètres!$A$1:$I$89,3,0)*0.475*44/12</f>
        <v>1.0357028431842369E-20</v>
      </c>
      <c r="AX171" s="21">
        <f t="shared" si="166"/>
        <v>0.16049579481691212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-1.1368683772161603E-12</v>
      </c>
      <c r="BE171" s="13">
        <f>BD171*VLOOKUP('Données projet'!$B$11,Paramètres!$A$1:$I$89,3,0)*VLOOKUP('Données projet'!$B$11,Paramètres!$A$1:$I$89,5,0)</f>
        <v>-5.4683368944097316E-13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252.30925789500111</v>
      </c>
      <c r="BJ171" s="59">
        <f t="shared" si="146"/>
        <v>213.96033794804805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0.30122553534740687</v>
      </c>
      <c r="BQ171" s="21">
        <f>EXP(-LN(2)/25)*BQ170+(1-EXP(-LN(2)/25))/(LN(2)/25)*Calculateur!BL171*Calculateur!BN171*VLOOKUP('Données projet'!$B$11,Paramètres!$A$1:$I$89,3,0)*0.475*44/12</f>
        <v>0.20111344944111628</v>
      </c>
      <c r="BR171" s="21">
        <f>EXP(-LN(2)/2)*BR170+(1-EXP(-LN(2)/2))/(LN(2)/2)*BL171*BO171*VLOOKUP('Données projet'!$B$11,Paramètres!$A$1:$I$89,3,0)*0.475*44/12</f>
        <v>2.4356497800947079E-20</v>
      </c>
      <c r="BS171" s="22">
        <f t="shared" si="169"/>
        <v>0.50233898478852312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2.8421709430404007E-14</v>
      </c>
      <c r="O172" s="13">
        <f>N172*VLOOKUP('Données projet'!$B$9,Paramètres!$A$1:$I$89,3,0)*VLOOKUP('Données projet'!$B$9,Paramètres!$A$1:$I$89,5,0)</f>
        <v>2.5715962692629544E-14</v>
      </c>
      <c r="P172" s="13">
        <f t="shared" si="141"/>
        <v>4.5248818890525812E-13</v>
      </c>
      <c r="Q172" s="20">
        <f t="shared" si="162"/>
        <v>8.3287223069965432E-13</v>
      </c>
      <c r="R172" s="59">
        <f t="shared" si="109"/>
        <v>293.33333333333417</v>
      </c>
      <c r="S172" s="59">
        <f ca="1">AVERAGE(OFFSET($R$3,0,0,'Données projet'!$E$9+1,1))-AVERAGE(OFFSET($H$3,0,0,'Données projet'!$E$9+1,1))</f>
        <v>138.8931001150624</v>
      </c>
      <c r="T172" s="59">
        <f t="shared" si="142"/>
        <v>48.964659354096625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-5.3205440053716299E-14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123.60520571614535</v>
      </c>
      <c r="AO172" s="59">
        <f t="shared" si="144"/>
        <v>119.00926870519527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5.5290623828612606E-2</v>
      </c>
      <c r="AV172" s="21">
        <f>EXP(-LN(2)/25)*AV171+(1-EXP(-LN(2)/25))/(LN(2)/25)*Calculateur!AQ172*Calculateur!AS172*VLOOKUP('Données projet'!$B$10,Paramètres!$A$1:$I$89,3,0)*0.475*44/12</f>
        <v>0.10125266952629881</v>
      </c>
      <c r="AW172" s="21">
        <f>EXP(-LN(2)/2)*AW171+(1-EXP(-LN(2)/2))/(LN(2)/2)*AQ172*AT172*VLOOKUP('Données projet'!$B$10,Paramètres!$A$1:$I$89,3,0)*0.475*44/12</f>
        <v>7.3235250370976132E-21</v>
      </c>
      <c r="AX172" s="21">
        <f t="shared" si="166"/>
        <v>0.15654329335491141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-1.1368683772161603E-12</v>
      </c>
      <c r="BE172" s="13">
        <f>BD172*VLOOKUP('Données projet'!$B$11,Paramètres!$A$1:$I$89,3,0)*VLOOKUP('Données projet'!$B$11,Paramètres!$A$1:$I$89,5,0)</f>
        <v>-5.4683368944097316E-13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252.30925789500111</v>
      </c>
      <c r="BJ172" s="59">
        <f t="shared" si="146"/>
        <v>213.96033794804805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0.29531868632867903</v>
      </c>
      <c r="BQ172" s="21">
        <f>EXP(-LN(2)/25)*BQ171+(1-EXP(-LN(2)/25))/(LN(2)/25)*Calculateur!BL172*Calculateur!BN172*VLOOKUP('Données projet'!$B$11,Paramètres!$A$1:$I$89,3,0)*0.475*44/12</f>
        <v>0.1956139915900523</v>
      </c>
      <c r="BR172" s="21">
        <f>EXP(-LN(2)/2)*BR171+(1-EXP(-LN(2)/2))/(LN(2)/2)*BL172*BO172*VLOOKUP('Données projet'!$B$11,Paramètres!$A$1:$I$89,3,0)*0.475*44/12</f>
        <v>1.7222644761004912E-20</v>
      </c>
      <c r="BS172" s="22">
        <f t="shared" si="169"/>
        <v>0.4909326779187313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2.8421709430404007E-14</v>
      </c>
      <c r="O173" s="13">
        <f>N173*VLOOKUP('Données projet'!$B$9,Paramètres!$A$1:$I$89,3,0)*VLOOKUP('Données projet'!$B$9,Paramètres!$A$1:$I$89,5,0)</f>
        <v>2.5715962692629544E-14</v>
      </c>
      <c r="P173" s="13">
        <f t="shared" si="141"/>
        <v>4.5248818890525812E-13</v>
      </c>
      <c r="Q173" s="20">
        <f t="shared" si="162"/>
        <v>8.3287223069965432E-13</v>
      </c>
      <c r="R173" s="59">
        <f t="shared" si="109"/>
        <v>293.33333333333417</v>
      </c>
      <c r="S173" s="59">
        <f ca="1">AVERAGE(OFFSET($R$3,0,0,'Données projet'!$E$9+1,1))-AVERAGE(OFFSET($H$3,0,0,'Données projet'!$E$9+1,1))</f>
        <v>138.8931001150624</v>
      </c>
      <c r="T173" s="59">
        <f t="shared" si="142"/>
        <v>48.964659354096625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-5.3205440053716299E-14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123.60520571614535</v>
      </c>
      <c r="AO173" s="59">
        <f t="shared" si="144"/>
        <v>119.00926870519527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5.4206408419284084E-2</v>
      </c>
      <c r="AV173" s="21">
        <f>EXP(-LN(2)/25)*AV172+(1-EXP(-LN(2)/25))/(LN(2)/25)*Calculateur!AQ173*Calculateur!AS173*VLOOKUP('Données projet'!$B$10,Paramètres!$A$1:$I$89,3,0)*0.475*44/12</f>
        <v>9.8483909953455698E-2</v>
      </c>
      <c r="AW173" s="21">
        <f>EXP(-LN(2)/2)*AW172+(1-EXP(-LN(2)/2))/(LN(2)/2)*AQ173*AT173*VLOOKUP('Données projet'!$B$10,Paramètres!$A$1:$I$89,3,0)*0.475*44/12</f>
        <v>5.1785142159211844E-21</v>
      </c>
      <c r="AX173" s="21">
        <f t="shared" si="166"/>
        <v>0.15269031837273978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-1.1368683772161603E-12</v>
      </c>
      <c r="BE173" s="13">
        <f>BD173*VLOOKUP('Données projet'!$B$11,Paramètres!$A$1:$I$89,3,0)*VLOOKUP('Données projet'!$B$11,Paramètres!$A$1:$I$89,5,0)</f>
        <v>-5.4683368944097316E-13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252.30925789500111</v>
      </c>
      <c r="BJ173" s="59">
        <f t="shared" si="146"/>
        <v>213.96033794804805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0.28952766701638627</v>
      </c>
      <c r="BQ173" s="21">
        <f>EXP(-LN(2)/25)*BQ172+(1-EXP(-LN(2)/25))/(LN(2)/25)*Calculateur!BL173*Calculateur!BN173*VLOOKUP('Données projet'!$B$11,Paramètres!$A$1:$I$89,3,0)*0.475*44/12</f>
        <v>0.19026491670312959</v>
      </c>
      <c r="BR173" s="21">
        <f>EXP(-LN(2)/2)*BR172+(1-EXP(-LN(2)/2))/(LN(2)/2)*BL173*BO173*VLOOKUP('Données projet'!$B$11,Paramètres!$A$1:$I$89,3,0)*0.475*44/12</f>
        <v>1.2178248900473539E-20</v>
      </c>
      <c r="BS173" s="22">
        <f t="shared" si="169"/>
        <v>0.47979258371951583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2.8421709430404007E-14</v>
      </c>
      <c r="O174" s="13">
        <f>N174*VLOOKUP('Données projet'!$B$9,Paramètres!$A$1:$I$89,3,0)*VLOOKUP('Données projet'!$B$9,Paramètres!$A$1:$I$89,5,0)</f>
        <v>2.5715962692629544E-14</v>
      </c>
      <c r="P174" s="13">
        <f t="shared" si="141"/>
        <v>4.5248818890525812E-13</v>
      </c>
      <c r="Q174" s="20">
        <f t="shared" si="162"/>
        <v>8.3287223069965432E-13</v>
      </c>
      <c r="R174" s="59">
        <f t="shared" si="109"/>
        <v>293.33333333333417</v>
      </c>
      <c r="S174" s="59">
        <f ca="1">AVERAGE(OFFSET($R$3,0,0,'Données projet'!$E$9+1,1))-AVERAGE(OFFSET($H$3,0,0,'Données projet'!$E$9+1,1))</f>
        <v>138.8931001150624</v>
      </c>
      <c r="T174" s="59">
        <f t="shared" si="142"/>
        <v>48.964659354096625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-5.3205440053716299E-14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123.60520571614535</v>
      </c>
      <c r="AO174" s="59">
        <f t="shared" si="144"/>
        <v>119.00926870519527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5.3143453812826397E-2</v>
      </c>
      <c r="AV174" s="21">
        <f>EXP(-LN(2)/25)*AV173+(1-EXP(-LN(2)/25))/(LN(2)/25)*Calculateur!AQ174*Calculateur!AS174*VLOOKUP('Données projet'!$B$10,Paramètres!$A$1:$I$89,3,0)*0.475*44/12</f>
        <v>9.5790862256734721E-2</v>
      </c>
      <c r="AW174" s="21">
        <f>EXP(-LN(2)/2)*AW173+(1-EXP(-LN(2)/2))/(LN(2)/2)*AQ174*AT174*VLOOKUP('Données projet'!$B$10,Paramètres!$A$1:$I$89,3,0)*0.475*44/12</f>
        <v>3.6617625185488066E-21</v>
      </c>
      <c r="AX174" s="21">
        <f t="shared" si="166"/>
        <v>0.14893431606956112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-1.1368683772161603E-12</v>
      </c>
      <c r="BE174" s="13">
        <f>BD174*VLOOKUP('Données projet'!$B$11,Paramètres!$A$1:$I$89,3,0)*VLOOKUP('Données projet'!$B$11,Paramètres!$A$1:$I$89,5,0)</f>
        <v>-5.4683368944097316E-13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252.30925789500111</v>
      </c>
      <c r="BJ174" s="59">
        <f t="shared" si="146"/>
        <v>213.96033794804805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0.28385020606063455</v>
      </c>
      <c r="BQ174" s="21">
        <f>EXP(-LN(2)/25)*BQ173+(1-EXP(-LN(2)/25))/(LN(2)/25)*Calculateur!BL174*Calculateur!BN174*VLOOKUP('Données projet'!$B$11,Paramètres!$A$1:$I$89,3,0)*0.475*44/12</f>
        <v>0.1850621125502854</v>
      </c>
      <c r="BR174" s="21">
        <f>EXP(-LN(2)/2)*BR173+(1-EXP(-LN(2)/2))/(LN(2)/2)*BL174*BO174*VLOOKUP('Données projet'!$B$11,Paramètres!$A$1:$I$89,3,0)*0.475*44/12</f>
        <v>8.6113223805024558E-21</v>
      </c>
      <c r="BS174" s="22">
        <f t="shared" si="169"/>
        <v>0.46891231861091998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2.8421709430404007E-14</v>
      </c>
      <c r="O175" s="13">
        <f>N175*VLOOKUP('Données projet'!$B$9,Paramètres!$A$1:$I$89,3,0)*VLOOKUP('Données projet'!$B$9,Paramètres!$A$1:$I$89,5,0)</f>
        <v>2.5715962692629544E-14</v>
      </c>
      <c r="P175" s="13">
        <f t="shared" si="141"/>
        <v>4.5248818890525812E-13</v>
      </c>
      <c r="Q175" s="20">
        <f t="shared" si="162"/>
        <v>8.3287223069965432E-13</v>
      </c>
      <c r="R175" s="59">
        <f t="shared" si="109"/>
        <v>293.33333333333417</v>
      </c>
      <c r="S175" s="59">
        <f ca="1">AVERAGE(OFFSET($R$3,0,0,'Données projet'!$E$9+1,1))-AVERAGE(OFFSET($H$3,0,0,'Données projet'!$E$9+1,1))</f>
        <v>138.8931001150624</v>
      </c>
      <c r="T175" s="59">
        <f t="shared" si="142"/>
        <v>48.964659354096625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-5.3205440053716299E-14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123.60520571614535</v>
      </c>
      <c r="AO175" s="59">
        <f t="shared" si="144"/>
        <v>119.00926870519527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5.2101343097863052E-2</v>
      </c>
      <c r="AV175" s="21">
        <f>EXP(-LN(2)/25)*AV174+(1-EXP(-LN(2)/25))/(LN(2)/25)*Calculateur!AQ175*Calculateur!AS175*VLOOKUP('Données projet'!$B$10,Paramètres!$A$1:$I$89,3,0)*0.475*44/12</f>
        <v>9.31714560909018E-2</v>
      </c>
      <c r="AW175" s="21">
        <f>EXP(-LN(2)/2)*AW174+(1-EXP(-LN(2)/2))/(LN(2)/2)*AQ175*AT175*VLOOKUP('Données projet'!$B$10,Paramètres!$A$1:$I$89,3,0)*0.475*44/12</f>
        <v>2.5892571079605922E-21</v>
      </c>
      <c r="AX175" s="21">
        <f t="shared" si="166"/>
        <v>0.14527279918876485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-1.1368683772161603E-12</v>
      </c>
      <c r="BE175" s="13">
        <f>BD175*VLOOKUP('Données projet'!$B$11,Paramètres!$A$1:$I$89,3,0)*VLOOKUP('Données projet'!$B$11,Paramètres!$A$1:$I$89,5,0)</f>
        <v>-5.4683368944097316E-13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252.30925789500111</v>
      </c>
      <c r="BJ175" s="59">
        <f t="shared" si="146"/>
        <v>213.96033794804805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0.27828407665131588</v>
      </c>
      <c r="BQ175" s="21">
        <f>EXP(-LN(2)/25)*BQ174+(1-EXP(-LN(2)/25))/(LN(2)/25)*Calculateur!BL175*Calculateur!BN175*VLOOKUP('Données projet'!$B$11,Paramètres!$A$1:$I$89,3,0)*0.475*44/12</f>
        <v>0.18000157935060432</v>
      </c>
      <c r="BR175" s="21">
        <f>EXP(-LN(2)/2)*BR174+(1-EXP(-LN(2)/2))/(LN(2)/2)*BL175*BO175*VLOOKUP('Données projet'!$B$11,Paramètres!$A$1:$I$89,3,0)*0.475*44/12</f>
        <v>6.0891244502367696E-21</v>
      </c>
      <c r="BS175" s="22">
        <f t="shared" si="169"/>
        <v>0.45828565600192017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2.8421709430404007E-14</v>
      </c>
      <c r="O176" s="13">
        <f>N176*VLOOKUP('Données projet'!$B$9,Paramètres!$A$1:$I$89,3,0)*VLOOKUP('Données projet'!$B$9,Paramètres!$A$1:$I$89,5,0)</f>
        <v>2.5715962692629544E-14</v>
      </c>
      <c r="P176" s="13">
        <f t="shared" si="141"/>
        <v>4.5248818890525812E-13</v>
      </c>
      <c r="Q176" s="20">
        <f t="shared" si="162"/>
        <v>8.3287223069965432E-13</v>
      </c>
      <c r="R176" s="59">
        <f t="shared" si="109"/>
        <v>293.33333333333417</v>
      </c>
      <c r="S176" s="59">
        <f ca="1">AVERAGE(OFFSET($R$3,0,0,'Données projet'!$E$9+1,1))-AVERAGE(OFFSET($H$3,0,0,'Données projet'!$E$9+1,1))</f>
        <v>138.8931001150624</v>
      </c>
      <c r="T176" s="59">
        <f t="shared" si="142"/>
        <v>48.964659354096625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-5.3205440053716299E-14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123.60520571614535</v>
      </c>
      <c r="AO176" s="59">
        <f t="shared" si="144"/>
        <v>119.00926870519527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5.1079667538395365E-2</v>
      </c>
      <c r="AV176" s="21">
        <f>EXP(-LN(2)/25)*AV175+(1-EXP(-LN(2)/25))/(LN(2)/25)*Calculateur!AQ176*Calculateur!AS176*VLOOKUP('Données projet'!$B$10,Paramètres!$A$1:$I$89,3,0)*0.475*44/12</f>
        <v>9.0623677724422161E-2</v>
      </c>
      <c r="AW176" s="21">
        <f>EXP(-LN(2)/2)*AW175+(1-EXP(-LN(2)/2))/(LN(2)/2)*AQ176*AT176*VLOOKUP('Données projet'!$B$10,Paramètres!$A$1:$I$89,3,0)*0.475*44/12</f>
        <v>1.8308812592744033E-21</v>
      </c>
      <c r="AX176" s="21">
        <f t="shared" si="166"/>
        <v>0.14170334526281753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-1.1368683772161603E-12</v>
      </c>
      <c r="BE176" s="13">
        <f>BD176*VLOOKUP('Données projet'!$B$11,Paramètres!$A$1:$I$89,3,0)*VLOOKUP('Données projet'!$B$11,Paramètres!$A$1:$I$89,5,0)</f>
        <v>-5.4683368944097316E-13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252.30925789500111</v>
      </c>
      <c r="BJ176" s="59">
        <f t="shared" si="146"/>
        <v>213.96033794804805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0.27282709564471025</v>
      </c>
      <c r="BQ176" s="21">
        <f>EXP(-LN(2)/25)*BQ175+(1-EXP(-LN(2)/25))/(LN(2)/25)*Calculateur!BL176*Calculateur!BN176*VLOOKUP('Données projet'!$B$11,Paramètres!$A$1:$I$89,3,0)*0.475*44/12</f>
        <v>0.17507942669739038</v>
      </c>
      <c r="BR176" s="21">
        <f>EXP(-LN(2)/2)*BR175+(1-EXP(-LN(2)/2))/(LN(2)/2)*BL176*BO176*VLOOKUP('Données projet'!$B$11,Paramètres!$A$1:$I$89,3,0)*0.475*44/12</f>
        <v>4.3056611902512279E-21</v>
      </c>
      <c r="BS176" s="22">
        <f t="shared" si="169"/>
        <v>0.4479065223421006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2.8421709430404007E-14</v>
      </c>
      <c r="O177" s="13">
        <f>N177*VLOOKUP('Données projet'!$B$9,Paramètres!$A$1:$I$89,3,0)*VLOOKUP('Données projet'!$B$9,Paramètres!$A$1:$I$89,5,0)</f>
        <v>2.5715962692629544E-14</v>
      </c>
      <c r="P177" s="13">
        <f t="shared" si="141"/>
        <v>4.5248818890525812E-13</v>
      </c>
      <c r="Q177" s="20">
        <f t="shared" si="162"/>
        <v>8.3287223069965432E-13</v>
      </c>
      <c r="R177" s="59">
        <f t="shared" si="109"/>
        <v>293.33333333333417</v>
      </c>
      <c r="S177" s="59">
        <f ca="1">AVERAGE(OFFSET($R$3,0,0,'Données projet'!$E$9+1,1))-AVERAGE(OFFSET($H$3,0,0,'Données projet'!$E$9+1,1))</f>
        <v>138.8931001150624</v>
      </c>
      <c r="T177" s="59">
        <f t="shared" si="142"/>
        <v>48.964659354096625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-5.3205440053716299E-14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123.60520571614535</v>
      </c>
      <c r="AO177" s="59">
        <f t="shared" si="144"/>
        <v>119.00926870519527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5.0078026413488276E-2</v>
      </c>
      <c r="AV177" s="21">
        <f>EXP(-LN(2)/25)*AV176+(1-EXP(-LN(2)/25))/(LN(2)/25)*Calculateur!AQ177*Calculateur!AS177*VLOOKUP('Données projet'!$B$10,Paramètres!$A$1:$I$89,3,0)*0.475*44/12</f>
        <v>8.8145568491355755E-2</v>
      </c>
      <c r="AW177" s="21">
        <f>EXP(-LN(2)/2)*AW176+(1-EXP(-LN(2)/2))/(LN(2)/2)*AQ177*AT177*VLOOKUP('Données projet'!$B$10,Paramètres!$A$1:$I$89,3,0)*0.475*44/12</f>
        <v>1.2946285539802961E-21</v>
      </c>
      <c r="AX177" s="21">
        <f t="shared" si="166"/>
        <v>0.13822359490484404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-1.1368683772161603E-12</v>
      </c>
      <c r="BE177" s="13">
        <f>BD177*VLOOKUP('Données projet'!$B$11,Paramètres!$A$1:$I$89,3,0)*VLOOKUP('Données projet'!$B$11,Paramètres!$A$1:$I$89,5,0)</f>
        <v>-5.4683368944097316E-13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252.30925789500111</v>
      </c>
      <c r="BJ177" s="59">
        <f t="shared" si="146"/>
        <v>213.96033794804805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0.26747712270721441</v>
      </c>
      <c r="BQ177" s="21">
        <f>EXP(-LN(2)/25)*BQ176+(1-EXP(-LN(2)/25))/(LN(2)/25)*Calculateur!BL177*Calculateur!BN177*VLOOKUP('Données projet'!$B$11,Paramètres!$A$1:$I$89,3,0)*0.475*44/12</f>
        <v>0.17029187056732334</v>
      </c>
      <c r="BR177" s="21">
        <f>EXP(-LN(2)/2)*BR176+(1-EXP(-LN(2)/2))/(LN(2)/2)*BL177*BO177*VLOOKUP('Données projet'!$B$11,Paramètres!$A$1:$I$89,3,0)*0.475*44/12</f>
        <v>3.0445622251183848E-21</v>
      </c>
      <c r="BS177" s="22">
        <f t="shared" si="169"/>
        <v>0.43776899327453778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2.8421709430404007E-14</v>
      </c>
      <c r="O178" s="13">
        <f>N178*VLOOKUP('Données projet'!$B$9,Paramètres!$A$1:$I$89,3,0)*VLOOKUP('Données projet'!$B$9,Paramètres!$A$1:$I$89,5,0)</f>
        <v>2.5715962692629544E-14</v>
      </c>
      <c r="P178" s="13">
        <f t="shared" si="141"/>
        <v>4.5248818890525812E-13</v>
      </c>
      <c r="Q178" s="20">
        <f t="shared" si="162"/>
        <v>8.3287223069965432E-13</v>
      </c>
      <c r="R178" s="59">
        <f t="shared" si="109"/>
        <v>293.33333333333417</v>
      </c>
      <c r="S178" s="59">
        <f ca="1">AVERAGE(OFFSET($R$3,0,0,'Données projet'!$E$9+1,1))-AVERAGE(OFFSET($H$3,0,0,'Données projet'!$E$9+1,1))</f>
        <v>138.8931001150624</v>
      </c>
      <c r="T178" s="59">
        <f t="shared" si="142"/>
        <v>48.964659354096625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-5.3205440053716299E-14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123.60520571614535</v>
      </c>
      <c r="AO178" s="59">
        <f t="shared" si="144"/>
        <v>119.00926870519527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4.9096026860099853E-2</v>
      </c>
      <c r="AV178" s="21">
        <f>EXP(-LN(2)/25)*AV177+(1-EXP(-LN(2)/25))/(LN(2)/25)*Calculateur!AQ178*Calculateur!AS178*VLOOKUP('Données projet'!$B$10,Paramètres!$A$1:$I$89,3,0)*0.475*44/12</f>
        <v>8.5735223285585638E-2</v>
      </c>
      <c r="AW178" s="21">
        <f>EXP(-LN(2)/2)*AW177+(1-EXP(-LN(2)/2))/(LN(2)/2)*AQ178*AT178*VLOOKUP('Données projet'!$B$10,Paramètres!$A$1:$I$89,3,0)*0.475*44/12</f>
        <v>9.1544062963720164E-22</v>
      </c>
      <c r="AX178" s="21">
        <f t="shared" si="166"/>
        <v>0.13483125014568548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-1.1368683772161603E-12</v>
      </c>
      <c r="BE178" s="13">
        <f>BD178*VLOOKUP('Données projet'!$B$11,Paramètres!$A$1:$I$89,3,0)*VLOOKUP('Données projet'!$B$11,Paramètres!$A$1:$I$89,5,0)</f>
        <v>-5.4683368944097316E-13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252.30925789500111</v>
      </c>
      <c r="BJ178" s="59">
        <f t="shared" si="146"/>
        <v>213.96033794804805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0.26223205947586159</v>
      </c>
      <c r="BQ178" s="21">
        <f>EXP(-LN(2)/25)*BQ177+(1-EXP(-LN(2)/25))/(LN(2)/25)*Calculateur!BL178*Calculateur!BN178*VLOOKUP('Données projet'!$B$11,Paramètres!$A$1:$I$89,3,0)*0.475*44/12</f>
        <v>0.1656352304113996</v>
      </c>
      <c r="BR178" s="21">
        <f>EXP(-LN(2)/2)*BR177+(1-EXP(-LN(2)/2))/(LN(2)/2)*BL178*BO178*VLOOKUP('Données projet'!$B$11,Paramètres!$A$1:$I$89,3,0)*0.475*44/12</f>
        <v>2.1528305951256139E-21</v>
      </c>
      <c r="BS178" s="22">
        <f t="shared" si="169"/>
        <v>0.42786728988726119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2.8421709430404007E-14</v>
      </c>
      <c r="O179" s="13">
        <f>N179*VLOOKUP('Données projet'!$B$9,Paramètres!$A$1:$I$89,3,0)*VLOOKUP('Données projet'!$B$9,Paramètres!$A$1:$I$89,5,0)</f>
        <v>2.5715962692629544E-14</v>
      </c>
      <c r="P179" s="13">
        <f t="shared" si="141"/>
        <v>4.5248818890525812E-13</v>
      </c>
      <c r="Q179" s="20">
        <f t="shared" si="162"/>
        <v>8.3287223069965432E-13</v>
      </c>
      <c r="R179" s="59">
        <f t="shared" si="109"/>
        <v>293.33333333333417</v>
      </c>
      <c r="S179" s="59">
        <f ca="1">AVERAGE(OFFSET($R$3,0,0,'Données projet'!$E$9+1,1))-AVERAGE(OFFSET($H$3,0,0,'Données projet'!$E$9+1,1))</f>
        <v>138.8931001150624</v>
      </c>
      <c r="T179" s="59">
        <f t="shared" si="142"/>
        <v>48.964659354096625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-5.3205440053716299E-14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123.60520571614535</v>
      </c>
      <c r="AO179" s="59">
        <f t="shared" si="144"/>
        <v>119.00926870519527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4.8133283718992795E-2</v>
      </c>
      <c r="AV179" s="21">
        <f>EXP(-LN(2)/25)*AV178+(1-EXP(-LN(2)/25))/(LN(2)/25)*Calculateur!AQ179*Calculateur!AS179*VLOOKUP('Données projet'!$B$10,Paramètres!$A$1:$I$89,3,0)*0.475*44/12</f>
        <v>8.3390789096221857E-2</v>
      </c>
      <c r="AW179" s="21">
        <f>EXP(-LN(2)/2)*AW178+(1-EXP(-LN(2)/2))/(LN(2)/2)*AQ179*AT179*VLOOKUP('Données projet'!$B$10,Paramètres!$A$1:$I$89,3,0)*0.475*44/12</f>
        <v>6.4731427699014805E-22</v>
      </c>
      <c r="AX179" s="21">
        <f t="shared" si="166"/>
        <v>0.13152407281521467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-1.1368683772161603E-12</v>
      </c>
      <c r="BE179" s="13">
        <f>BD179*VLOOKUP('Données projet'!$B$11,Paramètres!$A$1:$I$89,3,0)*VLOOKUP('Données projet'!$B$11,Paramètres!$A$1:$I$89,5,0)</f>
        <v>-5.4683368944097316E-13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252.30925789500111</v>
      </c>
      <c r="BJ179" s="59">
        <f t="shared" si="146"/>
        <v>213.96033794804805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0.25708984873530288</v>
      </c>
      <c r="BQ179" s="21">
        <f>EXP(-LN(2)/25)*BQ178+(1-EXP(-LN(2)/25))/(LN(2)/25)*Calculateur!BL179*Calculateur!BN179*VLOOKUP('Données projet'!$B$11,Paramètres!$A$1:$I$89,3,0)*0.475*44/12</f>
        <v>0.16110592632542167</v>
      </c>
      <c r="BR179" s="21">
        <f>EXP(-LN(2)/2)*BR178+(1-EXP(-LN(2)/2))/(LN(2)/2)*BL179*BO179*VLOOKUP('Données projet'!$B$11,Paramètres!$A$1:$I$89,3,0)*0.475*44/12</f>
        <v>1.5222811125591924E-21</v>
      </c>
      <c r="BS179" s="22">
        <f t="shared" si="169"/>
        <v>0.41819577506072458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2.8421709430404007E-14</v>
      </c>
      <c r="O180" s="13">
        <f>N180*VLOOKUP('Données projet'!$B$9,Paramètres!$A$1:$I$89,3,0)*VLOOKUP('Données projet'!$B$9,Paramètres!$A$1:$I$89,5,0)</f>
        <v>2.5715962692629544E-14</v>
      </c>
      <c r="P180" s="13">
        <f t="shared" si="141"/>
        <v>4.5248818890525812E-13</v>
      </c>
      <c r="Q180" s="20">
        <f t="shared" si="162"/>
        <v>8.3287223069965432E-13</v>
      </c>
      <c r="R180" s="59">
        <f t="shared" si="109"/>
        <v>293.33333333333417</v>
      </c>
      <c r="S180" s="59">
        <f ca="1">AVERAGE(OFFSET($R$3,0,0,'Données projet'!$E$9+1,1))-AVERAGE(OFFSET($H$3,0,0,'Données projet'!$E$9+1,1))</f>
        <v>138.8931001150624</v>
      </c>
      <c r="T180" s="59">
        <f t="shared" si="142"/>
        <v>48.964659354096625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-5.3205440053716299E-14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123.60520571614535</v>
      </c>
      <c r="AO180" s="59">
        <f t="shared" si="144"/>
        <v>119.00926870519527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4.7189419383667511E-2</v>
      </c>
      <c r="AV180" s="21">
        <f>EXP(-LN(2)/25)*AV179+(1-EXP(-LN(2)/25))/(LN(2)/25)*Calculateur!AQ180*Calculateur!AS180*VLOOKUP('Données projet'!$B$10,Paramètres!$A$1:$I$89,3,0)*0.475*44/12</f>
        <v>8.1110463583054668E-2</v>
      </c>
      <c r="AW180" s="21">
        <f>EXP(-LN(2)/2)*AW179+(1-EXP(-LN(2)/2))/(LN(2)/2)*AQ180*AT180*VLOOKUP('Données projet'!$B$10,Paramètres!$A$1:$I$89,3,0)*0.475*44/12</f>
        <v>4.5772031481860082E-22</v>
      </c>
      <c r="AX180" s="21">
        <f t="shared" si="166"/>
        <v>0.12829988296672218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-1.1368683772161603E-12</v>
      </c>
      <c r="BE180" s="13">
        <f>BD180*VLOOKUP('Données projet'!$B$11,Paramètres!$A$1:$I$89,3,0)*VLOOKUP('Données projet'!$B$11,Paramètres!$A$1:$I$89,5,0)</f>
        <v>-5.4683368944097316E-13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252.30925789500111</v>
      </c>
      <c r="BJ180" s="59">
        <f t="shared" si="146"/>
        <v>213.96033794804805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0.25204847361092769</v>
      </c>
      <c r="BQ180" s="21">
        <f>EXP(-LN(2)/25)*BQ179+(1-EXP(-LN(2)/25))/(LN(2)/25)*Calculateur!BL180*Calculateur!BN180*VLOOKUP('Données projet'!$B$11,Paramètres!$A$1:$I$89,3,0)*0.475*44/12</f>
        <v>0.15670047629786057</v>
      </c>
      <c r="BR180" s="21">
        <f>EXP(-LN(2)/2)*BR179+(1-EXP(-LN(2)/2))/(LN(2)/2)*BL180*BO180*VLOOKUP('Données projet'!$B$11,Paramètres!$A$1:$I$89,3,0)*0.475*44/12</f>
        <v>1.076415297562807E-21</v>
      </c>
      <c r="BS180" s="22">
        <f t="shared" si="169"/>
        <v>0.40874894990878829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2.8421709430404007E-14</v>
      </c>
      <c r="O181" s="13">
        <f>N181*VLOOKUP('Données projet'!$B$9,Paramètres!$A$1:$I$89,3,0)*VLOOKUP('Données projet'!$B$9,Paramètres!$A$1:$I$89,5,0)</f>
        <v>2.5715962692629544E-14</v>
      </c>
      <c r="P181" s="13">
        <f t="shared" si="141"/>
        <v>4.5248818890525812E-13</v>
      </c>
      <c r="Q181" s="20">
        <f t="shared" si="162"/>
        <v>8.3287223069965432E-13</v>
      </c>
      <c r="R181" s="59">
        <f t="shared" si="109"/>
        <v>293.33333333333417</v>
      </c>
      <c r="S181" s="59">
        <f ca="1">AVERAGE(OFFSET($R$3,0,0,'Données projet'!$E$9+1,1))-AVERAGE(OFFSET($H$3,0,0,'Données projet'!$E$9+1,1))</f>
        <v>138.8931001150624</v>
      </c>
      <c r="T181" s="59">
        <f t="shared" si="142"/>
        <v>48.964659354096625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-5.3205440053716299E-14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123.60520571614535</v>
      </c>
      <c r="AO181" s="59">
        <f t="shared" si="144"/>
        <v>119.00926870519527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4.6264063652257562E-2</v>
      </c>
      <c r="AV181" s="21">
        <f>EXP(-LN(2)/25)*AV180+(1-EXP(-LN(2)/25))/(LN(2)/25)*Calculateur!AQ181*Calculateur!AS181*VLOOKUP('Données projet'!$B$10,Paramètres!$A$1:$I$89,3,0)*0.475*44/12</f>
        <v>7.8892493690962143E-2</v>
      </c>
      <c r="AW181" s="21">
        <f>EXP(-LN(2)/2)*AW180+(1-EXP(-LN(2)/2))/(LN(2)/2)*AQ181*AT181*VLOOKUP('Données projet'!$B$10,Paramètres!$A$1:$I$89,3,0)*0.475*44/12</f>
        <v>3.2365713849507402E-22</v>
      </c>
      <c r="AX181" s="21">
        <f t="shared" si="166"/>
        <v>0.1251565573432197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-1.1368683772161603E-12</v>
      </c>
      <c r="BE181" s="13">
        <f>BD181*VLOOKUP('Données projet'!$B$11,Paramètres!$A$1:$I$89,3,0)*VLOOKUP('Données projet'!$B$11,Paramètres!$A$1:$I$89,5,0)</f>
        <v>-5.4683368944097316E-13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252.30925789500111</v>
      </c>
      <c r="BJ181" s="59">
        <f t="shared" si="146"/>
        <v>213.96033794804805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0.24710595677780628</v>
      </c>
      <c r="BQ181" s="21">
        <f>EXP(-LN(2)/25)*BQ180+(1-EXP(-LN(2)/25))/(LN(2)/25)*Calculateur!BL181*Calculateur!BN181*VLOOKUP('Données projet'!$B$11,Paramètres!$A$1:$I$89,3,0)*0.475*44/12</f>
        <v>0.15241549353297568</v>
      </c>
      <c r="BR181" s="21">
        <f>EXP(-LN(2)/2)*BR180+(1-EXP(-LN(2)/2))/(LN(2)/2)*BL181*BO181*VLOOKUP('Données projet'!$B$11,Paramètres!$A$1:$I$89,3,0)*0.475*44/12</f>
        <v>7.611405562795962E-22</v>
      </c>
      <c r="BS181" s="22">
        <f t="shared" si="169"/>
        <v>0.39952145031078196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2.8421709430404007E-14</v>
      </c>
      <c r="O182" s="13">
        <f>N182*VLOOKUP('Données projet'!$B$9,Paramètres!$A$1:$I$89,3,0)*VLOOKUP('Données projet'!$B$9,Paramètres!$A$1:$I$89,5,0)</f>
        <v>2.5715962692629544E-14</v>
      </c>
      <c r="P182" s="13">
        <f t="shared" si="141"/>
        <v>4.5248818890525812E-13</v>
      </c>
      <c r="Q182" s="20">
        <f t="shared" si="162"/>
        <v>8.3287223069965432E-13</v>
      </c>
      <c r="R182" s="59">
        <f t="shared" si="109"/>
        <v>293.33333333333417</v>
      </c>
      <c r="S182" s="59">
        <f ca="1">AVERAGE(OFFSET($R$3,0,0,'Données projet'!$E$9+1,1))-AVERAGE(OFFSET($H$3,0,0,'Données projet'!$E$9+1,1))</f>
        <v>138.8931001150624</v>
      </c>
      <c r="T182" s="59">
        <f t="shared" si="142"/>
        <v>48.964659354096625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-5.3205440053716299E-14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123.60520571614535</v>
      </c>
      <c r="AO182" s="59">
        <f t="shared" si="144"/>
        <v>119.00926870519527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4.5356853582329291E-2</v>
      </c>
      <c r="AV182" s="21">
        <f>EXP(-LN(2)/25)*AV181+(1-EXP(-LN(2)/25))/(LN(2)/25)*Calculateur!AQ182*Calculateur!AS182*VLOOKUP('Données projet'!$B$10,Paramètres!$A$1:$I$89,3,0)*0.475*44/12</f>
        <v>7.6735174302206846E-2</v>
      </c>
      <c r="AW182" s="21">
        <f>EXP(-LN(2)/2)*AW181+(1-EXP(-LN(2)/2))/(LN(2)/2)*AQ182*AT182*VLOOKUP('Données projet'!$B$10,Paramètres!$A$1:$I$89,3,0)*0.475*44/12</f>
        <v>2.2886015740930041E-22</v>
      </c>
      <c r="AX182" s="21">
        <f t="shared" si="166"/>
        <v>0.12209202788453613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-1.1368683772161603E-12</v>
      </c>
      <c r="BE182" s="13">
        <f>BD182*VLOOKUP('Données projet'!$B$11,Paramètres!$A$1:$I$89,3,0)*VLOOKUP('Données projet'!$B$11,Paramètres!$A$1:$I$89,5,0)</f>
        <v>-5.4683368944097316E-13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252.30925789500111</v>
      </c>
      <c r="BJ182" s="59">
        <f t="shared" si="146"/>
        <v>213.96033794804805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0.24226035968514478</v>
      </c>
      <c r="BQ182" s="21">
        <f>EXP(-LN(2)/25)*BQ181+(1-EXP(-LN(2)/25))/(LN(2)/25)*Calculateur!BL182*Calculateur!BN182*VLOOKUP('Données projet'!$B$11,Paramètres!$A$1:$I$89,3,0)*0.475*44/12</f>
        <v>0.14824768384713399</v>
      </c>
      <c r="BR182" s="21">
        <f>EXP(-LN(2)/2)*BR181+(1-EXP(-LN(2)/2))/(LN(2)/2)*BL182*BO182*VLOOKUP('Données projet'!$B$11,Paramètres!$A$1:$I$89,3,0)*0.475*44/12</f>
        <v>5.3820764878140349E-22</v>
      </c>
      <c r="BS182" s="22">
        <f t="shared" si="169"/>
        <v>0.39050804353227875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2.8421709430404007E-14</v>
      </c>
      <c r="O183" s="13">
        <f>N183*VLOOKUP('Données projet'!$B$9,Paramètres!$A$1:$I$89,3,0)*VLOOKUP('Données projet'!$B$9,Paramètres!$A$1:$I$89,5,0)</f>
        <v>2.5715962692629544E-14</v>
      </c>
      <c r="P183" s="13">
        <f t="shared" si="141"/>
        <v>4.5248818890525812E-13</v>
      </c>
      <c r="Q183" s="20">
        <f t="shared" si="162"/>
        <v>8.3287223069965432E-13</v>
      </c>
      <c r="R183" s="59">
        <f t="shared" si="109"/>
        <v>293.33333333333417</v>
      </c>
      <c r="S183" s="59">
        <f ca="1">AVERAGE(OFFSET($R$3,0,0,'Données projet'!$E$9+1,1))-AVERAGE(OFFSET($H$3,0,0,'Données projet'!$E$9+1,1))</f>
        <v>138.8931001150624</v>
      </c>
      <c r="T183" s="59">
        <f t="shared" si="142"/>
        <v>48.964659354096625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-5.3205440053716299E-14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123.60520571614535</v>
      </c>
      <c r="AO183" s="59">
        <f t="shared" si="144"/>
        <v>119.00926870519527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4.4467433348528811E-2</v>
      </c>
      <c r="AV183" s="21">
        <f>EXP(-LN(2)/25)*AV182+(1-EXP(-LN(2)/25))/(LN(2)/25)*Calculateur!AQ183*Calculateur!AS183*VLOOKUP('Données projet'!$B$10,Paramètres!$A$1:$I$89,3,0)*0.475*44/12</f>
        <v>7.4636846925585559E-2</v>
      </c>
      <c r="AW183" s="21">
        <f>EXP(-LN(2)/2)*AW182+(1-EXP(-LN(2)/2))/(LN(2)/2)*AQ183*AT183*VLOOKUP('Données projet'!$B$10,Paramètres!$A$1:$I$89,3,0)*0.475*44/12</f>
        <v>1.6182856924753701E-22</v>
      </c>
      <c r="AX183" s="21">
        <f t="shared" si="166"/>
        <v>0.11910428027411438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-1.1368683772161603E-12</v>
      </c>
      <c r="BE183" s="13">
        <f>BD183*VLOOKUP('Données projet'!$B$11,Paramètres!$A$1:$I$89,3,0)*VLOOKUP('Données projet'!$B$11,Paramètres!$A$1:$I$89,5,0)</f>
        <v>-5.4683368944097316E-13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252.30925789500111</v>
      </c>
      <c r="BJ183" s="59">
        <f t="shared" si="146"/>
        <v>213.96033794804805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0.23750978179594801</v>
      </c>
      <c r="BQ183" s="21">
        <f>EXP(-LN(2)/25)*BQ182+(1-EXP(-LN(2)/25))/(LN(2)/25)*Calculateur!BL183*Calculateur!BN183*VLOOKUP('Données projet'!$B$11,Paramètres!$A$1:$I$89,3,0)*0.475*44/12</f>
        <v>0.14419384313632724</v>
      </c>
      <c r="BR183" s="21">
        <f>EXP(-LN(2)/2)*BR182+(1-EXP(-LN(2)/2))/(LN(2)/2)*BL183*BO183*VLOOKUP('Données projet'!$B$11,Paramètres!$A$1:$I$89,3,0)*0.475*44/12</f>
        <v>3.805702781397981E-22</v>
      </c>
      <c r="BS183" s="22">
        <f t="shared" si="169"/>
        <v>0.38170362493227528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2.8421709430404007E-14</v>
      </c>
      <c r="O184" s="13">
        <f>N184*VLOOKUP('Données projet'!$B$9,Paramètres!$A$1:$I$89,3,0)*VLOOKUP('Données projet'!$B$9,Paramètres!$A$1:$I$89,5,0)</f>
        <v>2.5715962692629544E-14</v>
      </c>
      <c r="P184" s="13">
        <f t="shared" si="141"/>
        <v>4.5248818890525812E-13</v>
      </c>
      <c r="Q184" s="20">
        <f t="shared" si="162"/>
        <v>8.3287223069965432E-13</v>
      </c>
      <c r="R184" s="59">
        <f t="shared" si="109"/>
        <v>293.33333333333417</v>
      </c>
      <c r="S184" s="59">
        <f ca="1">AVERAGE(OFFSET($R$3,0,0,'Données projet'!$E$9+1,1))-AVERAGE(OFFSET($H$3,0,0,'Données projet'!$E$9+1,1))</f>
        <v>138.8931001150624</v>
      </c>
      <c r="T184" s="59">
        <f t="shared" si="142"/>
        <v>48.964659354096625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-5.3205440053716299E-14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123.60520571614535</v>
      </c>
      <c r="AO184" s="59">
        <f t="shared" si="144"/>
        <v>119.00926870519527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4.3595454103020383E-2</v>
      </c>
      <c r="AV184" s="21">
        <f>EXP(-LN(2)/25)*AV183+(1-EXP(-LN(2)/25))/(LN(2)/25)*Calculateur!AQ184*Calculateur!AS184*VLOOKUP('Données projet'!$B$10,Paramètres!$A$1:$I$89,3,0)*0.475*44/12</f>
        <v>7.2595898421424221E-2</v>
      </c>
      <c r="AW184" s="21">
        <f>EXP(-LN(2)/2)*AW183+(1-EXP(-LN(2)/2))/(LN(2)/2)*AQ184*AT184*VLOOKUP('Données projet'!$B$10,Paramètres!$A$1:$I$89,3,0)*0.475*44/12</f>
        <v>1.1443007870465021E-22</v>
      </c>
      <c r="AX184" s="21">
        <f t="shared" si="166"/>
        <v>0.1161913525244446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-1.1368683772161603E-12</v>
      </c>
      <c r="BE184" s="13">
        <f>BD184*VLOOKUP('Données projet'!$B$11,Paramètres!$A$1:$I$89,3,0)*VLOOKUP('Données projet'!$B$11,Paramètres!$A$1:$I$89,5,0)</f>
        <v>-5.4683368944097316E-13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252.30925789500111</v>
      </c>
      <c r="BJ184" s="59">
        <f t="shared" si="146"/>
        <v>213.96033794804805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0.23285235984159197</v>
      </c>
      <c r="BQ184" s="21">
        <f>EXP(-LN(2)/25)*BQ183+(1-EXP(-LN(2)/25))/(LN(2)/25)*Calculateur!BL184*Calculateur!BN184*VLOOKUP('Données projet'!$B$11,Paramètres!$A$1:$I$89,3,0)*0.475*44/12</f>
        <v>0.14025085491293973</v>
      </c>
      <c r="BR184" s="21">
        <f>EXP(-LN(2)/2)*BR183+(1-EXP(-LN(2)/2))/(LN(2)/2)*BL184*BO184*VLOOKUP('Données projet'!$B$11,Paramètres!$A$1:$I$89,3,0)*0.475*44/12</f>
        <v>2.6910382439070174E-22</v>
      </c>
      <c r="BS184" s="22">
        <f t="shared" si="169"/>
        <v>0.37310321475453168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2.8421709430404007E-14</v>
      </c>
      <c r="O185" s="13">
        <f>N185*VLOOKUP('Données projet'!$B$9,Paramètres!$A$1:$I$89,3,0)*VLOOKUP('Données projet'!$B$9,Paramètres!$A$1:$I$89,5,0)</f>
        <v>2.5715962692629544E-14</v>
      </c>
      <c r="P185" s="13">
        <f t="shared" si="141"/>
        <v>4.5248818890525812E-13</v>
      </c>
      <c r="Q185" s="20">
        <f t="shared" si="162"/>
        <v>8.3287223069965432E-13</v>
      </c>
      <c r="R185" s="59">
        <f t="shared" si="109"/>
        <v>293.33333333333417</v>
      </c>
      <c r="S185" s="59">
        <f ca="1">AVERAGE(OFFSET($R$3,0,0,'Données projet'!$E$9+1,1))-AVERAGE(OFFSET($H$3,0,0,'Données projet'!$E$9+1,1))</f>
        <v>138.8931001150624</v>
      </c>
      <c r="T185" s="59">
        <f t="shared" si="142"/>
        <v>48.964659354096625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-5.3205440053716299E-14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123.60520571614535</v>
      </c>
      <c r="AO185" s="59">
        <f t="shared" si="144"/>
        <v>119.00926870519527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4.2740573838661554E-2</v>
      </c>
      <c r="AV185" s="21">
        <f>EXP(-LN(2)/25)*AV184+(1-EXP(-LN(2)/25))/(LN(2)/25)*Calculateur!AQ185*Calculateur!AS185*VLOOKUP('Données projet'!$B$10,Paramètres!$A$1:$I$89,3,0)*0.475*44/12</f>
        <v>7.0610759761437991E-2</v>
      </c>
      <c r="AW185" s="21">
        <f>EXP(-LN(2)/2)*AW184+(1-EXP(-LN(2)/2))/(LN(2)/2)*AQ185*AT185*VLOOKUP('Données projet'!$B$10,Paramètres!$A$1:$I$89,3,0)*0.475*44/12</f>
        <v>8.0914284623768506E-23</v>
      </c>
      <c r="AX185" s="21">
        <f t="shared" si="166"/>
        <v>0.11335133360009955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-1.1368683772161603E-12</v>
      </c>
      <c r="BE185" s="13">
        <f>BD185*VLOOKUP('Données projet'!$B$11,Paramètres!$A$1:$I$89,3,0)*VLOOKUP('Données projet'!$B$11,Paramètres!$A$1:$I$89,5,0)</f>
        <v>-5.4683368944097316E-13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252.30925789500111</v>
      </c>
      <c r="BJ185" s="59">
        <f t="shared" si="146"/>
        <v>213.96033794804805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0.22828626709101396</v>
      </c>
      <c r="BQ185" s="21">
        <f>EXP(-LN(2)/25)*BQ184+(1-EXP(-LN(2)/25))/(LN(2)/25)*Calculateur!BL185*Calculateur!BN185*VLOOKUP('Données projet'!$B$11,Paramètres!$A$1:$I$89,3,0)*0.475*44/12</f>
        <v>0.13641568790987349</v>
      </c>
      <c r="BR185" s="21">
        <f>EXP(-LN(2)/2)*BR184+(1-EXP(-LN(2)/2))/(LN(2)/2)*BL185*BO185*VLOOKUP('Données projet'!$B$11,Paramètres!$A$1:$I$89,3,0)*0.475*44/12</f>
        <v>1.9028513906989905E-22</v>
      </c>
      <c r="BS185" s="22">
        <f t="shared" si="169"/>
        <v>0.36470195500088742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2.8421709430404007E-14</v>
      </c>
      <c r="O186" s="13">
        <f>N186*VLOOKUP('Données projet'!$B$9,Paramètres!$A$1:$I$89,3,0)*VLOOKUP('Données projet'!$B$9,Paramètres!$A$1:$I$89,5,0)</f>
        <v>2.5715962692629544E-14</v>
      </c>
      <c r="P186" s="13">
        <f t="shared" si="141"/>
        <v>4.5248818890525812E-13</v>
      </c>
      <c r="Q186" s="20">
        <f t="shared" si="162"/>
        <v>8.3287223069965432E-13</v>
      </c>
      <c r="R186" s="59">
        <f t="shared" si="109"/>
        <v>293.33333333333417</v>
      </c>
      <c r="S186" s="59">
        <f ca="1">AVERAGE(OFFSET($R$3,0,0,'Données projet'!$E$9+1,1))-AVERAGE(OFFSET($H$3,0,0,'Données projet'!$E$9+1,1))</f>
        <v>138.8931001150624</v>
      </c>
      <c r="T186" s="59">
        <f t="shared" si="142"/>
        <v>48.964659354096625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-5.3205440053716299E-14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123.60520571614535</v>
      </c>
      <c r="AO186" s="59">
        <f t="shared" si="144"/>
        <v>119.00926870519527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4.1902457254861324E-2</v>
      </c>
      <c r="AV186" s="21">
        <f>EXP(-LN(2)/25)*AV185+(1-EXP(-LN(2)/25))/(LN(2)/25)*Calculateur!AQ186*Calculateur!AS186*VLOOKUP('Données projet'!$B$10,Paramètres!$A$1:$I$89,3,0)*0.475*44/12</f>
        <v>6.8679904822502996E-2</v>
      </c>
      <c r="AW186" s="21">
        <f>EXP(-LN(2)/2)*AW185+(1-EXP(-LN(2)/2))/(LN(2)/2)*AQ186*AT186*VLOOKUP('Données projet'!$B$10,Paramètres!$A$1:$I$89,3,0)*0.475*44/12</f>
        <v>5.7215039352325103E-23</v>
      </c>
      <c r="AX186" s="21">
        <f t="shared" si="166"/>
        <v>0.11058236207736433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-1.1368683772161603E-12</v>
      </c>
      <c r="BE186" s="13">
        <f>BD186*VLOOKUP('Données projet'!$B$11,Paramètres!$A$1:$I$89,3,0)*VLOOKUP('Données projet'!$B$11,Paramètres!$A$1:$I$89,5,0)</f>
        <v>-5.4683368944097316E-13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252.30925789500111</v>
      </c>
      <c r="BJ186" s="59">
        <f t="shared" si="146"/>
        <v>213.96033794804805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0.22380971263423322</v>
      </c>
      <c r="BQ186" s="21">
        <f>EXP(-LN(2)/25)*BQ185+(1-EXP(-LN(2)/25))/(LN(2)/25)*Calculateur!BL186*Calculateur!BN186*VLOOKUP('Données projet'!$B$11,Paramètres!$A$1:$I$89,3,0)*0.475*44/12</f>
        <v>0.13268539375018876</v>
      </c>
      <c r="BR186" s="21">
        <f>EXP(-LN(2)/2)*BR185+(1-EXP(-LN(2)/2))/(LN(2)/2)*BL186*BO186*VLOOKUP('Données projet'!$B$11,Paramètres!$A$1:$I$89,3,0)*0.475*44/12</f>
        <v>1.3455191219535087E-22</v>
      </c>
      <c r="BS186" s="22">
        <f t="shared" si="169"/>
        <v>0.35649510638442194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2.8421709430404007E-14</v>
      </c>
      <c r="O187" s="13">
        <f>N187*VLOOKUP('Données projet'!$B$9,Paramètres!$A$1:$I$89,3,0)*VLOOKUP('Données projet'!$B$9,Paramètres!$A$1:$I$89,5,0)</f>
        <v>2.5715962692629544E-14</v>
      </c>
      <c r="P187" s="13">
        <f t="shared" si="141"/>
        <v>4.5248818890525812E-13</v>
      </c>
      <c r="Q187" s="20">
        <f t="shared" si="162"/>
        <v>8.3287223069965432E-13</v>
      </c>
      <c r="R187" s="59">
        <f t="shared" si="109"/>
        <v>293.33333333333417</v>
      </c>
      <c r="S187" s="59">
        <f ca="1">AVERAGE(OFFSET($R$3,0,0,'Données projet'!$E$9+1,1))-AVERAGE(OFFSET($H$3,0,0,'Données projet'!$E$9+1,1))</f>
        <v>138.8931001150624</v>
      </c>
      <c r="T187" s="59">
        <f t="shared" si="142"/>
        <v>48.964659354096625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-5.3205440053716299E-14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123.60520571614535</v>
      </c>
      <c r="AO187" s="59">
        <f t="shared" si="144"/>
        <v>119.00926870519527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4.108077562606878E-2</v>
      </c>
      <c r="AV187" s="21">
        <f>EXP(-LN(2)/25)*AV186+(1-EXP(-LN(2)/25))/(LN(2)/25)*Calculateur!AQ187*Calculateur!AS187*VLOOKUP('Données projet'!$B$10,Paramètres!$A$1:$I$89,3,0)*0.475*44/12</f>
        <v>6.6801849213412423E-2</v>
      </c>
      <c r="AW187" s="21">
        <f>EXP(-LN(2)/2)*AW186+(1-EXP(-LN(2)/2))/(LN(2)/2)*AQ187*AT187*VLOOKUP('Données projet'!$B$10,Paramètres!$A$1:$I$89,3,0)*0.475*44/12</f>
        <v>4.0457142311884253E-23</v>
      </c>
      <c r="AX187" s="21">
        <f t="shared" si="166"/>
        <v>0.1078826248394812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-1.1368683772161603E-12</v>
      </c>
      <c r="BE187" s="13">
        <f>BD187*VLOOKUP('Données projet'!$B$11,Paramètres!$A$1:$I$89,3,0)*VLOOKUP('Données projet'!$B$11,Paramètres!$A$1:$I$89,5,0)</f>
        <v>-5.4683368944097316E-13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252.30925789500111</v>
      </c>
      <c r="BJ187" s="59">
        <f t="shared" si="146"/>
        <v>213.96033794804805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0.21942094067992132</v>
      </c>
      <c r="BQ187" s="21">
        <f>EXP(-LN(2)/25)*BQ186+(1-EXP(-LN(2)/25))/(LN(2)/25)*Calculateur!BL187*Calculateur!BN187*VLOOKUP('Données projet'!$B$11,Paramètres!$A$1:$I$89,3,0)*0.475*44/12</f>
        <v>0.12905710468046824</v>
      </c>
      <c r="BR187" s="21">
        <f>EXP(-LN(2)/2)*BR186+(1-EXP(-LN(2)/2))/(LN(2)/2)*BL187*BO187*VLOOKUP('Données projet'!$B$11,Paramètres!$A$1:$I$89,3,0)*0.475*44/12</f>
        <v>9.5142569534949525E-23</v>
      </c>
      <c r="BS187" s="22">
        <f t="shared" si="169"/>
        <v>0.34847804536038957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2.8421709430404007E-14</v>
      </c>
      <c r="O188" s="13">
        <f>N188*VLOOKUP('Données projet'!$B$9,Paramètres!$A$1:$I$89,3,0)*VLOOKUP('Données projet'!$B$9,Paramètres!$A$1:$I$89,5,0)</f>
        <v>2.5715962692629544E-14</v>
      </c>
      <c r="P188" s="13">
        <f t="shared" si="141"/>
        <v>4.5248818890525812E-13</v>
      </c>
      <c r="Q188" s="20">
        <f t="shared" si="162"/>
        <v>8.3287223069965432E-13</v>
      </c>
      <c r="R188" s="59">
        <f t="shared" si="109"/>
        <v>293.33333333333417</v>
      </c>
      <c r="S188" s="59">
        <f ca="1">AVERAGE(OFFSET($R$3,0,0,'Données projet'!$E$9+1,1))-AVERAGE(OFFSET($H$3,0,0,'Données projet'!$E$9+1,1))</f>
        <v>138.8931001150624</v>
      </c>
      <c r="T188" s="59">
        <f t="shared" si="142"/>
        <v>48.964659354096625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-5.3205440053716299E-14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123.60520571614535</v>
      </c>
      <c r="AO188" s="59">
        <f t="shared" si="144"/>
        <v>119.00926870519527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4.0275206672840548E-2</v>
      </c>
      <c r="AV188" s="21">
        <f>EXP(-LN(2)/25)*AV187+(1-EXP(-LN(2)/25))/(LN(2)/25)*Calculateur!AQ188*Calculateur!AS188*VLOOKUP('Données projet'!$B$10,Paramètres!$A$1:$I$89,3,0)*0.475*44/12</f>
        <v>6.497514913371509E-2</v>
      </c>
      <c r="AW188" s="21">
        <f>EXP(-LN(2)/2)*AW187+(1-EXP(-LN(2)/2))/(LN(2)/2)*AQ188*AT188*VLOOKUP('Données projet'!$B$10,Paramètres!$A$1:$I$89,3,0)*0.475*44/12</f>
        <v>2.8607519676162551E-23</v>
      </c>
      <c r="AX188" s="21">
        <f t="shared" si="166"/>
        <v>0.10525035580655565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-1.1368683772161603E-12</v>
      </c>
      <c r="BE188" s="13">
        <f>BD188*VLOOKUP('Données projet'!$B$11,Paramètres!$A$1:$I$89,3,0)*VLOOKUP('Données projet'!$B$11,Paramètres!$A$1:$I$89,5,0)</f>
        <v>-5.4683368944097316E-13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252.30925789500111</v>
      </c>
      <c r="BJ188" s="59">
        <f t="shared" si="146"/>
        <v>213.96033794804805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0.21511822986674692</v>
      </c>
      <c r="BQ188" s="21">
        <f>EXP(-LN(2)/25)*BQ187+(1-EXP(-LN(2)/25))/(LN(2)/25)*Calculateur!BL188*Calculateur!BN188*VLOOKUP('Données projet'!$B$11,Paramètres!$A$1:$I$89,3,0)*0.475*44/12</f>
        <v>0.12552803136616267</v>
      </c>
      <c r="BR188" s="21">
        <f>EXP(-LN(2)/2)*BR187+(1-EXP(-LN(2)/2))/(LN(2)/2)*BL188*BO188*VLOOKUP('Données projet'!$B$11,Paramètres!$A$1:$I$89,3,0)*0.475*44/12</f>
        <v>6.7275956097675436E-23</v>
      </c>
      <c r="BS188" s="22">
        <f t="shared" si="169"/>
        <v>0.34064626123290959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2.8421709430404007E-14</v>
      </c>
      <c r="O189" s="13">
        <f>N189*VLOOKUP('Données projet'!$B$9,Paramètres!$A$1:$I$89,3,0)*VLOOKUP('Données projet'!$B$9,Paramètres!$A$1:$I$89,5,0)</f>
        <v>2.5715962692629544E-14</v>
      </c>
      <c r="P189" s="13">
        <f t="shared" si="141"/>
        <v>4.5248818890525812E-13</v>
      </c>
      <c r="Q189" s="20">
        <f t="shared" si="162"/>
        <v>8.3287223069965432E-13</v>
      </c>
      <c r="R189" s="59">
        <f t="shared" si="109"/>
        <v>293.33333333333417</v>
      </c>
      <c r="S189" s="59">
        <f ca="1">AVERAGE(OFFSET($R$3,0,0,'Données projet'!$E$9+1,1))-AVERAGE(OFFSET($H$3,0,0,'Données projet'!$E$9+1,1))</f>
        <v>138.8931001150624</v>
      </c>
      <c r="T189" s="59">
        <f t="shared" si="142"/>
        <v>48.964659354096625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-5.3205440053716299E-14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123.60520571614535</v>
      </c>
      <c r="AO189" s="59">
        <f t="shared" si="144"/>
        <v>119.00926870519527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3.9485434435436575E-2</v>
      </c>
      <c r="AV189" s="21">
        <f>EXP(-LN(2)/25)*AV188+(1-EXP(-LN(2)/25))/(LN(2)/25)*Calculateur!AQ189*Calculateur!AS189*VLOOKUP('Données projet'!$B$10,Paramètres!$A$1:$I$89,3,0)*0.475*44/12</f>
        <v>6.3198400263759058E-2</v>
      </c>
      <c r="AW189" s="21">
        <f>EXP(-LN(2)/2)*AW188+(1-EXP(-LN(2)/2))/(LN(2)/2)*AQ189*AT189*VLOOKUP('Données projet'!$B$10,Paramètres!$A$1:$I$89,3,0)*0.475*44/12</f>
        <v>2.0228571155942126E-23</v>
      </c>
      <c r="AX189" s="21">
        <f t="shared" si="166"/>
        <v>0.10268383469919563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-1.1368683772161603E-12</v>
      </c>
      <c r="BE189" s="13">
        <f>BD189*VLOOKUP('Données projet'!$B$11,Paramètres!$A$1:$I$89,3,0)*VLOOKUP('Données projet'!$B$11,Paramètres!$A$1:$I$89,5,0)</f>
        <v>-5.4683368944097316E-13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252.30925789500111</v>
      </c>
      <c r="BJ189" s="59">
        <f t="shared" si="146"/>
        <v>213.96033794804805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0.21089989258822439</v>
      </c>
      <c r="BQ189" s="21">
        <f>EXP(-LN(2)/25)*BQ188+(1-EXP(-LN(2)/25))/(LN(2)/25)*Calculateur!BL189*Calculateur!BN189*VLOOKUP('Données projet'!$B$11,Paramètres!$A$1:$I$89,3,0)*0.475*44/12</f>
        <v>0.12209546074722268</v>
      </c>
      <c r="BR189" s="21">
        <f>EXP(-LN(2)/2)*BR188+(1-EXP(-LN(2)/2))/(LN(2)/2)*BL189*BO189*VLOOKUP('Données projet'!$B$11,Paramètres!$A$1:$I$89,3,0)*0.475*44/12</f>
        <v>4.7571284767474763E-23</v>
      </c>
      <c r="BS189" s="22">
        <f t="shared" si="169"/>
        <v>0.33299535333544705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2.8421709430404007E-14</v>
      </c>
      <c r="O190" s="13">
        <f>N190*VLOOKUP('Données projet'!$B$9,Paramètres!$A$1:$I$89,3,0)*VLOOKUP('Données projet'!$B$9,Paramètres!$A$1:$I$89,5,0)</f>
        <v>2.5715962692629544E-14</v>
      </c>
      <c r="P190" s="13">
        <f t="shared" si="141"/>
        <v>4.5248818890525812E-13</v>
      </c>
      <c r="Q190" s="20">
        <f t="shared" si="162"/>
        <v>8.3287223069965432E-13</v>
      </c>
      <c r="R190" s="59">
        <f t="shared" si="109"/>
        <v>293.33333333333417</v>
      </c>
      <c r="S190" s="59">
        <f ca="1">AVERAGE(OFFSET($R$3,0,0,'Données projet'!$E$9+1,1))-AVERAGE(OFFSET($H$3,0,0,'Données projet'!$E$9+1,1))</f>
        <v>138.8931001150624</v>
      </c>
      <c r="T190" s="59">
        <f t="shared" si="142"/>
        <v>48.964659354096625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-5.3205440053716299E-14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123.60520571614535</v>
      </c>
      <c r="AO190" s="59">
        <f t="shared" si="144"/>
        <v>119.00926870519527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3.8711149149894597E-2</v>
      </c>
      <c r="AV190" s="21">
        <f>EXP(-LN(2)/25)*AV189+(1-EXP(-LN(2)/25))/(LN(2)/25)*Calculateur!AQ190*Calculateur!AS190*VLOOKUP('Données projet'!$B$10,Paramètres!$A$1:$I$89,3,0)*0.475*44/12</f>
        <v>6.1470236685087137E-2</v>
      </c>
      <c r="AW190" s="21">
        <f>EXP(-LN(2)/2)*AW189+(1-EXP(-LN(2)/2))/(LN(2)/2)*AQ190*AT190*VLOOKUP('Données projet'!$B$10,Paramètres!$A$1:$I$89,3,0)*0.475*44/12</f>
        <v>1.4303759838081276E-23</v>
      </c>
      <c r="AX190" s="21">
        <f t="shared" si="166"/>
        <v>0.10018138583498173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-1.1368683772161603E-12</v>
      </c>
      <c r="BE190" s="13">
        <f>BD190*VLOOKUP('Données projet'!$B$11,Paramètres!$A$1:$I$89,3,0)*VLOOKUP('Données projet'!$B$11,Paramètres!$A$1:$I$89,5,0)</f>
        <v>-5.4683368944097316E-13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252.30925789500111</v>
      </c>
      <c r="BJ190" s="59">
        <f t="shared" si="146"/>
        <v>213.96033794804805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0.20676427433080202</v>
      </c>
      <c r="BQ190" s="21">
        <f>EXP(-LN(2)/25)*BQ189+(1-EXP(-LN(2)/25))/(LN(2)/25)*Calculateur!BL190*Calculateur!BN190*VLOOKUP('Données projet'!$B$11,Paramètres!$A$1:$I$89,3,0)*0.475*44/12</f>
        <v>0.11875675395236865</v>
      </c>
      <c r="BR190" s="21">
        <f>EXP(-LN(2)/2)*BR189+(1-EXP(-LN(2)/2))/(LN(2)/2)*BL190*BO190*VLOOKUP('Données projet'!$B$11,Paramètres!$A$1:$I$89,3,0)*0.475*44/12</f>
        <v>3.3637978048837718E-23</v>
      </c>
      <c r="BS190" s="22">
        <f t="shared" si="169"/>
        <v>0.32552102828317064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2.8421709430404007E-14</v>
      </c>
      <c r="O191" s="13">
        <f>N191*VLOOKUP('Données projet'!$B$9,Paramètres!$A$1:$I$89,3,0)*VLOOKUP('Données projet'!$B$9,Paramètres!$A$1:$I$89,5,0)</f>
        <v>2.5715962692629544E-14</v>
      </c>
      <c r="P191" s="13">
        <f t="shared" si="141"/>
        <v>4.5248818890525812E-13</v>
      </c>
      <c r="Q191" s="20">
        <f t="shared" si="162"/>
        <v>8.3287223069965432E-13</v>
      </c>
      <c r="R191" s="59">
        <f t="shared" si="109"/>
        <v>293.33333333333417</v>
      </c>
      <c r="S191" s="59">
        <f ca="1">AVERAGE(OFFSET($R$3,0,0,'Données projet'!$E$9+1,1))-AVERAGE(OFFSET($H$3,0,0,'Données projet'!$E$9+1,1))</f>
        <v>138.8931001150624</v>
      </c>
      <c r="T191" s="59">
        <f t="shared" si="142"/>
        <v>48.964659354096625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-5.3205440053716299E-14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123.60520571614535</v>
      </c>
      <c r="AO191" s="59">
        <f t="shared" si="144"/>
        <v>119.00926870519527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3.7952047126534709E-2</v>
      </c>
      <c r="AV191" s="21">
        <f>EXP(-LN(2)/25)*AV190+(1-EXP(-LN(2)/25))/(LN(2)/25)*Calculateur!AQ191*Calculateur!AS191*VLOOKUP('Données projet'!$B$10,Paramètres!$A$1:$I$89,3,0)*0.475*44/12</f>
        <v>5.9789329830354176E-2</v>
      </c>
      <c r="AW191" s="21">
        <f>EXP(-LN(2)/2)*AW190+(1-EXP(-LN(2)/2))/(LN(2)/2)*AQ191*AT191*VLOOKUP('Données projet'!$B$10,Paramètres!$A$1:$I$89,3,0)*0.475*44/12</f>
        <v>1.0114285577971063E-23</v>
      </c>
      <c r="AX191" s="21">
        <f t="shared" si="166"/>
        <v>9.7741376956888892E-2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-1.1368683772161603E-12</v>
      </c>
      <c r="BE191" s="13">
        <f>BD191*VLOOKUP('Données projet'!$B$11,Paramètres!$A$1:$I$89,3,0)*VLOOKUP('Données projet'!$B$11,Paramètres!$A$1:$I$89,5,0)</f>
        <v>-5.4683368944097316E-13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252.30925789500111</v>
      </c>
      <c r="BJ191" s="59">
        <f t="shared" si="146"/>
        <v>213.96033794804805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0.20270975302492963</v>
      </c>
      <c r="BQ191" s="21">
        <f>EXP(-LN(2)/25)*BQ190+(1-EXP(-LN(2)/25))/(LN(2)/25)*Calculateur!BL191*Calculateur!BN191*VLOOKUP('Données projet'!$B$11,Paramètres!$A$1:$I$89,3,0)*0.475*44/12</f>
        <v>0.11550934427039486</v>
      </c>
      <c r="BR191" s="21">
        <f>EXP(-LN(2)/2)*BR190+(1-EXP(-LN(2)/2))/(LN(2)/2)*BL191*BO191*VLOOKUP('Données projet'!$B$11,Paramètres!$A$1:$I$89,3,0)*0.475*44/12</f>
        <v>2.3785642383737381E-23</v>
      </c>
      <c r="BS191" s="22">
        <f t="shared" si="169"/>
        <v>0.31821909729532449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2.8421709430404007E-14</v>
      </c>
      <c r="O192" s="13">
        <f>N192*VLOOKUP('Données projet'!$B$9,Paramètres!$A$1:$I$89,3,0)*VLOOKUP('Données projet'!$B$9,Paramètres!$A$1:$I$89,5,0)</f>
        <v>2.5715962692629544E-14</v>
      </c>
      <c r="P192" s="13">
        <f t="shared" si="141"/>
        <v>4.5248818890525812E-13</v>
      </c>
      <c r="Q192" s="20">
        <f t="shared" si="162"/>
        <v>8.3287223069965432E-13</v>
      </c>
      <c r="R192" s="59">
        <f t="shared" si="109"/>
        <v>293.33333333333417</v>
      </c>
      <c r="S192" s="59">
        <f ca="1">AVERAGE(OFFSET($R$3,0,0,'Données projet'!$E$9+1,1))-AVERAGE(OFFSET($H$3,0,0,'Données projet'!$E$9+1,1))</f>
        <v>138.8931001150624</v>
      </c>
      <c r="T192" s="59">
        <f t="shared" si="142"/>
        <v>48.964659354096625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-5.3205440053716299E-14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123.60520571614535</v>
      </c>
      <c r="AO192" s="59">
        <f t="shared" si="144"/>
        <v>119.00926870519527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3.7207830630846386E-2</v>
      </c>
      <c r="AV192" s="21">
        <f>EXP(-LN(2)/25)*AV191+(1-EXP(-LN(2)/25))/(LN(2)/25)*Calculateur!AQ192*Calculateur!AS192*VLOOKUP('Données projet'!$B$10,Paramètres!$A$1:$I$89,3,0)*0.475*44/12</f>
        <v>5.8154387461958938E-2</v>
      </c>
      <c r="AW192" s="21">
        <f>EXP(-LN(2)/2)*AW191+(1-EXP(-LN(2)/2))/(LN(2)/2)*AQ192*AT192*VLOOKUP('Données projet'!$B$10,Paramètres!$A$1:$I$89,3,0)*0.475*44/12</f>
        <v>7.1518799190406378E-24</v>
      </c>
      <c r="AX192" s="21">
        <f t="shared" si="166"/>
        <v>9.5362218092805318E-2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-1.1368683772161603E-12</v>
      </c>
      <c r="BE192" s="13">
        <f>BD192*VLOOKUP('Données projet'!$B$11,Paramètres!$A$1:$I$89,3,0)*VLOOKUP('Données projet'!$B$11,Paramètres!$A$1:$I$89,5,0)</f>
        <v>-5.4683368944097316E-13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252.30925789500111</v>
      </c>
      <c r="BJ192" s="59">
        <f t="shared" si="146"/>
        <v>213.96033794804805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0.19873473840885161</v>
      </c>
      <c r="BQ192" s="21">
        <f>EXP(-LN(2)/25)*BQ191+(1-EXP(-LN(2)/25))/(LN(2)/25)*Calculateur!BL192*Calculateur!BN192*VLOOKUP('Données projet'!$B$11,Paramètres!$A$1:$I$89,3,0)*0.475*44/12</f>
        <v>0.11235073517694849</v>
      </c>
      <c r="BR192" s="21">
        <f>EXP(-LN(2)/2)*BR191+(1-EXP(-LN(2)/2))/(LN(2)/2)*BL192*BO192*VLOOKUP('Données projet'!$B$11,Paramètres!$A$1:$I$89,3,0)*0.475*44/12</f>
        <v>1.6818989024418859E-23</v>
      </c>
      <c r="BS192" s="22">
        <f t="shared" si="169"/>
        <v>0.31108547358580008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2.8421709430404007E-14</v>
      </c>
      <c r="O193" s="13">
        <f>N193*VLOOKUP('Données projet'!$B$9,Paramètres!$A$1:$I$89,3,0)*VLOOKUP('Données projet'!$B$9,Paramètres!$A$1:$I$89,5,0)</f>
        <v>2.5715962692629544E-14</v>
      </c>
      <c r="P193" s="13">
        <f t="shared" si="141"/>
        <v>4.5248818890525812E-13</v>
      </c>
      <c r="Q193" s="20">
        <f t="shared" si="162"/>
        <v>8.3287223069965432E-13</v>
      </c>
      <c r="R193" s="59">
        <f t="shared" si="109"/>
        <v>293.33333333333417</v>
      </c>
      <c r="S193" s="59">
        <f ca="1">AVERAGE(OFFSET($R$3,0,0,'Données projet'!$E$9+1,1))-AVERAGE(OFFSET($H$3,0,0,'Données projet'!$E$9+1,1))</f>
        <v>138.8931001150624</v>
      </c>
      <c r="T193" s="59">
        <f t="shared" si="142"/>
        <v>48.964659354096625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-5.3205440053716299E-14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123.60520571614535</v>
      </c>
      <c r="AO193" s="59">
        <f t="shared" si="144"/>
        <v>119.00926870519527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3.6478207766711276E-2</v>
      </c>
      <c r="AV193" s="21">
        <f>EXP(-LN(2)/25)*AV192+(1-EXP(-LN(2)/25))/(LN(2)/25)*Calculateur!AQ193*Calculateur!AS193*VLOOKUP('Données projet'!$B$10,Paramètres!$A$1:$I$89,3,0)*0.475*44/12</f>
        <v>5.6564152678605345E-2</v>
      </c>
      <c r="AW193" s="21">
        <f>EXP(-LN(2)/2)*AW192+(1-EXP(-LN(2)/2))/(LN(2)/2)*AQ193*AT193*VLOOKUP('Données projet'!$B$10,Paramètres!$A$1:$I$89,3,0)*0.475*44/12</f>
        <v>5.0571427889855316E-24</v>
      </c>
      <c r="AX193" s="21">
        <f t="shared" si="166"/>
        <v>9.3042360445316621E-2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-1.1368683772161603E-12</v>
      </c>
      <c r="BE193" s="13">
        <f>BD193*VLOOKUP('Données projet'!$B$11,Paramètres!$A$1:$I$89,3,0)*VLOOKUP('Données projet'!$B$11,Paramètres!$A$1:$I$89,5,0)</f>
        <v>-5.4683368944097316E-13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252.30925789500111</v>
      </c>
      <c r="BJ193" s="59">
        <f t="shared" si="146"/>
        <v>213.96033794804805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0.19483767140487535</v>
      </c>
      <c r="BQ193" s="21">
        <f>EXP(-LN(2)/25)*BQ192+(1-EXP(-LN(2)/25))/(LN(2)/25)*Calculateur!BL193*Calculateur!BN193*VLOOKUP('Données projet'!$B$11,Paramètres!$A$1:$I$89,3,0)*0.475*44/12</f>
        <v>0.10927849841526645</v>
      </c>
      <c r="BR193" s="21">
        <f>EXP(-LN(2)/2)*BR192+(1-EXP(-LN(2)/2))/(LN(2)/2)*BL193*BO193*VLOOKUP('Données projet'!$B$11,Paramètres!$A$1:$I$89,3,0)*0.475*44/12</f>
        <v>1.1892821191868691E-23</v>
      </c>
      <c r="BS193" s="22">
        <f t="shared" si="169"/>
        <v>0.30411616982014178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2.8421709430404007E-14</v>
      </c>
      <c r="O194" s="13">
        <f>N194*VLOOKUP('Données projet'!$B$9,Paramètres!$A$1:$I$89,3,0)*VLOOKUP('Données projet'!$B$9,Paramètres!$A$1:$I$89,5,0)</f>
        <v>2.5715962692629544E-14</v>
      </c>
      <c r="P194" s="13">
        <f t="shared" si="141"/>
        <v>4.5248818890525812E-13</v>
      </c>
      <c r="Q194" s="20">
        <f t="shared" si="162"/>
        <v>8.3287223069965432E-13</v>
      </c>
      <c r="R194" s="59">
        <f t="shared" si="109"/>
        <v>293.33333333333417</v>
      </c>
      <c r="S194" s="59">
        <f ca="1">AVERAGE(OFFSET($R$3,0,0,'Données projet'!$E$9+1,1))-AVERAGE(OFFSET($H$3,0,0,'Données projet'!$E$9+1,1))</f>
        <v>138.8931001150624</v>
      </c>
      <c r="T194" s="59">
        <f t="shared" si="142"/>
        <v>48.964659354096625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-5.3205440053716299E-14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123.60520571614535</v>
      </c>
      <c r="AO194" s="59">
        <f t="shared" si="144"/>
        <v>119.00926870519527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3.5762892361915849E-2</v>
      </c>
      <c r="AV194" s="21">
        <f>EXP(-LN(2)/25)*AV193+(1-EXP(-LN(2)/25))/(LN(2)/25)*Calculateur!AQ194*Calculateur!AS194*VLOOKUP('Données projet'!$B$10,Paramètres!$A$1:$I$89,3,0)*0.475*44/12</f>
        <v>5.5017402949029369E-2</v>
      </c>
      <c r="AW194" s="21">
        <f>EXP(-LN(2)/2)*AW193+(1-EXP(-LN(2)/2))/(LN(2)/2)*AQ194*AT194*VLOOKUP('Données projet'!$B$10,Paramètres!$A$1:$I$89,3,0)*0.475*44/12</f>
        <v>3.5759399595203189E-24</v>
      </c>
      <c r="AX194" s="21">
        <f t="shared" si="166"/>
        <v>9.0780295310945225E-2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-1.1368683772161603E-12</v>
      </c>
      <c r="BE194" s="13">
        <f>BD194*VLOOKUP('Données projet'!$B$11,Paramètres!$A$1:$I$89,3,0)*VLOOKUP('Données projet'!$B$11,Paramètres!$A$1:$I$89,5,0)</f>
        <v>-5.4683368944097316E-13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252.30925789500111</v>
      </c>
      <c r="BJ194" s="59">
        <f t="shared" si="146"/>
        <v>213.96033794804805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0.19101702350787089</v>
      </c>
      <c r="BQ194" s="21">
        <f>EXP(-LN(2)/25)*BQ193+(1-EXP(-LN(2)/25))/(LN(2)/25)*Calculateur!BL194*Calculateur!BN194*VLOOKUP('Données projet'!$B$11,Paramètres!$A$1:$I$89,3,0)*0.475*44/12</f>
        <v>0.10629027212939451</v>
      </c>
      <c r="BR194" s="21">
        <f>EXP(-LN(2)/2)*BR193+(1-EXP(-LN(2)/2))/(LN(2)/2)*BL194*BO194*VLOOKUP('Données projet'!$B$11,Paramètres!$A$1:$I$89,3,0)*0.475*44/12</f>
        <v>8.4094945122094295E-24</v>
      </c>
      <c r="BS194" s="22">
        <f t="shared" si="169"/>
        <v>0.29730729563726543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2.8421709430404007E-14</v>
      </c>
      <c r="O195" s="13">
        <f>N195*VLOOKUP('Données projet'!$B$9,Paramètres!$A$1:$I$89,3,0)*VLOOKUP('Données projet'!$B$9,Paramètres!$A$1:$I$89,5,0)</f>
        <v>2.5715962692629544E-14</v>
      </c>
      <c r="P195" s="13">
        <f t="shared" si="141"/>
        <v>4.5248818890525812E-13</v>
      </c>
      <c r="Q195" s="20">
        <f t="shared" si="162"/>
        <v>8.3287223069965432E-13</v>
      </c>
      <c r="R195" s="59">
        <f t="shared" ref="R195:R203" si="191">Q195+(I195+J195)*44/12</f>
        <v>293.33333333333417</v>
      </c>
      <c r="S195" s="59">
        <f ca="1">AVERAGE(OFFSET($R$3,0,0,'Données projet'!$E$9+1,1))-AVERAGE(OFFSET($H$3,0,0,'Données projet'!$E$9+1,1))</f>
        <v>138.8931001150624</v>
      </c>
      <c r="T195" s="59">
        <f t="shared" si="142"/>
        <v>48.964659354096625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-5.3205440053716299E-14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123.60520571614535</v>
      </c>
      <c r="AO195" s="59">
        <f t="shared" si="144"/>
        <v>119.00926870519527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3.5061603855909146E-2</v>
      </c>
      <c r="AV195" s="21">
        <f>EXP(-LN(2)/25)*AV194+(1-EXP(-LN(2)/25))/(LN(2)/25)*Calculateur!AQ195*Calculateur!AS195*VLOOKUP('Données projet'!$B$10,Paramètres!$A$1:$I$89,3,0)*0.475*44/12</f>
        <v>5.3512949172148681E-2</v>
      </c>
      <c r="AW195" s="21">
        <f>EXP(-LN(2)/2)*AW194+(1-EXP(-LN(2)/2))/(LN(2)/2)*AQ195*AT195*VLOOKUP('Données projet'!$B$10,Paramètres!$A$1:$I$89,3,0)*0.475*44/12</f>
        <v>2.5285713944927658E-24</v>
      </c>
      <c r="AX195" s="21">
        <f t="shared" si="166"/>
        <v>8.8574553028057834E-2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-1.1368683772161603E-12</v>
      </c>
      <c r="BE195" s="13">
        <f>BD195*VLOOKUP('Données projet'!$B$11,Paramètres!$A$1:$I$89,3,0)*VLOOKUP('Données projet'!$B$11,Paramètres!$A$1:$I$89,5,0)</f>
        <v>-5.4683368944097316E-13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252.30925789500111</v>
      </c>
      <c r="BJ195" s="59">
        <f t="shared" si="146"/>
        <v>213.96033794804805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0.18727129618576158</v>
      </c>
      <c r="BQ195" s="21">
        <f>EXP(-LN(2)/25)*BQ194+(1-EXP(-LN(2)/25))/(LN(2)/25)*Calculateur!BL195*Calculateur!BN195*VLOOKUP('Données projet'!$B$11,Paramètres!$A$1:$I$89,3,0)*0.475*44/12</f>
        <v>0.10338375904845373</v>
      </c>
      <c r="BR195" s="21">
        <f>EXP(-LN(2)/2)*BR194+(1-EXP(-LN(2)/2))/(LN(2)/2)*BL195*BO195*VLOOKUP('Données projet'!$B$11,Paramètres!$A$1:$I$89,3,0)*0.475*44/12</f>
        <v>5.9464105959343453E-24</v>
      </c>
      <c r="BS195" s="22">
        <f t="shared" si="169"/>
        <v>0.29065505523421531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2.8421709430404007E-14</v>
      </c>
      <c r="O196" s="13">
        <f>N196*VLOOKUP('Données projet'!$B$9,Paramètres!$A$1:$I$89,3,0)*VLOOKUP('Données projet'!$B$9,Paramètres!$A$1:$I$89,5,0)</f>
        <v>2.5715962692629544E-14</v>
      </c>
      <c r="P196" s="13">
        <f t="shared" si="141"/>
        <v>4.5248818890525812E-13</v>
      </c>
      <c r="Q196" s="20">
        <f t="shared" si="162"/>
        <v>8.3287223069965432E-13</v>
      </c>
      <c r="R196" s="59">
        <f t="shared" si="191"/>
        <v>293.33333333333417</v>
      </c>
      <c r="S196" s="59">
        <f ca="1">AVERAGE(OFFSET($R$3,0,0,'Données projet'!$E$9+1,1))-AVERAGE(OFFSET($H$3,0,0,'Données projet'!$E$9+1,1))</f>
        <v>138.8931001150624</v>
      </c>
      <c r="T196" s="59">
        <f t="shared" si="142"/>
        <v>48.964659354096625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-5.3205440053716299E-14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123.60520571614535</v>
      </c>
      <c r="AO196" s="59">
        <f t="shared" si="144"/>
        <v>119.00926870519527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3.4374067189761479E-2</v>
      </c>
      <c r="AV196" s="21">
        <f>EXP(-LN(2)/25)*AV195+(1-EXP(-LN(2)/25))/(LN(2)/25)*Calculateur!AQ196*Calculateur!AS196*VLOOKUP('Données projet'!$B$10,Paramètres!$A$1:$I$89,3,0)*0.475*44/12</f>
        <v>5.2049634762912585E-2</v>
      </c>
      <c r="AW196" s="21">
        <f>EXP(-LN(2)/2)*AW195+(1-EXP(-LN(2)/2))/(LN(2)/2)*AQ196*AT196*VLOOKUP('Données projet'!$B$10,Paramètres!$A$1:$I$89,3,0)*0.475*44/12</f>
        <v>1.7879699797601595E-24</v>
      </c>
      <c r="AX196" s="21">
        <f t="shared" si="166"/>
        <v>8.642370195267407E-2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-1.1368683772161603E-12</v>
      </c>
      <c r="BE196" s="13">
        <f>BD196*VLOOKUP('Données projet'!$B$11,Paramètres!$A$1:$I$89,3,0)*VLOOKUP('Données projet'!$B$11,Paramètres!$A$1:$I$89,5,0)</f>
        <v>-5.4683368944097316E-13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252.30925789500111</v>
      </c>
      <c r="BJ196" s="59">
        <f t="shared" si="146"/>
        <v>213.96033794804805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0.18359902029177075</v>
      </c>
      <c r="BQ196" s="21">
        <f>EXP(-LN(2)/25)*BQ195+(1-EXP(-LN(2)/25))/(LN(2)/25)*Calculateur!BL196*Calculateur!BN196*VLOOKUP('Données projet'!$B$11,Paramètres!$A$1:$I$89,3,0)*0.475*44/12</f>
        <v>0.10055672472055817</v>
      </c>
      <c r="BR196" s="21">
        <f>EXP(-LN(2)/2)*BR195+(1-EXP(-LN(2)/2))/(LN(2)/2)*BL196*BO196*VLOOKUP('Données projet'!$B$11,Paramètres!$A$1:$I$89,3,0)*0.475*44/12</f>
        <v>4.2047472561047147E-24</v>
      </c>
      <c r="BS196" s="22">
        <f t="shared" si="169"/>
        <v>0.28415574501232893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2.8421709430404007E-14</v>
      </c>
      <c r="O197" s="13">
        <f>N197*VLOOKUP('Données projet'!$B$9,Paramètres!$A$1:$I$89,3,0)*VLOOKUP('Données projet'!$B$9,Paramètres!$A$1:$I$89,5,0)</f>
        <v>2.5715962692629544E-14</v>
      </c>
      <c r="P197" s="13">
        <f t="shared" ref="P197:P203" si="203">EXP(-1.0587+0.8836*LN(O197)+0.284)</f>
        <v>4.5248818890525812E-13</v>
      </c>
      <c r="Q197" s="20">
        <f t="shared" si="162"/>
        <v>8.3287223069965432E-13</v>
      </c>
      <c r="R197" s="59">
        <f t="shared" si="191"/>
        <v>293.33333333333417</v>
      </c>
      <c r="S197" s="59">
        <f ca="1">AVERAGE(OFFSET($R$3,0,0,'Données projet'!$E$9+1,1))-AVERAGE(OFFSET($H$3,0,0,'Données projet'!$E$9+1,1))</f>
        <v>138.8931001150624</v>
      </c>
      <c r="T197" s="59">
        <f t="shared" ref="T197:T203" si="204">$T$3</f>
        <v>48.964659354096625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-5.3205440053716299E-14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123.60520571614535</v>
      </c>
      <c r="AO197" s="59">
        <f t="shared" ref="AO197:AO203" si="205">$AO$3</f>
        <v>119.00926870519527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3.3700012698281011E-2</v>
      </c>
      <c r="AV197" s="21">
        <f>EXP(-LN(2)/25)*AV196+(1-EXP(-LN(2)/25))/(LN(2)/25)*Calculateur!AQ197*Calculateur!AS197*VLOOKUP('Données projet'!$B$10,Paramètres!$A$1:$I$89,3,0)*0.475*44/12</f>
        <v>5.0626334763149407E-2</v>
      </c>
      <c r="AW197" s="21">
        <f>EXP(-LN(2)/2)*AW196+(1-EXP(-LN(2)/2))/(LN(2)/2)*AQ197*AT197*VLOOKUP('Données projet'!$B$10,Paramètres!$A$1:$I$89,3,0)*0.475*44/12</f>
        <v>1.2642856972463829E-24</v>
      </c>
      <c r="AX197" s="21">
        <f t="shared" si="166"/>
        <v>8.4326347461430418E-2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-1.1368683772161603E-12</v>
      </c>
      <c r="BE197" s="13">
        <f>BD197*VLOOKUP('Données projet'!$B$11,Paramètres!$A$1:$I$89,3,0)*VLOOKUP('Données projet'!$B$11,Paramètres!$A$1:$I$89,5,0)</f>
        <v>-5.4683368944097316E-13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252.30925789500111</v>
      </c>
      <c r="BJ197" s="59">
        <f t="shared" ref="BJ197:BJ203" si="206">$BJ$3</f>
        <v>213.96033794804805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0.17999875548819397</v>
      </c>
      <c r="BQ197" s="21">
        <f>EXP(-LN(2)/25)*BQ196+(1-EXP(-LN(2)/25))/(LN(2)/25)*Calculateur!BL197*Calculateur!BN197*VLOOKUP('Données projet'!$B$11,Paramètres!$A$1:$I$89,3,0)*0.475*44/12</f>
        <v>9.7806995795026178E-2</v>
      </c>
      <c r="BR197" s="21">
        <f>EXP(-LN(2)/2)*BR196+(1-EXP(-LN(2)/2))/(LN(2)/2)*BL197*BO197*VLOOKUP('Données projet'!$B$11,Paramètres!$A$1:$I$89,3,0)*0.475*44/12</f>
        <v>2.9732052979671727E-24</v>
      </c>
      <c r="BS197" s="22">
        <f t="shared" si="169"/>
        <v>0.27780575128322016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2.8421709430404007E-14</v>
      </c>
      <c r="O198" s="13">
        <f>N198*VLOOKUP('Données projet'!$B$9,Paramètres!$A$1:$I$89,3,0)*VLOOKUP('Données projet'!$B$9,Paramètres!$A$1:$I$89,5,0)</f>
        <v>2.5715962692629544E-14</v>
      </c>
      <c r="P198" s="13">
        <f t="shared" si="203"/>
        <v>4.5248818890525812E-13</v>
      </c>
      <c r="Q198" s="20">
        <f t="shared" si="162"/>
        <v>8.3287223069965432E-13</v>
      </c>
      <c r="R198" s="59">
        <f t="shared" si="191"/>
        <v>293.33333333333417</v>
      </c>
      <c r="S198" s="59">
        <f ca="1">AVERAGE(OFFSET($R$3,0,0,'Données projet'!$E$9+1,1))-AVERAGE(OFFSET($H$3,0,0,'Données projet'!$E$9+1,1))</f>
        <v>138.8931001150624</v>
      </c>
      <c r="T198" s="59">
        <f t="shared" si="204"/>
        <v>48.964659354096625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-5.3205440053716299E-14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123.60520571614535</v>
      </c>
      <c r="AO198" s="59">
        <f t="shared" si="205"/>
        <v>119.00926870519527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3.3039176004245829E-2</v>
      </c>
      <c r="AV198" s="21">
        <f>EXP(-LN(2)/25)*AV197+(1-EXP(-LN(2)/25))/(LN(2)/25)*Calculateur!AQ198*Calculateur!AS198*VLOOKUP('Données projet'!$B$10,Paramètres!$A$1:$I$89,3,0)*0.475*44/12</f>
        <v>4.9241954976727849E-2</v>
      </c>
      <c r="AW198" s="21">
        <f>EXP(-LN(2)/2)*AW197+(1-EXP(-LN(2)/2))/(LN(2)/2)*AQ198*AT198*VLOOKUP('Données projet'!$B$10,Paramètres!$A$1:$I$89,3,0)*0.475*44/12</f>
        <v>8.9398498988007973E-25</v>
      </c>
      <c r="AX198" s="21">
        <f t="shared" si="166"/>
        <v>8.2281130980973671E-2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-1.1368683772161603E-12</v>
      </c>
      <c r="BE198" s="13">
        <f>BD198*VLOOKUP('Données projet'!$B$11,Paramètres!$A$1:$I$89,3,0)*VLOOKUP('Données projet'!$B$11,Paramètres!$A$1:$I$89,5,0)</f>
        <v>-5.4683368944097316E-13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252.30925789500111</v>
      </c>
      <c r="BJ198" s="59">
        <f t="shared" si="206"/>
        <v>213.96033794804805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0.17646908968147063</v>
      </c>
      <c r="BQ198" s="21">
        <f>EXP(-LN(2)/25)*BQ197+(1-EXP(-LN(2)/25))/(LN(2)/25)*Calculateur!BL198*Calculateur!BN198*VLOOKUP('Données projet'!$B$11,Paramètres!$A$1:$I$89,3,0)*0.475*44/12</f>
        <v>9.5132458351564822E-2</v>
      </c>
      <c r="BR198" s="21">
        <f>EXP(-LN(2)/2)*BR197+(1-EXP(-LN(2)/2))/(LN(2)/2)*BL198*BO198*VLOOKUP('Données projet'!$B$11,Paramètres!$A$1:$I$89,3,0)*0.475*44/12</f>
        <v>2.1023736280523574E-24</v>
      </c>
      <c r="BS198" s="22">
        <f t="shared" si="169"/>
        <v>0.27160154803303543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2.8421709430404007E-14</v>
      </c>
      <c r="O199" s="13">
        <f>N199*VLOOKUP('Données projet'!$B$9,Paramètres!$A$1:$I$89,3,0)*VLOOKUP('Données projet'!$B$9,Paramètres!$A$1:$I$89,5,0)</f>
        <v>2.5715962692629544E-14</v>
      </c>
      <c r="P199" s="13">
        <f t="shared" si="203"/>
        <v>4.5248818890525812E-13</v>
      </c>
      <c r="Q199" s="20">
        <f t="shared" si="162"/>
        <v>8.3287223069965432E-13</v>
      </c>
      <c r="R199" s="59">
        <f t="shared" si="191"/>
        <v>293.33333333333417</v>
      </c>
      <c r="S199" s="59">
        <f ca="1">AVERAGE(OFFSET($R$3,0,0,'Données projet'!$E$9+1,1))-AVERAGE(OFFSET($H$3,0,0,'Données projet'!$E$9+1,1))</f>
        <v>138.8931001150624</v>
      </c>
      <c r="T199" s="59">
        <f t="shared" si="204"/>
        <v>48.964659354096625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-5.3205440053716299E-14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123.60520571614535</v>
      </c>
      <c r="AO199" s="59">
        <f t="shared" si="205"/>
        <v>119.00926870519527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3.2391297914710099E-2</v>
      </c>
      <c r="AV199" s="21">
        <f>EXP(-LN(2)/25)*AV198+(1-EXP(-LN(2)/25))/(LN(2)/25)*Calculateur!AQ199*Calculateur!AS199*VLOOKUP('Données projet'!$B$10,Paramètres!$A$1:$I$89,3,0)*0.475*44/12</f>
        <v>4.7895431128367361E-2</v>
      </c>
      <c r="AW199" s="21">
        <f>EXP(-LN(2)/2)*AW198+(1-EXP(-LN(2)/2))/(LN(2)/2)*AQ199*AT199*VLOOKUP('Données projet'!$B$10,Paramètres!$A$1:$I$89,3,0)*0.475*44/12</f>
        <v>6.3214284862319145E-25</v>
      </c>
      <c r="AX199" s="21">
        <f t="shared" si="166"/>
        <v>8.0286729043077459E-2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-1.1368683772161603E-12</v>
      </c>
      <c r="BE199" s="13">
        <f>BD199*VLOOKUP('Données projet'!$B$11,Paramètres!$A$1:$I$89,3,0)*VLOOKUP('Données projet'!$B$11,Paramètres!$A$1:$I$89,5,0)</f>
        <v>-5.4683368944097316E-13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252.30925789500111</v>
      </c>
      <c r="BJ199" s="59">
        <f t="shared" si="206"/>
        <v>213.96033794804805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0.17300863846833356</v>
      </c>
      <c r="BQ199" s="21">
        <f>EXP(-LN(2)/25)*BQ198+(1-EXP(-LN(2)/25))/(LN(2)/25)*Calculateur!BL199*Calculateur!BN199*VLOOKUP('Données projet'!$B$11,Paramètres!$A$1:$I$89,3,0)*0.475*44/12</f>
        <v>9.2531056275142728E-2</v>
      </c>
      <c r="BR199" s="21">
        <f>EXP(-LN(2)/2)*BR198+(1-EXP(-LN(2)/2))/(LN(2)/2)*BL199*BO199*VLOOKUP('Données projet'!$B$11,Paramètres!$A$1:$I$89,3,0)*0.475*44/12</f>
        <v>1.4866026489835863E-24</v>
      </c>
      <c r="BS199" s="22">
        <f t="shared" si="169"/>
        <v>0.26553969474347627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2.8421709430404007E-14</v>
      </c>
      <c r="O200" s="13">
        <f>N200*VLOOKUP('Données projet'!$B$9,Paramètres!$A$1:$I$89,3,0)*VLOOKUP('Données projet'!$B$9,Paramètres!$A$1:$I$89,5,0)</f>
        <v>2.5715962692629544E-14</v>
      </c>
      <c r="P200" s="13">
        <f t="shared" si="203"/>
        <v>4.5248818890525812E-13</v>
      </c>
      <c r="Q200" s="20">
        <f t="shared" si="162"/>
        <v>8.3287223069965432E-13</v>
      </c>
      <c r="R200" s="59">
        <f t="shared" si="191"/>
        <v>293.33333333333417</v>
      </c>
      <c r="S200" s="59">
        <f ca="1">AVERAGE(OFFSET($R$3,0,0,'Données projet'!$E$9+1,1))-AVERAGE(OFFSET($H$3,0,0,'Données projet'!$E$9+1,1))</f>
        <v>138.8931001150624</v>
      </c>
      <c r="T200" s="59">
        <f t="shared" si="204"/>
        <v>48.964659354096625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-5.3205440053716299E-14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123.60520571614535</v>
      </c>
      <c r="AO200" s="59">
        <f t="shared" si="205"/>
        <v>119.00926870519527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3.1756124319343548E-2</v>
      </c>
      <c r="AV200" s="21">
        <f>EXP(-LN(2)/25)*AV199+(1-EXP(-LN(2)/25))/(LN(2)/25)*Calculateur!AQ200*Calculateur!AS200*VLOOKUP('Données projet'!$B$10,Paramètres!$A$1:$I$89,3,0)*0.475*44/12</f>
        <v>4.65857280454509E-2</v>
      </c>
      <c r="AW200" s="21">
        <f>EXP(-LN(2)/2)*AW199+(1-EXP(-LN(2)/2))/(LN(2)/2)*AQ200*AT200*VLOOKUP('Données projet'!$B$10,Paramètres!$A$1:$I$89,3,0)*0.475*44/12</f>
        <v>4.4699249494003987E-25</v>
      </c>
      <c r="AX200" s="21">
        <f t="shared" si="166"/>
        <v>7.8341852364794448E-2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-1.1368683772161603E-12</v>
      </c>
      <c r="BE200" s="13">
        <f>BD200*VLOOKUP('Données projet'!$B$11,Paramètres!$A$1:$I$89,3,0)*VLOOKUP('Données projet'!$B$11,Paramètres!$A$1:$I$89,5,0)</f>
        <v>-5.4683368944097316E-13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252.30925789500111</v>
      </c>
      <c r="BJ200" s="59">
        <f t="shared" si="206"/>
        <v>213.96033794804805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0.16961604459281929</v>
      </c>
      <c r="BQ200" s="21">
        <f>EXP(-LN(2)/25)*BQ199+(1-EXP(-LN(2)/25))/(LN(2)/25)*Calculateur!BL200*Calculateur!BN200*VLOOKUP('Données projet'!$B$11,Paramètres!$A$1:$I$89,3,0)*0.475*44/12</f>
        <v>9.0000789675302187E-2</v>
      </c>
      <c r="BR200" s="21">
        <f>EXP(-LN(2)/2)*BR199+(1-EXP(-LN(2)/2))/(LN(2)/2)*BL200*BO200*VLOOKUP('Données projet'!$B$11,Paramètres!$A$1:$I$89,3,0)*0.475*44/12</f>
        <v>1.0511868140261787E-24</v>
      </c>
      <c r="BS200" s="22">
        <f t="shared" si="169"/>
        <v>0.25961683426812149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2.8421709430404007E-14</v>
      </c>
      <c r="O201" s="13">
        <f>N201*VLOOKUP('Données projet'!$B$9,Paramètres!$A$1:$I$89,3,0)*VLOOKUP('Données projet'!$B$9,Paramètres!$A$1:$I$89,5,0)</f>
        <v>2.5715962692629544E-14</v>
      </c>
      <c r="P201" s="13">
        <f t="shared" si="203"/>
        <v>4.5248818890525812E-13</v>
      </c>
      <c r="Q201" s="20">
        <f t="shared" si="162"/>
        <v>8.3287223069965432E-13</v>
      </c>
      <c r="R201" s="59">
        <f t="shared" si="191"/>
        <v>293.33333333333417</v>
      </c>
      <c r="S201" s="59">
        <f ca="1">AVERAGE(OFFSET($R$3,0,0,'Données projet'!$E$9+1,1))-AVERAGE(OFFSET($H$3,0,0,'Données projet'!$E$9+1,1))</f>
        <v>138.8931001150624</v>
      </c>
      <c r="T201" s="59">
        <f t="shared" si="204"/>
        <v>48.964659354096625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-5.3205440053716299E-14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123.60520571614535</v>
      </c>
      <c r="AO201" s="59">
        <f t="shared" si="205"/>
        <v>119.00926870519527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3.1133406090764495E-2</v>
      </c>
      <c r="AV201" s="21">
        <f>EXP(-LN(2)/25)*AV200+(1-EXP(-LN(2)/25))/(LN(2)/25)*Calculateur!AQ201*Calculateur!AS201*VLOOKUP('Données projet'!$B$10,Paramètres!$A$1:$I$89,3,0)*0.475*44/12</f>
        <v>4.531183886221108E-2</v>
      </c>
      <c r="AW201" s="21">
        <f>EXP(-LN(2)/2)*AW200+(1-EXP(-LN(2)/2))/(LN(2)/2)*AQ201*AT201*VLOOKUP('Données projet'!$B$10,Paramètres!$A$1:$I$89,3,0)*0.475*44/12</f>
        <v>3.1607142431159573E-25</v>
      </c>
      <c r="AX201" s="21">
        <f t="shared" si="166"/>
        <v>7.6445244952975583E-2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-1.1368683772161603E-12</v>
      </c>
      <c r="BE201" s="13">
        <f>BD201*VLOOKUP('Données projet'!$B$11,Paramètres!$A$1:$I$89,3,0)*VLOOKUP('Données projet'!$B$11,Paramètres!$A$1:$I$89,5,0)</f>
        <v>-5.4683368944097316E-13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252.30925789500111</v>
      </c>
      <c r="BJ201" s="59">
        <f t="shared" si="206"/>
        <v>213.96033794804805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0.16628997741392593</v>
      </c>
      <c r="BQ201" s="21">
        <f>EXP(-LN(2)/25)*BQ200+(1-EXP(-LN(2)/25))/(LN(2)/25)*Calculateur!BL201*Calculateur!BN201*VLOOKUP('Données projet'!$B$11,Paramètres!$A$1:$I$89,3,0)*0.475*44/12</f>
        <v>8.7539713348695217E-2</v>
      </c>
      <c r="BR201" s="21">
        <f>EXP(-LN(2)/2)*BR200+(1-EXP(-LN(2)/2))/(LN(2)/2)*BL201*BO201*VLOOKUP('Données projet'!$B$11,Paramètres!$A$1:$I$89,3,0)*0.475*44/12</f>
        <v>7.4330132449179317E-25</v>
      </c>
      <c r="BS201" s="22">
        <f t="shared" si="169"/>
        <v>0.25382969076262113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2.8421709430404007E-14</v>
      </c>
      <c r="O202" s="13">
        <f>N202*VLOOKUP('Données projet'!$B$9,Paramètres!$A$1:$I$89,3,0)*VLOOKUP('Données projet'!$B$9,Paramètres!$A$1:$I$89,5,0)</f>
        <v>2.5715962692629544E-14</v>
      </c>
      <c r="P202" s="13">
        <f t="shared" si="203"/>
        <v>4.5248818890525812E-13</v>
      </c>
      <c r="Q202" s="20">
        <f t="shared" si="162"/>
        <v>8.3287223069965432E-13</v>
      </c>
      <c r="R202" s="59">
        <f t="shared" si="191"/>
        <v>293.33333333333417</v>
      </c>
      <c r="S202" s="59">
        <f ca="1">AVERAGE(OFFSET($R$3,0,0,'Données projet'!$E$9+1,1))-AVERAGE(OFFSET($H$3,0,0,'Données projet'!$E$9+1,1))</f>
        <v>138.8931001150624</v>
      </c>
      <c r="T202" s="59">
        <f t="shared" si="204"/>
        <v>48.964659354096625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-5.3205440053716299E-14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123.60520571614535</v>
      </c>
      <c r="AO202" s="59">
        <f t="shared" si="205"/>
        <v>119.00926870519527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3.0522898986827262E-2</v>
      </c>
      <c r="AV202" s="21">
        <f>EXP(-LN(2)/25)*AV201+(1-EXP(-LN(2)/25))/(LN(2)/25)*Calculateur!AQ202*Calculateur!AS202*VLOOKUP('Données projet'!$B$10,Paramètres!$A$1:$I$89,3,0)*0.475*44/12</f>
        <v>4.4072784245677878E-2</v>
      </c>
      <c r="AW202" s="21">
        <f>EXP(-LN(2)/2)*AW201+(1-EXP(-LN(2)/2))/(LN(2)/2)*AQ202*AT202*VLOOKUP('Données projet'!$B$10,Paramètres!$A$1:$I$89,3,0)*0.475*44/12</f>
        <v>2.2349624747001993E-25</v>
      </c>
      <c r="AX202" s="21">
        <f t="shared" si="166"/>
        <v>7.4595683232505136E-2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-1.1368683772161603E-12</v>
      </c>
      <c r="BE202" s="13">
        <f>BD202*VLOOKUP('Données projet'!$B$11,Paramètres!$A$1:$I$89,3,0)*VLOOKUP('Données projet'!$B$11,Paramètres!$A$1:$I$89,5,0)</f>
        <v>-5.4683368944097316E-13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252.30925789500111</v>
      </c>
      <c r="BJ202" s="59">
        <f t="shared" si="206"/>
        <v>213.96033794804805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0.16302913238371</v>
      </c>
      <c r="BQ202" s="21">
        <f>EXP(-LN(2)/25)*BQ201+(1-EXP(-LN(2)/25))/(LN(2)/25)*Calculateur!BL202*Calculateur!BN202*VLOOKUP('Données projet'!$B$11,Paramètres!$A$1:$I$89,3,0)*0.475*44/12</f>
        <v>8.5145935283661697E-2</v>
      </c>
      <c r="BR202" s="21">
        <f>EXP(-LN(2)/2)*BR201+(1-EXP(-LN(2)/2))/(LN(2)/2)*BL202*BO202*VLOOKUP('Données projet'!$B$11,Paramètres!$A$1:$I$89,3,0)*0.475*44/12</f>
        <v>5.2559340701308934E-25</v>
      </c>
      <c r="BS202" s="22">
        <f t="shared" si="169"/>
        <v>0.24817506766737168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2.8421709430404007E-14</v>
      </c>
      <c r="O203" s="13">
        <f>N203*VLOOKUP('Données projet'!$B$9,Paramètres!$A$1:$I$89,3,0)*VLOOKUP('Données projet'!$B$9,Paramètres!$A$1:$I$89,5,0)</f>
        <v>2.5715962692629544E-14</v>
      </c>
      <c r="P203" s="13">
        <f t="shared" si="203"/>
        <v>4.5248818890525812E-13</v>
      </c>
      <c r="Q203" s="20">
        <f t="shared" si="162"/>
        <v>8.3287223069965432E-13</v>
      </c>
      <c r="R203" s="59">
        <f t="shared" si="191"/>
        <v>293.33333333333417</v>
      </c>
      <c r="S203" s="59">
        <f ca="1">AVERAGE(OFFSET($R$3,0,0,'Données projet'!$E$9+1,1))-AVERAGE(OFFSET($H$3,0,0,'Données projet'!$E$9+1,1))</f>
        <v>138.8931001150624</v>
      </c>
      <c r="T203" s="59">
        <f t="shared" si="204"/>
        <v>48.964659354096625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-5.3205440053716299E-14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123.60520571614535</v>
      </c>
      <c r="AO203" s="59">
        <f t="shared" si="205"/>
        <v>119.00926870519527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2.9924363554825674E-2</v>
      </c>
      <c r="AV203" s="21">
        <f>EXP(-LN(2)/25)*AV202+(1-EXP(-LN(2)/25))/(LN(2)/25)*Calculateur!AQ203*Calculateur!AS203*VLOOKUP('Données projet'!$B$10,Paramètres!$A$1:$I$89,3,0)*0.475*44/12</f>
        <v>4.2867611642792819E-2</v>
      </c>
      <c r="AW203" s="21">
        <f>EXP(-LN(2)/2)*AW202+(1-EXP(-LN(2)/2))/(LN(2)/2)*AQ203*AT203*VLOOKUP('Données projet'!$B$10,Paramètres!$A$1:$I$89,3,0)*0.475*44/12</f>
        <v>1.5803571215579786E-25</v>
      </c>
      <c r="AX203" s="21">
        <f t="shared" si="166"/>
        <v>7.2791975197618486E-2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-1.1368683772161603E-12</v>
      </c>
      <c r="BE203" s="13">
        <f>BD203*VLOOKUP('Données projet'!$B$11,Paramètres!$A$1:$I$89,3,0)*VLOOKUP('Données projet'!$B$11,Paramètres!$A$1:$I$89,5,0)</f>
        <v>-5.4683368944097316E-13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252.30925789500111</v>
      </c>
      <c r="BJ203" s="59">
        <f t="shared" si="206"/>
        <v>213.96033794804805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0.15983223053561751</v>
      </c>
      <c r="BQ203" s="21">
        <f>EXP(-LN(2)/25)*BQ202+(1-EXP(-LN(2)/25))/(LN(2)/25)*Calculateur!BL203*Calculateur!BN203*VLOOKUP('Données projet'!$B$11,Paramètres!$A$1:$I$89,3,0)*0.475*44/12</f>
        <v>8.2817615205699829E-2</v>
      </c>
      <c r="BR203" s="21">
        <f>EXP(-LN(2)/2)*BR202+(1-EXP(-LN(2)/2))/(LN(2)/2)*BL203*BO203*VLOOKUP('Données projet'!$B$11,Paramètres!$A$1:$I$89,3,0)*0.475*44/12</f>
        <v>3.7165066224589658E-25</v>
      </c>
      <c r="BS203" s="22">
        <f t="shared" si="169"/>
        <v>0.24264984574131734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1.1457367676485573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1.2677537154322802</v>
      </c>
      <c r="BA205" s="82">
        <f>EXP(LN('Données projet'!B88)/'Données projet'!A88)</f>
        <v>1.2366730653835798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12.655500000000002</v>
      </c>
      <c r="C6" s="147">
        <f ca="1">IF(OR('Données projet'!B9="",'Données projet'!C9="",'Données projet'!C9=0%),0,Calculateur!S3)</f>
        <v>138.8931001150624</v>
      </c>
      <c r="D6" s="147">
        <f>IF(OR('Données projet'!B9="",'Données projet'!C9="",'Données projet'!C9=0%),0,Calculateur!T3)</f>
        <v>48.964659354096625</v>
      </c>
      <c r="E6" s="147">
        <f ca="1">MIN(C6,D6)</f>
        <v>48.964659354096625</v>
      </c>
      <c r="F6" s="147">
        <f ca="1">E6*B6</f>
        <v>619.67224645576994</v>
      </c>
      <c r="G6" s="147">
        <f ca="1">F6*(100%-'Données projet'!$C$24)*(100%-'Données projet'!$C$25)*(100%-'Données projet'!$C$26)*(100%-'Données projet'!$C$27)</f>
        <v>557.70502181019299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557.70502181019299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Cèdre de l'Atlas</v>
      </c>
      <c r="B7" s="154">
        <f>'Données projet'!D10</f>
        <v>4.1417999999999999</v>
      </c>
      <c r="C7" s="147">
        <f ca="1">IF(OR('Données projet'!B10="",'Données projet'!C10="",'Données projet'!C10=0%),0,Calculateur!AN3)</f>
        <v>123.60520571614535</v>
      </c>
      <c r="D7" s="147">
        <f>IF(OR('Données projet'!B10="",'Données projet'!C10="",'Données projet'!C10=0%),0,Calculateur!AO3)</f>
        <v>119.00926870519527</v>
      </c>
      <c r="E7" s="147">
        <f t="shared" ref="E7:E15" ca="1" si="0">MIN(C7,D7)</f>
        <v>119.00926870519527</v>
      </c>
      <c r="F7" s="147">
        <f t="shared" ref="F7:F15" ca="1" si="1">E7*B7</f>
        <v>492.91258912317772</v>
      </c>
      <c r="G7" s="147">
        <f ca="1">F7*(100%-'Données projet'!$C$24)*(100%-'Données projet'!$C$25)*(100%-'Données projet'!$C$26)*(100%-'Données projet'!$C$27)</f>
        <v>443.62133021085998</v>
      </c>
      <c r="H7" s="155">
        <f>IF(OR('Données projet'!B10="",'Données projet'!C10="",'Données projet'!C10=0%),0,AVERAGE(Calculateur!$AX$3:$AX$33)*B7)</f>
        <v>3.7669917088606257</v>
      </c>
      <c r="I7" s="149">
        <f>H7*(100%-'Données projet'!$C$24)*(100%-'Données projet'!$C$25)*(100%-'Données projet'!$C$26)*(100%-'Données projet'!$C$27)</f>
        <v>3.3902925379745632</v>
      </c>
      <c r="J7" s="150">
        <f>IF(OR('Données projet'!B10="",'Données projet'!C10="",'Données projet'!C10=0%),0,SUM(Calculateur!$AQ$3:$AQ$33)*VLOOKUP('Données projet'!$B$10,Paramètres!$A$1:$I$89,9,0)*B7)</f>
        <v>57.525460199999998</v>
      </c>
      <c r="K7" s="151">
        <f>J7*(100%-'Données projet'!$C$24)*(100%-'Données projet'!$C$25)*(100%-'Données projet'!$C$26)*(100%-'Données projet'!$C$27)</f>
        <v>51.772914180000001</v>
      </c>
      <c r="L7" s="152">
        <f t="shared" ref="L7:L15" ca="1" si="2">G7+I7+K7</f>
        <v>498.78453692883454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Sapin de Nordmann</v>
      </c>
      <c r="B8" s="154">
        <f>'Données projet'!D11</f>
        <v>6.2127000000000008</v>
      </c>
      <c r="C8" s="147">
        <f ca="1">IF(OR('Données projet'!B11="",'Données projet'!C11="",'Données projet'!C11=0%),0,Calculateur!BI3)</f>
        <v>252.30925789500111</v>
      </c>
      <c r="D8" s="147">
        <f>IF(OR('Données projet'!B11="",'Données projet'!C11="",'Données projet'!C11=0%),0,Calculateur!BJ3)</f>
        <v>213.96033794804805</v>
      </c>
      <c r="E8" s="147">
        <f t="shared" ca="1" si="0"/>
        <v>213.96033794804805</v>
      </c>
      <c r="F8" s="147">
        <f t="shared" ca="1" si="1"/>
        <v>1329.2713915698382</v>
      </c>
      <c r="G8" s="147">
        <f ca="1">F8*(100%-'Données projet'!$C$24)*(100%-'Données projet'!$C$25)*(100%-'Données projet'!$C$26)*(100%-'Données projet'!$C$27)</f>
        <v>1196.3442524128545</v>
      </c>
      <c r="H8" s="155">
        <f>IF(OR('Données projet'!B11="",'Données projet'!C11="",'Données projet'!C11=0%),0,AVERAGE(Calculateur!$BS$3:$BS$33)*B8)</f>
        <v>5.6592460775906259</v>
      </c>
      <c r="I8" s="149">
        <f>H8*(100%-'Données projet'!$C$24)*(100%-'Données projet'!$C$25)*(100%-'Données projet'!$C$26)*(100%-'Données projet'!$C$27)</f>
        <v>5.0933214698315634</v>
      </c>
      <c r="J8" s="150">
        <f>IF(OR('Données projet'!B11="",'Données projet'!C11="",'Données projet'!C11=0%),0,SUM(Calculateur!$BL$3:$BL$33)*VLOOKUP('Données projet'!$B$11,Paramètres!$A$1:$I$89,9,0)*B8)</f>
        <v>176.31642600000001</v>
      </c>
      <c r="K8" s="151">
        <f>J8*(100%-'Données projet'!$C$24)*(100%-'Données projet'!$C$25)*(100%-'Données projet'!$C$26)*(100%-'Données projet'!$C$27)</f>
        <v>158.68478340000001</v>
      </c>
      <c r="L8" s="152">
        <f t="shared" ca="1" si="2"/>
        <v>1360.1223572826862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2441.8562271487858</v>
      </c>
      <c r="G16" s="166">
        <f t="shared" ca="1" si="3"/>
        <v>2197.6706044339076</v>
      </c>
      <c r="H16" s="167">
        <f t="shared" si="3"/>
        <v>9.4262377864512512</v>
      </c>
      <c r="I16" s="167">
        <f t="shared" si="3"/>
        <v>8.4836140078061266</v>
      </c>
      <c r="J16" s="168">
        <f t="shared" si="3"/>
        <v>233.8418862</v>
      </c>
      <c r="K16" s="168">
        <f t="shared" si="3"/>
        <v>210.45769758</v>
      </c>
      <c r="L16" s="169">
        <f t="shared" ca="1" si="3"/>
        <v>2416.6119160217136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Sapin de Nordmann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1" zoomScale="80" zoomScaleNormal="80" workbookViewId="0">
      <selection activeCell="I20" sqref="I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-2389.2084971006489</v>
      </c>
      <c r="U10" s="178">
        <f>'Données projet'!D9</f>
        <v>12.655500000000002</v>
      </c>
      <c r="V10" s="177">
        <f>U10*T10</f>
        <v>-30236.628135057264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-2453.000242282913</v>
      </c>
      <c r="U11" s="178">
        <f>'Données projet'!D10</f>
        <v>4.1417999999999999</v>
      </c>
      <c r="V11" s="177">
        <f t="shared" ref="V11" si="0">U11*T11</f>
        <v>-10159.836403487368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Sapin de Nordmann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185.82443335200469</v>
      </c>
      <c r="U12" s="178">
        <f>'Données projet'!D11</f>
        <v>6.2127000000000008</v>
      </c>
      <c r="V12" s="177">
        <f t="shared" ref="V12:V19" si="1">U12*T12</f>
        <v>1154.4714570859996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2903.59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1704.75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25</v>
      </c>
      <c r="B23" s="181">
        <f>'Données projet'!D36</f>
        <v>0</v>
      </c>
      <c r="C23" s="193">
        <v>8</v>
      </c>
      <c r="D23" s="182">
        <f>B23*C23</f>
        <v>0</v>
      </c>
      <c r="E23" s="193"/>
      <c r="F23" s="230"/>
      <c r="H23" s="190">
        <v>3</v>
      </c>
      <c r="I23" s="191">
        <v>450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-106932.44198842405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0</v>
      </c>
      <c r="C24" s="193">
        <v>12</v>
      </c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1632.3926272979261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27</v>
      </c>
      <c r="C25" s="193">
        <v>15</v>
      </c>
      <c r="D25" s="182">
        <f t="shared" si="2"/>
        <v>405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-108564.83461572198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28</v>
      </c>
      <c r="C26" s="193">
        <v>20</v>
      </c>
      <c r="D26" s="182">
        <f t="shared" si="2"/>
        <v>560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28</v>
      </c>
      <c r="C27" s="193">
        <v>25</v>
      </c>
      <c r="D27" s="182">
        <f t="shared" si="2"/>
        <v>700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28</v>
      </c>
      <c r="C28" s="193">
        <v>30</v>
      </c>
      <c r="D28" s="182">
        <f t="shared" si="2"/>
        <v>840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28</v>
      </c>
      <c r="C29" s="193">
        <v>35</v>
      </c>
      <c r="D29" s="182">
        <f t="shared" si="2"/>
        <v>980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28</v>
      </c>
      <c r="C30" s="193">
        <v>40</v>
      </c>
      <c r="D30" s="182">
        <f t="shared" si="2"/>
        <v>1120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28</v>
      </c>
      <c r="C31" s="193">
        <v>50</v>
      </c>
      <c r="D31" s="182">
        <f t="shared" si="2"/>
        <v>1400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27</v>
      </c>
      <c r="C32" s="193">
        <v>60</v>
      </c>
      <c r="D32" s="182">
        <f t="shared" si="2"/>
        <v>1620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234</v>
      </c>
      <c r="C33" s="193">
        <v>180</v>
      </c>
      <c r="D33" s="182">
        <f t="shared" si="2"/>
        <v>42120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3300.92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6.9</v>
      </c>
      <c r="C54" s="191">
        <v>8</v>
      </c>
      <c r="D54" s="179">
        <f>B54*C54</f>
        <v>55.2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25.4</v>
      </c>
      <c r="C55" s="191">
        <v>8</v>
      </c>
      <c r="D55" s="179">
        <f t="shared" ref="D55:D73" si="4">B55*C55</f>
        <v>203.2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46.3</v>
      </c>
      <c r="C56" s="191">
        <v>15</v>
      </c>
      <c r="D56" s="179">
        <f t="shared" si="4"/>
        <v>694.5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46.3</v>
      </c>
      <c r="C57" s="191">
        <v>25</v>
      </c>
      <c r="D57" s="179">
        <f t="shared" si="4"/>
        <v>1157.5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46.3</v>
      </c>
      <c r="C58" s="191">
        <v>30</v>
      </c>
      <c r="D58" s="179">
        <f t="shared" si="4"/>
        <v>1389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46.3</v>
      </c>
      <c r="C59" s="191">
        <v>35</v>
      </c>
      <c r="D59" s="179">
        <f t="shared" si="4"/>
        <v>1620.5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46.3</v>
      </c>
      <c r="C60" s="191">
        <v>40</v>
      </c>
      <c r="D60" s="179">
        <f t="shared" si="4"/>
        <v>1852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46.3</v>
      </c>
      <c r="C61" s="191">
        <v>50</v>
      </c>
      <c r="D61" s="179">
        <f t="shared" si="4"/>
        <v>2315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46.3</v>
      </c>
      <c r="C62" s="191">
        <v>70</v>
      </c>
      <c r="D62" s="179">
        <f t="shared" si="4"/>
        <v>3241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448.6</v>
      </c>
      <c r="C63" s="191">
        <v>75</v>
      </c>
      <c r="D63" s="179">
        <f t="shared" si="4"/>
        <v>33645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Sapin de Nordmann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2185.33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>
        <v>5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66</v>
      </c>
      <c r="C86" s="191">
        <v>5</v>
      </c>
      <c r="D86" s="179">
        <f t="shared" ref="D86:D104" si="6">B86*C86</f>
        <v>330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98</v>
      </c>
      <c r="C87" s="191">
        <v>8</v>
      </c>
      <c r="D87" s="179">
        <f t="shared" si="6"/>
        <v>784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98</v>
      </c>
      <c r="C88" s="191">
        <v>15</v>
      </c>
      <c r="D88" s="179">
        <f t="shared" si="6"/>
        <v>1470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95</v>
      </c>
      <c r="C89" s="191">
        <v>30</v>
      </c>
      <c r="D89" s="179">
        <f t="shared" si="6"/>
        <v>2850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78</v>
      </c>
      <c r="C90" s="191">
        <v>50</v>
      </c>
      <c r="D90" s="179">
        <f t="shared" si="6"/>
        <v>3900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678</v>
      </c>
      <c r="C91" s="191">
        <v>80</v>
      </c>
      <c r="D91" s="179">
        <f t="shared" si="6"/>
        <v>54240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2024-04-25T05:36:51Z</dcterms:modified>
</cp:coreProperties>
</file>