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codeName="ThisWorkbook"/>
  <mc:AlternateContent xmlns:mc="http://schemas.openxmlformats.org/markup-compatibility/2006">
    <mc:Choice Requires="x15">
      <x15ac:absPath xmlns:x15ac="http://schemas.microsoft.com/office/spreadsheetml/2010/11/ac" url="P:\Bureau\PARTAGE\Label Bas Carbone\07_Dijon\2023\Bonneval 14891831\"/>
    </mc:Choice>
  </mc:AlternateContent>
  <xr:revisionPtr revIDLastSave="0" documentId="13_ncr:1_{D03C5788-1714-402B-A51C-5F650FCA791D}" xr6:coauthVersionLast="47" xr6:coauthVersionMax="47" xr10:uidLastSave="{00000000-0000-0000-0000-000000000000}"/>
  <bookViews>
    <workbookView xWindow="-120" yWindow="-120" windowWidth="29040" windowHeight="1584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24" i="1" l="1"/>
  <c r="B124" i="1"/>
  <c r="D123" i="1"/>
  <c r="B123" i="1"/>
  <c r="D122" i="1"/>
  <c r="B122" i="1"/>
  <c r="D121" i="1"/>
  <c r="B121" i="1"/>
  <c r="D120" i="1"/>
  <c r="B120" i="1"/>
  <c r="D119" i="1"/>
  <c r="B119" i="1"/>
  <c r="D118" i="1"/>
  <c r="B118" i="1"/>
  <c r="D117" i="1"/>
  <c r="B117" i="1"/>
  <c r="D116" i="1"/>
  <c r="B116" i="1"/>
  <c r="D115" i="1"/>
  <c r="B115" i="1"/>
  <c r="B114" i="1"/>
  <c r="D94" i="1" l="1"/>
  <c r="B68" i="1"/>
  <c r="D68" i="1" s="1"/>
  <c r="D43" i="1"/>
  <c r="B43" i="1"/>
  <c r="D42" i="1"/>
  <c r="D41" i="1"/>
  <c r="D40" i="1"/>
  <c r="D39" i="1"/>
  <c r="D38" i="1"/>
  <c r="D37" i="1"/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FR4" i="2" l="1"/>
  <c r="BR4" i="2"/>
  <c r="B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B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B10" i="2" l="1"/>
  <c r="HG10" i="2"/>
  <c r="EA10" i="2"/>
  <c r="HH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HH14" i="2"/>
  <c r="EX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HG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EV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V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EB22" i="2"/>
  <c r="EW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FR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FS26" i="2" l="1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C28" i="2"/>
  <c r="EB28" i="2"/>
  <c r="HG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X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EW33" i="2"/>
  <c r="EB33" i="2"/>
  <c r="HG33" i="2"/>
  <c r="HH33" i="2"/>
  <c r="EA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FQ35" i="2" l="1"/>
  <c r="HH35" i="2"/>
  <c r="EB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HH38" i="2"/>
  <c r="EX38" i="2"/>
  <c r="HI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A43" i="2"/>
  <c r="HI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EC44" i="2"/>
  <c r="EW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B57" i="2"/>
  <c r="HG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C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G60" i="2"/>
  <c r="EW60" i="2"/>
  <c r="EV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X61" i="2"/>
  <c r="EA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EB63" i="2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HH64" i="2"/>
  <c r="EC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HG75" i="2"/>
  <c r="EA75" i="2"/>
  <c r="EB75" i="2"/>
  <c r="HH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B77" i="2"/>
  <c r="EA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EB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G82" i="2" l="1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EV85" i="2"/>
  <c r="EW85" i="2"/>
  <c r="HG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EA91" i="2" s="1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X91" i="2" l="1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HI98" i="2" l="1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W100" i="2" l="1"/>
  <c r="EX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HH105" i="2"/>
  <c r="FS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A107" i="2"/>
  <c r="HG107" i="2"/>
  <c r="EC107" i="2"/>
  <c r="EB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FQ112" i="2"/>
  <c r="EC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W113" i="2"/>
  <c r="EX113" i="2"/>
  <c r="FS113" i="2"/>
  <c r="HI113" i="2"/>
  <c r="EB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I115" i="2" l="1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C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HH118" i="2" l="1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Q120" i="2"/>
  <c r="FR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FS122" i="2"/>
  <c r="HI122" i="2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W124" i="2" l="1"/>
  <c r="HH124" i="2"/>
  <c r="EX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X128" i="2"/>
  <c r="EB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EB130" i="2" s="1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X130" i="2" l="1"/>
  <c r="EW130" i="2"/>
  <c r="HG130" i="2"/>
  <c r="FS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EV134" i="2" s="1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I134" i="2" l="1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W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HH140" i="2" l="1"/>
  <c r="EX140" i="2"/>
  <c r="EB140" i="2"/>
  <c r="FR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H141" i="2" l="1"/>
  <c r="EA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HG144" i="2"/>
  <c r="EX144" i="2"/>
  <c r="EB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HG145" i="2"/>
  <c r="EA145" i="2"/>
  <c r="EB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HH146" i="2" s="1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I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FS150" i="2"/>
  <c r="HI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HI156" i="2" l="1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AU158" i="2" l="1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HI159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EB161" i="2"/>
  <c r="EX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A164" i="2" l="1"/>
  <c r="EX164" i="2"/>
  <c r="EV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FS166" i="2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B167" i="2" l="1"/>
  <c r="HH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G174" i="2" l="1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B175" i="2" l="1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C177" i="2" l="1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HH178" i="2"/>
  <c r="HG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EV179" i="2" l="1"/>
  <c r="HI179" i="2"/>
  <c r="HH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HG181" i="2" l="1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B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V185" i="2" l="1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EB187" i="2" l="1"/>
  <c r="HH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C189" i="2" l="1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A192" i="2" l="1"/>
  <c r="HH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EA195" i="2" l="1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W199" i="2" l="1"/>
  <c r="HH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FS201" i="2" l="1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FR202" i="2" s="1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P203" i="2" l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CD125" i="2" l="1"/>
  <c r="CD174" i="2"/>
  <c r="CD181" i="2"/>
  <c r="CD22" i="2"/>
  <c r="CD112" i="2"/>
  <c r="CD90" i="2"/>
  <c r="CD122" i="2"/>
  <c r="CD176" i="2"/>
  <c r="CD32" i="2"/>
  <c r="CD72" i="2"/>
  <c r="CD182" i="2"/>
  <c r="CD101" i="2"/>
  <c r="CD158" i="2"/>
  <c r="CD53" i="2"/>
  <c r="CD61" i="2"/>
  <c r="CD6" i="2"/>
  <c r="CD35" i="2"/>
  <c r="CD200" i="2"/>
  <c r="CD165" i="2"/>
  <c r="CD93" i="2"/>
  <c r="CD179" i="2"/>
  <c r="CD98" i="2"/>
  <c r="CD120" i="2"/>
  <c r="CD129" i="2"/>
  <c r="CD83" i="2"/>
  <c r="CD175" i="2"/>
  <c r="CD38" i="2"/>
  <c r="CD79" i="2"/>
  <c r="CD30" i="2"/>
  <c r="CD84" i="2"/>
  <c r="CD12" i="2"/>
  <c r="CD119" i="2"/>
  <c r="CD185" i="2"/>
  <c r="CD91" i="2"/>
  <c r="CD18" i="2"/>
  <c r="CD127" i="2"/>
  <c r="CD24" i="2"/>
  <c r="CD85" i="2"/>
  <c r="CD96" i="2"/>
  <c r="CD81" i="2"/>
  <c r="CD44" i="2"/>
  <c r="CD173" i="2"/>
  <c r="CD105" i="2"/>
  <c r="CD40" i="2"/>
  <c r="CD161" i="2"/>
  <c r="CD41" i="2"/>
  <c r="CD74" i="2"/>
  <c r="CD128" i="2"/>
  <c r="CD67" i="2"/>
  <c r="CD31" i="2"/>
  <c r="CD57" i="2"/>
  <c r="CD187" i="2"/>
  <c r="CD47" i="2"/>
  <c r="CD190" i="2"/>
  <c r="CD195" i="2"/>
  <c r="CD140" i="2"/>
  <c r="CD28" i="2"/>
  <c r="CD13" i="2"/>
  <c r="CD56" i="2"/>
  <c r="CD145" i="2"/>
  <c r="CD156" i="2"/>
  <c r="CD194" i="2"/>
  <c r="CD25" i="2"/>
  <c r="CD163" i="2"/>
  <c r="CD202" i="2"/>
  <c r="CD192" i="2"/>
  <c r="CD59" i="2"/>
  <c r="CD162" i="2"/>
  <c r="CD19" i="2"/>
  <c r="CD33" i="2"/>
  <c r="CD60" i="2"/>
  <c r="CD102" i="2"/>
  <c r="CD80" i="2"/>
  <c r="CD106" i="2"/>
  <c r="CD69" i="2"/>
  <c r="CD36" i="2"/>
  <c r="CD188" i="2"/>
  <c r="CD75" i="2"/>
  <c r="CD159" i="2"/>
  <c r="CD123" i="2"/>
  <c r="CD113" i="2"/>
  <c r="CD73" i="2"/>
  <c r="CD132" i="2"/>
  <c r="CD151" i="2"/>
  <c r="CD160" i="2"/>
  <c r="CD142" i="2"/>
  <c r="CD133" i="2"/>
  <c r="CD42" i="2"/>
  <c r="CD29" i="2"/>
  <c r="CD184" i="2"/>
  <c r="CD117" i="2"/>
  <c r="CD95" i="2"/>
  <c r="CD191" i="2"/>
  <c r="CD65" i="2"/>
  <c r="CD89" i="2"/>
  <c r="CD20" i="2"/>
  <c r="CD172" i="2"/>
  <c r="CD124" i="2"/>
  <c r="CD201" i="2"/>
  <c r="CD92" i="2"/>
  <c r="CD37" i="2"/>
  <c r="CD114" i="2"/>
  <c r="CD141" i="2"/>
  <c r="CD54" i="2"/>
  <c r="CD116" i="2"/>
  <c r="CD5" i="2"/>
  <c r="CD9" i="2"/>
  <c r="CD23" i="2"/>
  <c r="CD63" i="2"/>
  <c r="CD152" i="2"/>
  <c r="CD164" i="2"/>
  <c r="CD21" i="2"/>
  <c r="CD109" i="2"/>
  <c r="CD110" i="2"/>
  <c r="CD46" i="2"/>
  <c r="CD50" i="2"/>
  <c r="CD170" i="2"/>
  <c r="CD177" i="2"/>
  <c r="CD169" i="2"/>
  <c r="CD10" i="2"/>
  <c r="CD71" i="2"/>
  <c r="CD134" i="2"/>
  <c r="CD3" i="2"/>
  <c r="C9" i="4" s="1"/>
  <c r="E9" i="4" s="1"/>
  <c r="F9" i="4" s="1"/>
  <c r="G9" i="4" s="1"/>
  <c r="L9" i="4" s="1"/>
  <c r="CD66" i="2"/>
  <c r="CD153" i="2"/>
  <c r="CD94" i="2"/>
  <c r="CD15" i="2"/>
  <c r="CD193" i="2"/>
  <c r="CD157" i="2"/>
  <c r="CD16" i="2"/>
  <c r="CD121" i="2"/>
  <c r="CD131" i="2"/>
  <c r="CD107" i="2"/>
  <c r="CD149" i="2"/>
  <c r="CD43" i="2"/>
  <c r="CD155" i="2"/>
  <c r="CD77" i="2"/>
  <c r="CD27" i="2"/>
  <c r="CD150" i="2"/>
  <c r="CD64" i="2"/>
  <c r="CD87" i="2"/>
  <c r="CD137" i="2"/>
  <c r="CD45" i="2"/>
  <c r="CD55" i="2"/>
  <c r="CD78" i="2"/>
  <c r="CD144" i="2"/>
  <c r="CD68" i="2"/>
  <c r="CD146" i="2"/>
  <c r="CD138" i="2"/>
  <c r="CD103" i="2"/>
  <c r="CD82" i="2"/>
  <c r="CD49" i="2"/>
  <c r="CD48" i="2"/>
  <c r="CD62" i="2"/>
  <c r="CD100" i="2"/>
  <c r="CD76" i="2"/>
  <c r="CD166" i="2"/>
  <c r="CD198" i="2"/>
  <c r="CD197" i="2"/>
  <c r="CD4" i="2"/>
  <c r="CD171" i="2"/>
  <c r="CD203" i="2"/>
  <c r="CD139" i="2"/>
  <c r="CD126" i="2"/>
  <c r="CD70" i="2"/>
  <c r="CD178" i="2"/>
  <c r="CD97" i="2"/>
  <c r="CD136" i="2"/>
  <c r="CD8" i="2"/>
  <c r="CD189" i="2"/>
  <c r="CD58" i="2"/>
  <c r="CD115" i="2"/>
  <c r="CD39" i="2"/>
  <c r="CD14" i="2"/>
  <c r="CD118" i="2"/>
  <c r="CD108" i="2"/>
  <c r="CD180" i="2"/>
  <c r="CD167" i="2"/>
  <c r="CD148" i="2"/>
  <c r="CD111" i="2"/>
  <c r="CD88" i="2"/>
  <c r="CD51" i="2"/>
  <c r="CD86" i="2"/>
  <c r="CD130" i="2"/>
  <c r="CD186" i="2"/>
  <c r="CD7" i="2"/>
  <c r="CD17" i="2"/>
  <c r="CD135" i="2"/>
  <c r="CD154" i="2"/>
  <c r="CD34" i="2"/>
  <c r="CD196" i="2"/>
  <c r="CD199" i="2"/>
  <c r="CD147" i="2"/>
  <c r="CD26" i="2"/>
  <c r="CD99" i="2"/>
  <c r="CD11" i="2"/>
  <c r="CD52" i="2"/>
  <c r="CD104" i="2"/>
  <c r="CD168" i="2"/>
  <c r="CD183" i="2"/>
  <c r="CD143" i="2"/>
  <c r="FE125" i="2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<sst xmlns="http://schemas.openxmlformats.org/spreadsheetml/2006/main" count="1173" uniqueCount="324">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</sst>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1.9960712331870976</c:v>
                </c:pt>
                <c:pt idx="2">
                  <c:v>2.7416990049638525</c:v>
                </c:pt>
                <c:pt idx="3">
                  <c:v>3.7670473110861704</c:v>
                </c:pt>
                <c:pt idx="4">
                  <c:v>5.1774741551981576</c:v>
                </c:pt>
                <c:pt idx="5">
                  <c:v>7.1181693875211574</c:v>
                </c:pt>
                <c:pt idx="6">
                  <c:v>9.7892655629651237</c:v>
                </c:pt>
                <c:pt idx="7">
                  <c:v>13.466699485205766</c:v>
                </c:pt>
                <c:pt idx="8">
                  <c:v>18.531019264339804</c:v>
                </c:pt>
                <c:pt idx="9">
                  <c:v>25.507171589561072</c:v>
                </c:pt>
                <c:pt idx="10">
                  <c:v>35.11946593524749</c:v>
                </c:pt>
                <c:pt idx="11">
                  <c:v>60.297639146616369</c:v>
                </c:pt>
                <c:pt idx="12">
                  <c:v>85.194768164020218</c:v>
                </c:pt>
                <c:pt idx="13">
                  <c:v>109.90665396759691</c:v>
                </c:pt>
                <c:pt idx="14">
                  <c:v>134.48126302738513</c:v>
                </c:pt>
                <c:pt idx="15">
                  <c:v>158.94734253479243</c:v>
                </c:pt>
                <c:pt idx="16">
                  <c:v>183.32399225800421</c:v>
                </c:pt>
                <c:pt idx="17">
                  <c:v>207.62479146984003</c:v>
                </c:pt>
                <c:pt idx="18">
                  <c:v>231.85987083514178</c:v>
                </c:pt>
                <c:pt idx="19">
                  <c:v>256.03706594115926</c:v>
                </c:pt>
                <c:pt idx="20">
                  <c:v>280.16260989796973</c:v>
                </c:pt>
                <c:pt idx="21">
                  <c:v>188.04464873361908</c:v>
                </c:pt>
                <c:pt idx="22">
                  <c:v>221.25703044371778</c:v>
                </c:pt>
                <c:pt idx="23">
                  <c:v>254.35482042421077</c:v>
                </c:pt>
                <c:pt idx="24">
                  <c:v>287.35503217179325</c:v>
                </c:pt>
                <c:pt idx="25">
                  <c:v>320.27044348252321</c:v>
                </c:pt>
                <c:pt idx="26">
                  <c:v>353.11098821334605</c:v>
                </c:pt>
                <c:pt idx="27">
                  <c:v>385.88460083872718</c:v>
                </c:pt>
                <c:pt idx="28">
                  <c:v>418.59775818754741</c:v>
                </c:pt>
                <c:pt idx="29">
                  <c:v>451.25584262505646</c:v>
                </c:pt>
                <c:pt idx="30">
                  <c:v>483.86339446304572</c:v>
                </c:pt>
                <c:pt idx="31">
                  <c:v>349.29312109132542</c:v>
                </c:pt>
                <c:pt idx="32">
                  <c:v>381.24052241560281</c:v>
                </c:pt>
                <c:pt idx="33">
                  <c:v>413.12970902158912</c:v>
                </c:pt>
                <c:pt idx="34">
                  <c:v>444.96580033395298</c:v>
                </c:pt>
                <c:pt idx="35">
                  <c:v>476.75312396624321</c:v>
                </c:pt>
                <c:pt idx="36">
                  <c:v>508.4953838956676</c:v>
                </c:pt>
                <c:pt idx="37">
                  <c:v>540.19578443936393</c:v>
                </c:pt>
                <c:pt idx="38">
                  <c:v>571.8571236111394</c:v>
                </c:pt>
                <c:pt idx="39">
                  <c:v>603.48186473059241</c:v>
                </c:pt>
                <c:pt idx="40">
                  <c:v>635.07219224690084</c:v>
                </c:pt>
                <c:pt idx="41">
                  <c:v>496.65631445060126</c:v>
                </c:pt>
                <c:pt idx="42">
                  <c:v>523.64091513728647</c:v>
                </c:pt>
                <c:pt idx="43">
                  <c:v>550.59622582737018</c:v>
                </c:pt>
                <c:pt idx="44">
                  <c:v>577.52388027951656</c:v>
                </c:pt>
                <c:pt idx="45">
                  <c:v>604.42534765809012</c:v>
                </c:pt>
                <c:pt idx="46">
                  <c:v>631.30195584847183</c:v>
                </c:pt>
                <c:pt idx="47">
                  <c:v>658.15491059834255</c:v>
                </c:pt>
                <c:pt idx="48">
                  <c:v>684.98531137525208</c:v>
                </c:pt>
                <c:pt idx="49">
                  <c:v>711.79416461281119</c:v>
                </c:pt>
                <c:pt idx="50">
                  <c:v>738.58239485956028</c:v>
                </c:pt>
                <c:pt idx="51">
                  <c:v>609.49604560795967</c:v>
                </c:pt>
                <c:pt idx="52">
                  <c:v>632.2445584894391</c:v>
                </c:pt>
                <c:pt idx="53">
                  <c:v>654.97615321685669</c:v>
                </c:pt>
                <c:pt idx="54">
                  <c:v>677.69149890374536</c:v>
                </c:pt>
                <c:pt idx="55">
                  <c:v>700.39121620344451</c:v>
                </c:pt>
                <c:pt idx="56">
                  <c:v>723.07588230699582</c:v>
                </c:pt>
                <c:pt idx="57">
                  <c:v>745.74603528189357</c:v>
                </c:pt>
                <c:pt idx="58">
                  <c:v>768.40217785639322</c:v>
                </c:pt>
                <c:pt idx="59">
                  <c:v>791.04478073480857</c:v>
                </c:pt>
                <c:pt idx="60">
                  <c:v>813.67428551393857</c:v>
                </c:pt>
                <c:pt idx="61">
                  <c:v>719.55073421012912</c:v>
                </c:pt>
                <c:pt idx="62">
                  <c:v>738.11259868718491</c:v>
                </c:pt>
                <c:pt idx="63">
                  <c:v>756.66496313732296</c:v>
                </c:pt>
                <c:pt idx="64">
                  <c:v>775.20809304811462</c:v>
                </c:pt>
                <c:pt idx="65">
                  <c:v>793.74224018427151</c:v>
                </c:pt>
                <c:pt idx="66">
                  <c:v>812.26764360731715</c:v>
                </c:pt>
                <c:pt idx="67">
                  <c:v>830.78453059749984</c:v>
                </c:pt>
                <c:pt idx="68">
                  <c:v>849.29311748933662</c:v>
                </c:pt>
                <c:pt idx="69">
                  <c:v>867.79361043061851</c:v>
                </c:pt>
                <c:pt idx="70">
                  <c:v>886.28620607340656</c:v>
                </c:pt>
                <c:pt idx="71">
                  <c:v>807.69571767022671</c:v>
                </c:pt>
                <c:pt idx="72">
                  <c:v>822.81626726121738</c:v>
                </c:pt>
                <c:pt idx="73">
                  <c:v>837.93122299822573</c:v>
                </c:pt>
                <c:pt idx="74">
                  <c:v>853.04069990631922</c:v>
                </c:pt>
                <c:pt idx="75">
                  <c:v>868.14480860757533</c:v>
                </c:pt>
                <c:pt idx="76">
                  <c:v>883.24365556486009</c:v>
                </c:pt>
                <c:pt idx="77">
                  <c:v>898.33734330808841</c:v>
                </c:pt>
                <c:pt idx="78">
                  <c:v>913.42597064450467</c:v>
                </c:pt>
                <c:pt idx="79">
                  <c:v>928.50963285436319</c:v>
                </c:pt>
                <c:pt idx="80">
                  <c:v>943.58842187324615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2.0615802021639595</c:v>
                </c:pt>
                <c:pt idx="2">
                  <c:v>2.6306720199279545</c:v>
                </c:pt>
                <c:pt idx="3">
                  <c:v>3.357488018453298</c:v>
                </c:pt>
                <c:pt idx="4">
                  <c:v>4.2859059270606634</c:v>
                </c:pt>
                <c:pt idx="5">
                  <c:v>5.4720527619498105</c:v>
                </c:pt>
                <c:pt idx="6">
                  <c:v>6.9877355562224617</c:v>
                </c:pt>
                <c:pt idx="7">
                  <c:v>8.9248358288257617</c:v>
                </c:pt>
                <c:pt idx="8">
                  <c:v>11.400939260761424</c:v>
                </c:pt>
                <c:pt idx="9">
                  <c:v>14.566548705207111</c:v>
                </c:pt>
                <c:pt idx="10">
                  <c:v>18.614327012382446</c:v>
                </c:pt>
                <c:pt idx="11">
                  <c:v>23.790942352926717</c:v>
                </c:pt>
                <c:pt idx="12">
                  <c:v>30.41225067621362</c:v>
                </c:pt>
                <c:pt idx="13">
                  <c:v>38.88275778896849</c:v>
                </c:pt>
                <c:pt idx="14">
                  <c:v>49.720570316163929</c:v>
                </c:pt>
                <c:pt idx="15">
                  <c:v>63.589387248149137</c:v>
                </c:pt>
                <c:pt idx="16">
                  <c:v>81.339523385051294</c:v>
                </c:pt>
                <c:pt idx="17">
                  <c:v>104.0605203802959</c:v>
                </c:pt>
                <c:pt idx="18">
                  <c:v>133.14862574111029</c:v>
                </c:pt>
                <c:pt idx="19">
                  <c:v>170.39335065109825</c:v>
                </c:pt>
                <c:pt idx="20">
                  <c:v>218.08851241049035</c:v>
                </c:pt>
                <c:pt idx="21">
                  <c:v>159.32874195250244</c:v>
                </c:pt>
                <c:pt idx="22">
                  <c:v>181.66813736078151</c:v>
                </c:pt>
                <c:pt idx="23">
                  <c:v>203.94321057745549</c:v>
                </c:pt>
                <c:pt idx="24">
                  <c:v>226.16197789995076</c:v>
                </c:pt>
                <c:pt idx="25">
                  <c:v>248.33074918569818</c:v>
                </c:pt>
                <c:pt idx="26">
                  <c:v>270.45461449361864</c:v>
                </c:pt>
                <c:pt idx="27">
                  <c:v>292.53776259751828</c:v>
                </c:pt>
                <c:pt idx="28">
                  <c:v>314.583698040076</c:v>
                </c:pt>
                <c:pt idx="29">
                  <c:v>336.59539404232538</c:v>
                </c:pt>
                <c:pt idx="30">
                  <c:v>358.57540326704753</c:v>
                </c:pt>
                <c:pt idx="31">
                  <c:v>266.56923588073727</c:v>
                </c:pt>
                <c:pt idx="32">
                  <c:v>286.78647711903716</c:v>
                </c:pt>
                <c:pt idx="33">
                  <c:v>306.97184146318881</c:v>
                </c:pt>
                <c:pt idx="34">
                  <c:v>327.1277190437109</c:v>
                </c:pt>
                <c:pt idx="35">
                  <c:v>347.25618143588719</c:v>
                </c:pt>
                <c:pt idx="36">
                  <c:v>367.3590405061089</c:v>
                </c:pt>
                <c:pt idx="37">
                  <c:v>387.43789369626415</c:v>
                </c:pt>
                <c:pt idx="38">
                  <c:v>407.49415942665138</c:v>
                </c:pt>
                <c:pt idx="39">
                  <c:v>427.5291051635549</c:v>
                </c:pt>
                <c:pt idx="40">
                  <c:v>447.54386995067108</c:v>
                </c:pt>
                <c:pt idx="41">
                  <c:v>355.11389600890448</c:v>
                </c:pt>
                <c:pt idx="42">
                  <c:v>371.6161159842477</c:v>
                </c:pt>
                <c:pt idx="43">
                  <c:v>388.10236266830719</c:v>
                </c:pt>
                <c:pt idx="44">
                  <c:v>404.57340992986133</c:v>
                </c:pt>
                <c:pt idx="45">
                  <c:v>421.02996350009448</c:v>
                </c:pt>
                <c:pt idx="46">
                  <c:v>437.47266945596533</c:v>
                </c:pt>
                <c:pt idx="47">
                  <c:v>453.90212136173136</c:v>
                </c:pt>
                <c:pt idx="48">
                  <c:v>470.31886632272807</c:v>
                </c:pt>
                <c:pt idx="49">
                  <c:v>486.72341015001916</c:v>
                </c:pt>
                <c:pt idx="50">
                  <c:v>503.11622179266834</c:v>
                </c:pt>
                <c:pt idx="51">
                  <c:v>426.33554561113533</c:v>
                </c:pt>
                <c:pt idx="52">
                  <c:v>439.59333149267508</c:v>
                </c:pt>
                <c:pt idx="53">
                  <c:v>452.84254581303099</c:v>
                </c:pt>
                <c:pt idx="54">
                  <c:v>466.08347466593301</c:v>
                </c:pt>
                <c:pt idx="55">
                  <c:v>479.31638656594276</c:v>
                </c:pt>
                <c:pt idx="56">
                  <c:v>492.54153399430987</c:v>
                </c:pt>
                <c:pt idx="57">
                  <c:v>505.75915477017423</c:v>
                </c:pt>
                <c:pt idx="58">
                  <c:v>518.96947327099519</c:v>
                </c:pt>
                <c:pt idx="59">
                  <c:v>532.17270152227172</c:v>
                </c:pt>
                <c:pt idx="60">
                  <c:v>545.36904017352083</c:v>
                </c:pt>
                <c:pt idx="61">
                  <c:v>483.02020001617831</c:v>
                </c:pt>
                <c:pt idx="62">
                  <c:v>493.33480119409711</c:v>
                </c:pt>
                <c:pt idx="63">
                  <c:v>503.64483183617267</c:v>
                </c:pt>
                <c:pt idx="64">
                  <c:v>513.9503987019458</c:v>
                </c:pt>
                <c:pt idx="65">
                  <c:v>524.2516039201148</c:v>
                </c:pt>
                <c:pt idx="66">
                  <c:v>534.54854527839552</c:v>
                </c:pt>
                <c:pt idx="67">
                  <c:v>544.84131648988216</c:v>
                </c:pt>
                <c:pt idx="68">
                  <c:v>555.13000743824</c:v>
                </c:pt>
                <c:pt idx="69">
                  <c:v>565.4147044037735</c:v>
                </c:pt>
                <c:pt idx="70">
                  <c:v>575.69549027219523</c:v>
                </c:pt>
                <c:pt idx="71">
                  <c:v>524.25160392011492</c:v>
                </c:pt>
                <c:pt idx="72">
                  <c:v>532.17270152227195</c:v>
                </c:pt>
                <c:pt idx="73">
                  <c:v>540.0913190698044</c:v>
                </c:pt>
                <c:pt idx="74">
                  <c:v>548.00749806060492</c:v>
                </c:pt>
                <c:pt idx="75">
                  <c:v>555.92127869561818</c:v>
                </c:pt>
                <c:pt idx="76">
                  <c:v>563.83269993765953</c:v>
                </c:pt>
                <c:pt idx="77">
                  <c:v>571.74179956676232</c:v>
                </c:pt>
                <c:pt idx="78">
                  <c:v>579.64861423230275</c:v>
                </c:pt>
                <c:pt idx="79">
                  <c:v>587.55317950213146</c:v>
                </c:pt>
                <c:pt idx="80">
                  <c:v>595.45552990892566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1.603842220177363</c:v>
                </c:pt>
                <c:pt idx="2">
                  <c:v>2.0449237297385401</c:v>
                </c:pt>
                <c:pt idx="3">
                  <c:v>2.6078005694826394</c:v>
                </c:pt>
                <c:pt idx="4">
                  <c:v>3.3262321371930614</c:v>
                </c:pt>
                <c:pt idx="5">
                  <c:v>4.2433686370993398</c:v>
                </c:pt>
                <c:pt idx="6">
                  <c:v>5.4143719407296151</c:v>
                </c:pt>
                <c:pt idx="7">
                  <c:v>6.9097701264777305</c:v>
                </c:pt>
                <c:pt idx="8">
                  <c:v>8.8197516556304585</c:v>
                </c:pt>
                <c:pt idx="9">
                  <c:v>11.259663105895113</c:v>
                </c:pt>
                <c:pt idx="10">
                  <c:v>14.377048697135145</c:v>
                </c:pt>
                <c:pt idx="11">
                  <c:v>18.360665129788281</c:v>
                </c:pt>
                <c:pt idx="12">
                  <c:v>23.45202744489043</c:v>
                </c:pt>
                <c:pt idx="13">
                  <c:v>29.960198316478341</c:v>
                </c:pt>
                <c:pt idx="14">
                  <c:v>38.280734170013282</c:v>
                </c:pt>
                <c:pt idx="15">
                  <c:v>48.919959321119023</c:v>
                </c:pt>
                <c:pt idx="16">
                  <c:v>62.526070039547591</c:v>
                </c:pt>
                <c:pt idx="17">
                  <c:v>79.928994721339095</c:v>
                </c:pt>
                <c:pt idx="18">
                  <c:v>102.1914807174298</c:v>
                </c:pt>
                <c:pt idx="19">
                  <c:v>130.67457686770217</c:v>
                </c:pt>
                <c:pt idx="20">
                  <c:v>167.12157714245117</c:v>
                </c:pt>
                <c:pt idx="21">
                  <c:v>173.17484226523302</c:v>
                </c:pt>
                <c:pt idx="22">
                  <c:v>202.12291541859756</c:v>
                </c:pt>
                <c:pt idx="23">
                  <c:v>230.97486462716213</c:v>
                </c:pt>
                <c:pt idx="24">
                  <c:v>259.7443908991703</c:v>
                </c:pt>
                <c:pt idx="25">
                  <c:v>288.44190564944347</c:v>
                </c:pt>
                <c:pt idx="26">
                  <c:v>317.07557691934716</c:v>
                </c:pt>
                <c:pt idx="27">
                  <c:v>345.65197625454135</c:v>
                </c:pt>
                <c:pt idx="28">
                  <c:v>374.17649981551682</c:v>
                </c:pt>
                <c:pt idx="29">
                  <c:v>402.65365408890875</c:v>
                </c:pt>
                <c:pt idx="30">
                  <c:v>431.08725643096574</c:v>
                </c:pt>
                <c:pt idx="31">
                  <c:v>316.04661724583633</c:v>
                </c:pt>
                <c:pt idx="32">
                  <c:v>344.62497708819268</c:v>
                </c:pt>
                <c:pt idx="33">
                  <c:v>373.15128389128796</c:v>
                </c:pt>
                <c:pt idx="34">
                  <c:v>401.63007226161682</c:v>
                </c:pt>
                <c:pt idx="35">
                  <c:v>430.06518156271517</c:v>
                </c:pt>
                <c:pt idx="36">
                  <c:v>458.45990237727136</c:v>
                </c:pt>
                <c:pt idx="37">
                  <c:v>486.81708477103376</c:v>
                </c:pt>
                <c:pt idx="38">
                  <c:v>515.13922000966511</c:v>
                </c:pt>
                <c:pt idx="39">
                  <c:v>543.42850336833237</c:v>
                </c:pt>
                <c:pt idx="40">
                  <c:v>571.68688318436887</c:v>
                </c:pt>
                <c:pt idx="41">
                  <c:v>454.88714807151217</c:v>
                </c:pt>
                <c:pt idx="42">
                  <c:v>480.6998759070346</c:v>
                </c:pt>
                <c:pt idx="43">
                  <c:v>506.48315724555465</c:v>
                </c:pt>
                <c:pt idx="44">
                  <c:v>532.23870019072854</c:v>
                </c:pt>
                <c:pt idx="45">
                  <c:v>557.96803422202993</c:v>
                </c:pt>
                <c:pt idx="46">
                  <c:v>583.67253641440277</c:v>
                </c:pt>
                <c:pt idx="47">
                  <c:v>609.35345280137506</c:v>
                </c:pt>
                <c:pt idx="48">
                  <c:v>635.01191595188084</c:v>
                </c:pt>
                <c:pt idx="49">
                  <c:v>660.64895956065914</c:v>
                </c:pt>
                <c:pt idx="50">
                  <c:v>686.26553065806058</c:v>
                </c:pt>
                <c:pt idx="51">
                  <c:v>567.52115351279951</c:v>
                </c:pt>
                <c:pt idx="52">
                  <c:v>590.78023821330669</c:v>
                </c:pt>
                <c:pt idx="53">
                  <c:v>614.02026646644197</c:v>
                </c:pt>
                <c:pt idx="54">
                  <c:v>637.2420602094686</c:v>
                </c:pt>
                <c:pt idx="55">
                  <c:v>660.44637665870471</c:v>
                </c:pt>
                <c:pt idx="56">
                  <c:v>683.63391554603504</c:v>
                </c:pt>
                <c:pt idx="57">
                  <c:v>706.80532532349207</c:v>
                </c:pt>
                <c:pt idx="58">
                  <c:v>729.96120851271223</c:v>
                </c:pt>
                <c:pt idx="59">
                  <c:v>753.10212634103527</c:v>
                </c:pt>
                <c:pt idx="60">
                  <c:v>776.22860277878442</c:v>
                </c:pt>
                <c:pt idx="61">
                  <c:v>667.33348049623498</c:v>
                </c:pt>
                <c:pt idx="62">
                  <c:v>687.88488318789871</c:v>
                </c:pt>
                <c:pt idx="63">
                  <c:v>708.42370141617005</c:v>
                </c:pt>
                <c:pt idx="64">
                  <c:v>728.95035099915742</c:v>
                </c:pt>
                <c:pt idx="65">
                  <c:v>749.4652224538886</c:v>
                </c:pt>
                <c:pt idx="66">
                  <c:v>769.96868320011879</c:v>
                </c:pt>
                <c:pt idx="67">
                  <c:v>790.46107951744852</c:v>
                </c:pt>
                <c:pt idx="68">
                  <c:v>810.94273828916755</c:v>
                </c:pt>
                <c:pt idx="69">
                  <c:v>831.41396856097208</c:v>
                </c:pt>
                <c:pt idx="70">
                  <c:v>851.87506293837168</c:v>
                </c:pt>
                <c:pt idx="71">
                  <c:v>758.55681372872095</c:v>
                </c:pt>
                <c:pt idx="72">
                  <c:v>776.22860277878408</c:v>
                </c:pt>
                <c:pt idx="73">
                  <c:v>793.89224512368764</c:v>
                </c:pt>
                <c:pt idx="74">
                  <c:v>811.54794736433348</c:v>
                </c:pt>
                <c:pt idx="75">
                  <c:v>829.19590638894454</c:v>
                </c:pt>
                <c:pt idx="76">
                  <c:v>846.83631003086464</c:v>
                </c:pt>
                <c:pt idx="77">
                  <c:v>864.46933766875611</c:v>
                </c:pt>
                <c:pt idx="78">
                  <c:v>882.09516077534101</c:v>
                </c:pt>
                <c:pt idx="79">
                  <c:v>899.71394342005567</c:v>
                </c:pt>
                <c:pt idx="80">
                  <c:v>917.32584273033024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2.8409897721730037</c:v>
                </c:pt>
                <c:pt idx="2">
                  <c:v>3.4936137767656628</c:v>
                </c:pt>
                <c:pt idx="3">
                  <c:v>4.2967268910058536</c:v>
                </c:pt>
                <c:pt idx="4">
                  <c:v>5.2851544779514645</c:v>
                </c:pt>
                <c:pt idx="5">
                  <c:v>6.5018078390654601</c:v>
                </c:pt>
                <c:pt idx="6">
                  <c:v>7.9995674433027766</c:v>
                </c:pt>
                <c:pt idx="7">
                  <c:v>9.8436060094228282</c:v>
                </c:pt>
                <c:pt idx="8">
                  <c:v>12.11425444224588</c:v>
                </c:pt>
                <c:pt idx="9">
                  <c:v>14.910537800434229</c:v>
                </c:pt>
                <c:pt idx="10">
                  <c:v>18.354538337341264</c:v>
                </c:pt>
                <c:pt idx="11">
                  <c:v>22.596779547894098</c:v>
                </c:pt>
                <c:pt idx="12">
                  <c:v>27.822870730174767</c:v>
                </c:pt>
                <c:pt idx="13">
                  <c:v>34.261707878436859</c:v>
                </c:pt>
                <c:pt idx="14">
                  <c:v>42.195596296668306</c:v>
                </c:pt>
                <c:pt idx="15">
                  <c:v>51.972746288714539</c:v>
                </c:pt>
                <c:pt idx="16">
                  <c:v>64.022699512524582</c:v>
                </c:pt>
                <c:pt idx="17">
                  <c:v>78.875374867413711</c:v>
                </c:pt>
                <c:pt idx="18">
                  <c:v>97.184585031159045</c:v>
                </c:pt>
                <c:pt idx="19">
                  <c:v>119.75707529474329</c:v>
                </c:pt>
                <c:pt idx="20">
                  <c:v>147.58838420434714</c:v>
                </c:pt>
                <c:pt idx="21">
                  <c:v>151.92056403664665</c:v>
                </c:pt>
                <c:pt idx="22">
                  <c:v>168.04258893965877</c:v>
                </c:pt>
                <c:pt idx="23">
                  <c:v>184.12813820679631</c:v>
                </c:pt>
                <c:pt idx="24">
                  <c:v>200.18084844254145</c:v>
                </c:pt>
                <c:pt idx="25">
                  <c:v>216.20372460175975</c:v>
                </c:pt>
                <c:pt idx="26">
                  <c:v>232.19928942325339</c:v>
                </c:pt>
                <c:pt idx="27">
                  <c:v>248.16968942779488</c:v>
                </c:pt>
                <c:pt idx="28">
                  <c:v>264.1167721479751</c:v>
                </c:pt>
                <c:pt idx="29">
                  <c:v>280.04214369956082</c:v>
                </c:pt>
                <c:pt idx="30">
                  <c:v>295.94721255485501</c:v>
                </c:pt>
                <c:pt idx="31">
                  <c:v>208.39124575488827</c:v>
                </c:pt>
                <c:pt idx="32">
                  <c:v>229.86009453547467</c:v>
                </c:pt>
                <c:pt idx="33">
                  <c:v>251.28309296155342</c:v>
                </c:pt>
                <c:pt idx="34">
                  <c:v>272.6646989766358</c:v>
                </c:pt>
                <c:pt idx="35">
                  <c:v>294.00861390700948</c:v>
                </c:pt>
                <c:pt idx="36">
                  <c:v>315.31795766675845</c:v>
                </c:pt>
                <c:pt idx="37">
                  <c:v>336.59539404232538</c:v>
                </c:pt>
                <c:pt idx="38">
                  <c:v>357.84322260194625</c:v>
                </c:pt>
                <c:pt idx="39">
                  <c:v>379.06344761508916</c:v>
                </c:pt>
                <c:pt idx="40">
                  <c:v>400.25783072357081</c:v>
                </c:pt>
                <c:pt idx="41">
                  <c:v>313.76929290842912</c:v>
                </c:pt>
                <c:pt idx="42">
                  <c:v>335.43558947776097</c:v>
                </c:pt>
                <c:pt idx="43">
                  <c:v>357.07106927741569</c:v>
                </c:pt>
                <c:pt idx="44">
                  <c:v>378.6778610090978</c:v>
                </c:pt>
                <c:pt idx="45">
                  <c:v>400.25783072357075</c:v>
                </c:pt>
                <c:pt idx="46">
                  <c:v>421.81262693312578</c:v>
                </c:pt>
                <c:pt idx="47">
                  <c:v>443.3437160197393</c:v>
                </c:pt>
                <c:pt idx="48">
                  <c:v>464.85241040566939</c:v>
                </c:pt>
                <c:pt idx="49">
                  <c:v>486.33989123889143</c:v>
                </c:pt>
                <c:pt idx="50">
                  <c:v>507.80722686130594</c:v>
                </c:pt>
                <c:pt idx="51">
                  <c:v>419.11960237942048</c:v>
                </c:pt>
                <c:pt idx="52">
                  <c:v>437.96309211649071</c:v>
                </c:pt>
                <c:pt idx="53">
                  <c:v>456.78919677852781</c:v>
                </c:pt>
                <c:pt idx="54">
                  <c:v>475.59873329316815</c:v>
                </c:pt>
                <c:pt idx="55">
                  <c:v>494.3924487367961</c:v>
                </c:pt>
                <c:pt idx="56">
                  <c:v>513.17102878971104</c:v>
                </c:pt>
                <c:pt idx="57">
                  <c:v>531.93510488968684</c:v>
                </c:pt>
                <c:pt idx="58">
                  <c:v>550.68526032404009</c:v>
                </c:pt>
                <c:pt idx="59">
                  <c:v>569.42203544921153</c:v>
                </c:pt>
                <c:pt idx="60">
                  <c:v>588.14593218796983</c:v>
                </c:pt>
                <c:pt idx="61">
                  <c:v>497.26768589837212</c:v>
                </c:pt>
                <c:pt idx="62">
                  <c:v>513.55411203705933</c:v>
                </c:pt>
                <c:pt idx="63">
                  <c:v>529.82963703400833</c:v>
                </c:pt>
                <c:pt idx="64">
                  <c:v>546.09464274073571</c:v>
                </c:pt>
                <c:pt idx="65">
                  <c:v>562.34948641975654</c:v>
                </c:pt>
                <c:pt idx="66">
                  <c:v>578.59450300758772</c:v>
                </c:pt>
                <c:pt idx="67">
                  <c:v>594.83000711050624</c:v>
                </c:pt>
                <c:pt idx="68">
                  <c:v>611.05629477119896</c:v>
                </c:pt>
                <c:pt idx="69">
                  <c:v>627.27364503811202</c:v>
                </c:pt>
                <c:pt idx="70">
                  <c:v>643.48232136416652</c:v>
                </c:pt>
                <c:pt idx="71">
                  <c:v>550.68526032404009</c:v>
                </c:pt>
                <c:pt idx="72">
                  <c:v>564.83464686291791</c:v>
                </c:pt>
                <c:pt idx="73">
                  <c:v>578.97662295224802</c:v>
                </c:pt>
                <c:pt idx="74">
                  <c:v>593.11139502123308</c:v>
                </c:pt>
                <c:pt idx="75">
                  <c:v>607.23915886223847</c:v>
                </c:pt>
                <c:pt idx="76">
                  <c:v>621.36010041874761</c:v>
                </c:pt>
                <c:pt idx="77">
                  <c:v>635.47439649799799</c:v>
                </c:pt>
                <c:pt idx="78">
                  <c:v>649.58221541705041</c:v>
                </c:pt>
                <c:pt idx="79">
                  <c:v>663.6837175898421</c:v>
                </c:pt>
                <c:pt idx="80">
                  <c:v>677.7790560617857</c:v>
                </c:pt>
                <c:pt idx="81">
                  <c:v>583.56165301259591</c:v>
                </c:pt>
                <c:pt idx="82">
                  <c:v>596.16663396016543</c:v>
                </c:pt>
                <c:pt idx="83">
                  <c:v>608.76607282046416</c:v>
                </c:pt>
                <c:pt idx="84">
                  <c:v>621.36010041874761</c:v>
                </c:pt>
                <c:pt idx="85">
                  <c:v>633.94884184663999</c:v>
                </c:pt>
                <c:pt idx="86">
                  <c:v>646.53241682467001</c:v>
                </c:pt>
                <c:pt idx="87">
                  <c:v>659.11094003512596</c:v>
                </c:pt>
                <c:pt idx="88">
                  <c:v>671.68452142819649</c:v>
                </c:pt>
                <c:pt idx="89">
                  <c:v>684.253266504007</c:v>
                </c:pt>
                <c:pt idx="90">
                  <c:v>696.81727657286876</c:v>
                </c:pt>
                <c:pt idx="91">
                  <c:v>601.32161215624558</c:v>
                </c:pt>
                <c:pt idx="92">
                  <c:v>612.58301041135337</c:v>
                </c:pt>
                <c:pt idx="93">
                  <c:v>623.84011521480909</c:v>
                </c:pt>
                <c:pt idx="94">
                  <c:v>635.09301493951546</c:v>
                </c:pt>
                <c:pt idx="95">
                  <c:v>646.3417945722922</c:v>
                </c:pt>
                <c:pt idx="96">
                  <c:v>657.58653590152937</c:v>
                </c:pt>
                <c:pt idx="97">
                  <c:v>668.82731769134693</c:v>
                </c:pt>
                <c:pt idx="98">
                  <c:v>680.06421584344059</c:v>
                </c:pt>
                <c:pt idx="99">
                  <c:v>691.29730354767969</c:v>
                </c:pt>
                <c:pt idx="100">
                  <c:v>702.52665142241415</c:v>
                </c:pt>
                <c:pt idx="101">
                  <c:v>607.62089481714133</c:v>
                </c:pt>
                <c:pt idx="102">
                  <c:v>617.54429227660387</c:v>
                </c:pt>
                <c:pt idx="103">
                  <c:v>627.46438526884356</c:v>
                </c:pt>
                <c:pt idx="104">
                  <c:v>637.38123339273795</c:v>
                </c:pt>
                <c:pt idx="105">
                  <c:v>647.29489424172436</c:v>
                </c:pt>
                <c:pt idx="106">
                  <c:v>657.20542350161338</c:v>
                </c:pt>
                <c:pt idx="107">
                  <c:v>667.11287504220002</c:v>
                </c:pt>
                <c:pt idx="108">
                  <c:v>677.01730100314978</c:v>
                </c:pt>
                <c:pt idx="109">
                  <c:v>686.91875187459846</c:v>
                </c:pt>
                <c:pt idx="110">
                  <c:v>696.8172765728682</c:v>
                </c:pt>
                <c:pt idx="111">
                  <c:v>608.19348941446708</c:v>
                </c:pt>
                <c:pt idx="112">
                  <c:v>616.7810721021084</c:v>
                </c:pt>
                <c:pt idx="113">
                  <c:v>625.36617664098787</c:v>
                </c:pt>
                <c:pt idx="114">
                  <c:v>633.94884184663977</c:v>
                </c:pt>
                <c:pt idx="115">
                  <c:v>642.52910539795425</c:v>
                </c:pt>
                <c:pt idx="116">
                  <c:v>651.1070038855247</c:v>
                </c:pt>
                <c:pt idx="117">
                  <c:v>659.68257285730897</c:v>
                </c:pt>
                <c:pt idx="118">
                  <c:v>668.25584686179923</c:v>
                </c:pt>
                <c:pt idx="119">
                  <c:v>676.82685948885705</c:v>
                </c:pt>
                <c:pt idx="120">
                  <c:v>685.39564340837785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2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2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2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2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2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2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2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2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2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2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2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2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2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2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2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2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2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2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92" zoomScale="80" zoomScaleNormal="80" workbookViewId="0">
      <selection activeCell="A114" sqref="A114:H124"/>
    </sheetView>
  </sheetViews>
  <sheetFormatPr baseColWidth="10" defaultColWidth="11.42578125" defaultRowHeight="15" x14ac:dyDescent="0.25"/>
  <cols>
    <col min="1" max="1" width="13.7109375" style="23" customWidth="1"/>
    <col min="2" max="2" width="36.140625" style="23" customWidth="1"/>
    <col min="3" max="3" width="14.85546875" style="23" bestFit="1" customWidth="1"/>
    <col min="4" max="4" width="16.42578125" style="23" customWidth="1"/>
    <col min="5" max="5" width="23.28515625" style="23" customWidth="1"/>
    <col min="6" max="6" width="28.85546875" style="23" bestFit="1" customWidth="1"/>
    <col min="7" max="8" width="14.7109375" style="23" customWidth="1"/>
    <col min="9" max="9" width="17" style="23" customWidth="1"/>
    <col min="10" max="10" width="13.85546875" style="23" customWidth="1"/>
    <col min="11" max="16384" width="11.42578125" style="23"/>
  </cols>
  <sheetData>
    <row r="1" spans="1:38" x14ac:dyDescent="0.25">
      <c r="A1" s="4"/>
      <c r="B1" s="4"/>
      <c r="C1" s="262" t="s">
        <v>190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.75" thickBot="1" x14ac:dyDescent="0.3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3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.25" x14ac:dyDescent="0.2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.25" x14ac:dyDescent="0.25">
      <c r="A5" s="268" t="s">
        <v>231</v>
      </c>
      <c r="B5" s="268"/>
      <c r="C5" s="24">
        <v>9.48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.25" x14ac:dyDescent="0.2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5">
      <c r="A9" s="30" t="s">
        <v>165</v>
      </c>
      <c r="B9" s="31" t="s">
        <v>18</v>
      </c>
      <c r="C9" s="32">
        <v>0.47</v>
      </c>
      <c r="D9" s="33">
        <f t="shared" ref="D9:D18" si="0">C9*$C$5</f>
        <v>4.4555999999999996</v>
      </c>
      <c r="E9" s="34">
        <v>80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5">
      <c r="A10" s="30" t="s">
        <v>166</v>
      </c>
      <c r="B10" s="31" t="s">
        <v>27</v>
      </c>
      <c r="C10" s="32">
        <v>0.27</v>
      </c>
      <c r="D10" s="33">
        <f t="shared" si="0"/>
        <v>2.5596000000000001</v>
      </c>
      <c r="E10" s="34">
        <v>80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5">
      <c r="A11" s="30" t="s">
        <v>167</v>
      </c>
      <c r="B11" s="31" t="s">
        <v>47</v>
      </c>
      <c r="C11" s="32">
        <v>0.2</v>
      </c>
      <c r="D11" s="33">
        <f t="shared" si="0"/>
        <v>1.8960000000000001</v>
      </c>
      <c r="E11" s="34">
        <v>80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5">
      <c r="A12" s="30" t="s">
        <v>168</v>
      </c>
      <c r="B12" s="31" t="s">
        <v>14</v>
      </c>
      <c r="C12" s="32">
        <v>0.06</v>
      </c>
      <c r="D12" s="33">
        <f t="shared" si="0"/>
        <v>0.56879999999999997</v>
      </c>
      <c r="E12" s="34">
        <v>120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5">
      <c r="A19" s="78"/>
      <c r="B19" s="36" t="s">
        <v>175</v>
      </c>
      <c r="C19" s="37">
        <f>SUM(C9:C18)</f>
        <v>1</v>
      </c>
      <c r="D19" s="38">
        <f>SUM(D9:D18)</f>
        <v>9.48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3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5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5">
      <c r="A32" s="46" t="s">
        <v>165</v>
      </c>
      <c r="B32" s="47" t="str">
        <f>IF(B9="","",B9)</f>
        <v>Douglas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5">
      <c r="A34" s="4"/>
      <c r="B34" s="85" t="s">
        <v>185</v>
      </c>
      <c r="C34" s="258" t="s">
        <v>186</v>
      </c>
      <c r="D34" s="258"/>
      <c r="E34" s="259" t="s">
        <v>187</v>
      </c>
      <c r="F34" s="260"/>
      <c r="G34" s="260"/>
      <c r="H34" s="261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5" x14ac:dyDescent="0.2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5">
      <c r="A36" s="50">
        <v>10</v>
      </c>
      <c r="B36" s="60">
        <v>27</v>
      </c>
      <c r="C36" s="60"/>
      <c r="D36" s="60">
        <v>0</v>
      </c>
      <c r="E36" s="51"/>
      <c r="F36" s="51"/>
      <c r="G36" s="51"/>
      <c r="H36" s="51"/>
      <c r="I36" s="49">
        <f>IFERROR(B36/A36,"")</f>
        <v>2.7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5">
      <c r="A37" s="50">
        <v>20</v>
      </c>
      <c r="B37" s="60">
        <v>228</v>
      </c>
      <c r="C37" s="60">
        <v>1</v>
      </c>
      <c r="D37" s="60">
        <f>34+70</f>
        <v>104</v>
      </c>
      <c r="E37" s="51"/>
      <c r="F37" s="51">
        <v>0.5</v>
      </c>
      <c r="G37" s="51">
        <v>0.5</v>
      </c>
      <c r="H37" s="51"/>
      <c r="I37" s="53">
        <f t="shared" ref="I37:I55" si="1">IF(A37&lt;&gt;0,(B37-(B36-D36))/(A37-A36),"")</f>
        <v>20.100000000000001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5">
      <c r="A38" s="50">
        <v>30</v>
      </c>
      <c r="B38" s="60">
        <v>399</v>
      </c>
      <c r="C38" s="60">
        <v>2</v>
      </c>
      <c r="D38" s="60">
        <f>70+70</f>
        <v>140</v>
      </c>
      <c r="E38" s="51">
        <v>0.2</v>
      </c>
      <c r="F38" s="51">
        <v>0.4</v>
      </c>
      <c r="G38" s="51">
        <v>0.4</v>
      </c>
      <c r="H38" s="51"/>
      <c r="I38" s="53">
        <f t="shared" si="1"/>
        <v>27.5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5">
      <c r="A39" s="50">
        <v>40</v>
      </c>
      <c r="B39" s="60">
        <v>527</v>
      </c>
      <c r="C39" s="60">
        <v>3</v>
      </c>
      <c r="D39" s="60">
        <f>70+70</f>
        <v>140</v>
      </c>
      <c r="E39" s="51"/>
      <c r="F39" s="51"/>
      <c r="G39" s="51"/>
      <c r="H39" s="51"/>
      <c r="I39" s="49">
        <f t="shared" si="1"/>
        <v>26.8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5">
      <c r="A40" s="50">
        <v>50</v>
      </c>
      <c r="B40" s="60">
        <v>615</v>
      </c>
      <c r="C40" s="60">
        <v>4</v>
      </c>
      <c r="D40" s="60">
        <f>70+59</f>
        <v>129</v>
      </c>
      <c r="E40" s="51"/>
      <c r="F40" s="51"/>
      <c r="G40" s="51"/>
      <c r="H40" s="51"/>
      <c r="I40" s="49">
        <f t="shared" si="1"/>
        <v>22.8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5">
      <c r="A41" s="50">
        <v>60</v>
      </c>
      <c r="B41" s="60">
        <v>679</v>
      </c>
      <c r="C41" s="60">
        <v>5</v>
      </c>
      <c r="D41" s="60">
        <f>51+45</f>
        <v>96</v>
      </c>
      <c r="E41" s="51"/>
      <c r="F41" s="51"/>
      <c r="G41" s="51"/>
      <c r="H41" s="51"/>
      <c r="I41" s="53">
        <f t="shared" si="1"/>
        <v>19.3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5">
      <c r="A42" s="50">
        <v>70</v>
      </c>
      <c r="B42" s="60">
        <v>741</v>
      </c>
      <c r="C42" s="60">
        <v>6</v>
      </c>
      <c r="D42" s="60">
        <f>41+39</f>
        <v>80</v>
      </c>
      <c r="E42" s="51"/>
      <c r="F42" s="51"/>
      <c r="G42" s="51"/>
      <c r="H42" s="51"/>
      <c r="I42" s="53">
        <f t="shared" si="1"/>
        <v>15.8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5">
      <c r="A43" s="50">
        <v>80</v>
      </c>
      <c r="B43" s="60">
        <f>719+71</f>
        <v>790</v>
      </c>
      <c r="C43" s="60">
        <v>7</v>
      </c>
      <c r="D43" s="60">
        <f>B43</f>
        <v>790</v>
      </c>
      <c r="E43" s="51"/>
      <c r="F43" s="51"/>
      <c r="G43" s="51"/>
      <c r="H43" s="51"/>
      <c r="I43" s="49">
        <f t="shared" si="1"/>
        <v>12.9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5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5">
      <c r="A58" s="46" t="s">
        <v>166</v>
      </c>
      <c r="B58" s="52" t="str">
        <f>IF(B10="","",B10)</f>
        <v>Mélèze d'Europe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5">
      <c r="A60" s="4"/>
      <c r="B60" s="85" t="s">
        <v>185</v>
      </c>
      <c r="C60" s="258" t="s">
        <v>186</v>
      </c>
      <c r="D60" s="258"/>
      <c r="E60" s="259" t="s">
        <v>187</v>
      </c>
      <c r="F60" s="260"/>
      <c r="G60" s="260"/>
      <c r="H60" s="261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5" x14ac:dyDescent="0.2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5">
      <c r="A62" s="50">
        <v>20</v>
      </c>
      <c r="B62" s="60">
        <v>158</v>
      </c>
      <c r="C62" s="60">
        <v>1</v>
      </c>
      <c r="D62" s="60">
        <v>60</v>
      </c>
      <c r="E62" s="51"/>
      <c r="F62" s="51">
        <v>0.5</v>
      </c>
      <c r="G62" s="51">
        <v>0.5</v>
      </c>
      <c r="H62" s="51"/>
      <c r="I62" s="53">
        <f>IFERROR(B62/A62,"")</f>
        <v>7.9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5">
      <c r="A63" s="50">
        <v>30</v>
      </c>
      <c r="B63" s="60">
        <v>263</v>
      </c>
      <c r="C63" s="60">
        <v>2</v>
      </c>
      <c r="D63" s="60">
        <v>84</v>
      </c>
      <c r="E63" s="51">
        <v>0.2</v>
      </c>
      <c r="F63" s="51">
        <v>0.4</v>
      </c>
      <c r="G63" s="51">
        <v>0.4</v>
      </c>
      <c r="H63" s="51"/>
      <c r="I63" s="49">
        <f>IF(A63&lt;&gt;0,(B63-(B62-D62))/(A63-A62),"")</f>
        <v>16.5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5">
      <c r="A64" s="50">
        <v>40</v>
      </c>
      <c r="B64" s="60">
        <v>330</v>
      </c>
      <c r="C64" s="60">
        <v>3</v>
      </c>
      <c r="D64" s="60">
        <v>82</v>
      </c>
      <c r="E64" s="51"/>
      <c r="F64" s="51"/>
      <c r="G64" s="51"/>
      <c r="H64" s="51"/>
      <c r="I64" s="49">
        <f>IF(A64&lt;&gt;0,(B64-(B63-D63))/(A64-A63),"")</f>
        <v>15.1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5">
      <c r="A65" s="50">
        <v>50</v>
      </c>
      <c r="B65" s="60">
        <v>372</v>
      </c>
      <c r="C65" s="60">
        <v>4</v>
      </c>
      <c r="D65" s="60">
        <v>68</v>
      </c>
      <c r="E65" s="51"/>
      <c r="F65" s="51"/>
      <c r="G65" s="51"/>
      <c r="H65" s="51"/>
      <c r="I65" s="49">
        <f>IF(A65&lt;&gt;0,(B65-(B64-D64))/(A65-A64),"")</f>
        <v>12.4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5">
      <c r="A66" s="50">
        <v>60</v>
      </c>
      <c r="B66" s="60">
        <v>404</v>
      </c>
      <c r="C66" s="60">
        <v>5</v>
      </c>
      <c r="D66" s="60">
        <v>55</v>
      </c>
      <c r="E66" s="51"/>
      <c r="F66" s="51"/>
      <c r="G66" s="51"/>
      <c r="H66" s="51"/>
      <c r="I66" s="49">
        <f t="shared" ref="I66:I81" si="2">IF(A66&lt;&gt;0,(B66-(B65-D65))/(A66-A65),"")</f>
        <v>10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5">
      <c r="A67" s="50">
        <v>70</v>
      </c>
      <c r="B67" s="60">
        <v>427</v>
      </c>
      <c r="C67" s="60">
        <v>6</v>
      </c>
      <c r="D67" s="60">
        <v>45</v>
      </c>
      <c r="E67" s="51"/>
      <c r="F67" s="51"/>
      <c r="G67" s="51"/>
      <c r="H67" s="51"/>
      <c r="I67" s="49">
        <f t="shared" si="2"/>
        <v>7.8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5">
      <c r="A68" s="50">
        <v>80</v>
      </c>
      <c r="B68" s="60">
        <f>406+36</f>
        <v>442</v>
      </c>
      <c r="C68" s="60">
        <v>7</v>
      </c>
      <c r="D68" s="60">
        <f>B68</f>
        <v>442</v>
      </c>
      <c r="E68" s="51"/>
      <c r="F68" s="51"/>
      <c r="G68" s="51"/>
      <c r="H68" s="51"/>
      <c r="I68" s="49">
        <f t="shared" si="2"/>
        <v>6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5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5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5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5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5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5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5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5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5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5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5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5">
      <c r="A84" s="46" t="s">
        <v>167</v>
      </c>
      <c r="B84" s="52" t="str">
        <f>IF(B11="","",B11)</f>
        <v>Sapin méditerranéen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5">
      <c r="A86" s="4"/>
      <c r="B86" s="85" t="s">
        <v>185</v>
      </c>
      <c r="C86" s="258" t="s">
        <v>186</v>
      </c>
      <c r="D86" s="258"/>
      <c r="E86" s="259" t="s">
        <v>187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5" x14ac:dyDescent="0.2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5">
      <c r="A88" s="50">
        <v>20</v>
      </c>
      <c r="B88" s="60">
        <v>156</v>
      </c>
      <c r="C88" s="60">
        <v>2</v>
      </c>
      <c r="D88" s="60">
        <v>22</v>
      </c>
      <c r="E88" s="51"/>
      <c r="F88" s="51">
        <v>0.5</v>
      </c>
      <c r="G88" s="51">
        <v>0.5</v>
      </c>
      <c r="H88" s="87"/>
      <c r="I88" s="53">
        <f>IFERROR(B88/A88,"")</f>
        <v>7.8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5">
      <c r="A89" s="50">
        <v>30</v>
      </c>
      <c r="B89" s="60">
        <v>412</v>
      </c>
      <c r="C89" s="60">
        <v>3</v>
      </c>
      <c r="D89" s="60">
        <v>140</v>
      </c>
      <c r="E89" s="51">
        <v>0.2</v>
      </c>
      <c r="F89" s="51">
        <v>0.4</v>
      </c>
      <c r="G89" s="51">
        <v>0.4</v>
      </c>
      <c r="H89" s="87"/>
      <c r="I89" s="53">
        <f t="shared" ref="I89:I107" si="3">IF(A89&lt;&gt;0,(B89-(B88-D88))/(A89-A88),"")</f>
        <v>27.8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5">
      <c r="A90" s="50">
        <v>40</v>
      </c>
      <c r="B90" s="60">
        <v>550</v>
      </c>
      <c r="C90" s="60">
        <v>4</v>
      </c>
      <c r="D90" s="60">
        <v>140</v>
      </c>
      <c r="E90" s="87">
        <v>0.3</v>
      </c>
      <c r="F90" s="87">
        <v>0.35</v>
      </c>
      <c r="G90" s="87">
        <v>0.35</v>
      </c>
      <c r="H90" s="87"/>
      <c r="I90" s="53">
        <f t="shared" si="3"/>
        <v>27.8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5">
      <c r="A91" s="50">
        <v>50</v>
      </c>
      <c r="B91" s="60">
        <v>663</v>
      </c>
      <c r="C91" s="60">
        <v>5</v>
      </c>
      <c r="D91" s="60">
        <v>140</v>
      </c>
      <c r="E91" s="87"/>
      <c r="F91" s="87"/>
      <c r="G91" s="87"/>
      <c r="H91" s="87"/>
      <c r="I91" s="53">
        <f t="shared" si="3"/>
        <v>25.3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5">
      <c r="A92" s="50">
        <v>60</v>
      </c>
      <c r="B92" s="60">
        <v>752</v>
      </c>
      <c r="C92" s="60">
        <v>6</v>
      </c>
      <c r="D92" s="60">
        <v>128</v>
      </c>
      <c r="E92" s="87"/>
      <c r="F92" s="87"/>
      <c r="G92" s="87"/>
      <c r="H92" s="87"/>
      <c r="I92" s="53">
        <f t="shared" si="3"/>
        <v>22.9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5">
      <c r="A93" s="50">
        <v>70</v>
      </c>
      <c r="B93" s="60">
        <v>827</v>
      </c>
      <c r="C93" s="60">
        <v>7</v>
      </c>
      <c r="D93" s="60">
        <v>110</v>
      </c>
      <c r="E93" s="87"/>
      <c r="F93" s="87"/>
      <c r="G93" s="87"/>
      <c r="H93" s="87"/>
      <c r="I93" s="53">
        <f t="shared" si="3"/>
        <v>20.3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5">
      <c r="A94" s="50">
        <v>80</v>
      </c>
      <c r="B94" s="60">
        <v>892</v>
      </c>
      <c r="C94" s="60">
        <v>8</v>
      </c>
      <c r="D94" s="60">
        <f>B94</f>
        <v>892</v>
      </c>
      <c r="E94" s="87"/>
      <c r="F94" s="87"/>
      <c r="G94" s="87"/>
      <c r="H94" s="87"/>
      <c r="I94" s="53">
        <f t="shared" si="3"/>
        <v>17.5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5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5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5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5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5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5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5">
      <c r="A110" s="46" t="s">
        <v>168</v>
      </c>
      <c r="B110" s="52" t="str">
        <f>IF(B12="","",B12)</f>
        <v>Chêne sessile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5">
      <c r="A112" s="4"/>
      <c r="B112" s="85" t="s">
        <v>185</v>
      </c>
      <c r="C112" s="258" t="s">
        <v>186</v>
      </c>
      <c r="D112" s="258"/>
      <c r="E112" s="259" t="s">
        <v>187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5" x14ac:dyDescent="0.2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5">
      <c r="A114" s="50">
        <v>20</v>
      </c>
      <c r="B114" s="60">
        <f>67+6</f>
        <v>73</v>
      </c>
      <c r="C114" s="50">
        <v>1</v>
      </c>
      <c r="D114" s="60">
        <v>6</v>
      </c>
      <c r="E114" s="51"/>
      <c r="F114" s="51">
        <v>0.25</v>
      </c>
      <c r="G114" s="51">
        <v>0.25</v>
      </c>
      <c r="H114" s="51">
        <v>0.5</v>
      </c>
      <c r="I114" s="53">
        <f>IFERROR(B114/A114,"")</f>
        <v>3.65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5">
      <c r="A115" s="50">
        <v>30</v>
      </c>
      <c r="B115" s="60">
        <f>93+28+28</f>
        <v>149</v>
      </c>
      <c r="C115" s="50">
        <v>2</v>
      </c>
      <c r="D115" s="60">
        <f>28+28</f>
        <v>56</v>
      </c>
      <c r="E115" s="51">
        <v>0.1</v>
      </c>
      <c r="F115" s="51">
        <v>0.45</v>
      </c>
      <c r="G115" s="51">
        <v>0.45</v>
      </c>
      <c r="H115" s="51"/>
      <c r="I115" s="53">
        <f t="shared" ref="I115:I133" si="4">IF(A115&lt;&gt;0,(B115-(B114-D114))/(A115-A114),"")</f>
        <v>8.1999999999999993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5">
      <c r="A116" s="50">
        <v>40</v>
      </c>
      <c r="B116" s="60">
        <f>147+28+28</f>
        <v>203</v>
      </c>
      <c r="C116" s="50">
        <v>3</v>
      </c>
      <c r="D116" s="60">
        <f>28+28</f>
        <v>56</v>
      </c>
      <c r="E116" s="51"/>
      <c r="F116" s="51"/>
      <c r="G116" s="51"/>
      <c r="H116" s="51"/>
      <c r="I116" s="53">
        <f t="shared" si="4"/>
        <v>11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5">
      <c r="A117" s="50">
        <v>50</v>
      </c>
      <c r="B117" s="60">
        <f>203+28+28</f>
        <v>259</v>
      </c>
      <c r="C117" s="50">
        <v>4</v>
      </c>
      <c r="D117" s="60">
        <f>28+28</f>
        <v>56</v>
      </c>
      <c r="E117" s="51"/>
      <c r="F117" s="51"/>
      <c r="G117" s="51"/>
      <c r="H117" s="51"/>
      <c r="I117" s="53">
        <f t="shared" si="4"/>
        <v>11.2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5">
      <c r="A118" s="50">
        <v>60</v>
      </c>
      <c r="B118" s="60">
        <f>245+28+28</f>
        <v>301</v>
      </c>
      <c r="C118" s="50">
        <v>5</v>
      </c>
      <c r="D118" s="60">
        <f t="shared" ref="D118:D121" si="5">28+28</f>
        <v>56</v>
      </c>
      <c r="E118" s="51"/>
      <c r="F118" s="51"/>
      <c r="G118" s="51"/>
      <c r="H118" s="51"/>
      <c r="I118" s="53">
        <f t="shared" si="4"/>
        <v>9.8000000000000007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5">
      <c r="A119" s="50">
        <v>70</v>
      </c>
      <c r="B119" s="60">
        <f>274+28+28</f>
        <v>330</v>
      </c>
      <c r="C119" s="50">
        <v>6</v>
      </c>
      <c r="D119" s="60">
        <f t="shared" si="5"/>
        <v>56</v>
      </c>
      <c r="E119" s="51"/>
      <c r="F119" s="51"/>
      <c r="G119" s="51"/>
      <c r="H119" s="51"/>
      <c r="I119" s="53">
        <f t="shared" si="4"/>
        <v>8.5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5">
      <c r="A120" s="60">
        <v>80</v>
      </c>
      <c r="B120" s="60">
        <f>292+28+28</f>
        <v>348</v>
      </c>
      <c r="C120" s="60">
        <v>7</v>
      </c>
      <c r="D120" s="60">
        <f t="shared" si="5"/>
        <v>56</v>
      </c>
      <c r="E120" s="87"/>
      <c r="F120" s="87"/>
      <c r="G120" s="87"/>
      <c r="H120" s="87"/>
      <c r="I120" s="53">
        <f t="shared" si="4"/>
        <v>7.4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5">
      <c r="A121" s="60">
        <v>90</v>
      </c>
      <c r="B121" s="60">
        <f>302+28+28</f>
        <v>358</v>
      </c>
      <c r="C121" s="60">
        <v>8</v>
      </c>
      <c r="D121" s="60">
        <f t="shared" si="5"/>
        <v>56</v>
      </c>
      <c r="E121" s="87"/>
      <c r="F121" s="87"/>
      <c r="G121" s="87"/>
      <c r="H121" s="87"/>
      <c r="I121" s="53">
        <f t="shared" si="4"/>
        <v>6.6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5">
      <c r="A122" s="60">
        <v>100</v>
      </c>
      <c r="B122" s="60">
        <f>306+28+27</f>
        <v>361</v>
      </c>
      <c r="C122" s="60">
        <v>9</v>
      </c>
      <c r="D122" s="60">
        <f>28+27</f>
        <v>55</v>
      </c>
      <c r="E122" s="87"/>
      <c r="F122" s="87"/>
      <c r="G122" s="87"/>
      <c r="H122" s="87"/>
      <c r="I122" s="53">
        <f t="shared" si="4"/>
        <v>5.9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5">
      <c r="A123" s="60">
        <v>110</v>
      </c>
      <c r="B123" s="60">
        <f>307+26+25</f>
        <v>358</v>
      </c>
      <c r="C123" s="60">
        <v>10</v>
      </c>
      <c r="D123" s="60">
        <f>26+25</f>
        <v>51</v>
      </c>
      <c r="E123" s="87"/>
      <c r="F123" s="87"/>
      <c r="G123" s="87"/>
      <c r="H123" s="87"/>
      <c r="I123" s="53">
        <f t="shared" si="4"/>
        <v>5.2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5">
      <c r="A124" s="60">
        <v>120</v>
      </c>
      <c r="B124" s="60">
        <f>305+24+23</f>
        <v>352</v>
      </c>
      <c r="C124" s="60">
        <v>11</v>
      </c>
      <c r="D124" s="60">
        <f>B124</f>
        <v>352</v>
      </c>
      <c r="E124" s="87"/>
      <c r="F124" s="87"/>
      <c r="G124" s="87"/>
      <c r="H124" s="87"/>
      <c r="I124" s="53">
        <f t="shared" si="4"/>
        <v>4.5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5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5">
      <c r="A138" s="4"/>
      <c r="B138" s="85" t="s">
        <v>185</v>
      </c>
      <c r="C138" s="258" t="s">
        <v>186</v>
      </c>
      <c r="D138" s="258"/>
      <c r="E138" s="259" t="s">
        <v>187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5" x14ac:dyDescent="0.2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6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6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6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6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6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6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6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6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6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6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6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6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6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6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6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6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6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6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5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5">
      <c r="A164" s="4"/>
      <c r="B164" s="85" t="s">
        <v>185</v>
      </c>
      <c r="C164" s="258" t="s">
        <v>186</v>
      </c>
      <c r="D164" s="258"/>
      <c r="E164" s="259" t="s">
        <v>187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5" x14ac:dyDescent="0.2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7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7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7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7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7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7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7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7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7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7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7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7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7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7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7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7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7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7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7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5">
      <c r="A190" s="4"/>
      <c r="B190" s="85" t="s">
        <v>185</v>
      </c>
      <c r="C190" s="258" t="s">
        <v>186</v>
      </c>
      <c r="D190" s="258"/>
      <c r="E190" s="259" t="s">
        <v>187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5" x14ac:dyDescent="0.2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8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8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8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8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8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8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8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8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8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8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8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8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8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8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8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8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8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8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8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5">
      <c r="A216" s="4"/>
      <c r="B216" s="85" t="s">
        <v>185</v>
      </c>
      <c r="C216" s="258" t="s">
        <v>186</v>
      </c>
      <c r="D216" s="258"/>
      <c r="E216" s="259" t="s">
        <v>187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5" x14ac:dyDescent="0.2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9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9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9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9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9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9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9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9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9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9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9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9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9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9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9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9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9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9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9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5">
      <c r="A242" s="4"/>
      <c r="B242" s="85" t="s">
        <v>185</v>
      </c>
      <c r="C242" s="258" t="s">
        <v>186</v>
      </c>
      <c r="D242" s="258"/>
      <c r="E242" s="259" t="s">
        <v>187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5" x14ac:dyDescent="0.2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10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10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10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10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10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10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10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10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10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10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10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10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10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10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10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10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10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5">
      <c r="A268" s="4"/>
      <c r="B268" s="85" t="s">
        <v>185</v>
      </c>
      <c r="C268" s="258" t="s">
        <v>186</v>
      </c>
      <c r="D268" s="258"/>
      <c r="E268" s="259" t="s">
        <v>187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5" x14ac:dyDescent="0.2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1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1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1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1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1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1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1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1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1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1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1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1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1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1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1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1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1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1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F9" sqref="F9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4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5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5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5">
      <c r="C104" s="4"/>
      <c r="F104" s="4"/>
    </row>
    <row r="105" spans="3:35" x14ac:dyDescent="0.25">
      <c r="C105" s="4"/>
      <c r="F105" s="4"/>
    </row>
    <row r="106" spans="3:35" x14ac:dyDescent="0.25">
      <c r="C106" s="4"/>
      <c r="F106" s="4"/>
    </row>
    <row r="107" spans="3:35" x14ac:dyDescent="0.25">
      <c r="C107" s="4"/>
      <c r="F107" s="4"/>
    </row>
    <row r="108" spans="3:35" x14ac:dyDescent="0.25">
      <c r="C108" s="4"/>
      <c r="F108" s="4"/>
    </row>
    <row r="109" spans="3:35" x14ac:dyDescent="0.25">
      <c r="C109" s="4"/>
      <c r="F109" s="4"/>
    </row>
    <row r="110" spans="3:35" x14ac:dyDescent="0.25">
      <c r="C110" s="4"/>
      <c r="F110" s="4"/>
    </row>
    <row r="111" spans="3:35" x14ac:dyDescent="0.25">
      <c r="C111" s="4"/>
      <c r="F111" s="4"/>
    </row>
    <row r="112" spans="3:35" x14ac:dyDescent="0.25">
      <c r="C112" s="4"/>
      <c r="F112" s="4"/>
    </row>
    <row r="113" spans="3:6" x14ac:dyDescent="0.25">
      <c r="C113" s="4"/>
      <c r="F113" s="4"/>
    </row>
    <row r="114" spans="3:6" x14ac:dyDescent="0.25">
      <c r="C114" s="4"/>
      <c r="F114" s="4"/>
    </row>
    <row r="115" spans="3:6" x14ac:dyDescent="0.25">
      <c r="C115" s="4"/>
      <c r="F115" s="4"/>
    </row>
    <row r="116" spans="3:6" x14ac:dyDescent="0.25">
      <c r="C116" s="4"/>
      <c r="F116" s="4"/>
    </row>
    <row r="117" spans="3:6" x14ac:dyDescent="0.25">
      <c r="C117" s="4"/>
      <c r="F117" s="4"/>
    </row>
    <row r="118" spans="3:6" x14ac:dyDescent="0.25">
      <c r="C118" s="4"/>
      <c r="F118" s="4"/>
    </row>
    <row r="119" spans="3:6" x14ac:dyDescent="0.25">
      <c r="C119" s="4"/>
      <c r="F119" s="4"/>
    </row>
    <row r="120" spans="3:6" x14ac:dyDescent="0.25">
      <c r="C120" s="4"/>
      <c r="F120" s="4"/>
    </row>
    <row r="121" spans="3:6" x14ac:dyDescent="0.25">
      <c r="C121" s="4"/>
      <c r="F121" s="4"/>
    </row>
    <row r="122" spans="3:6" x14ac:dyDescent="0.25">
      <c r="C122" s="4"/>
      <c r="F122" s="4"/>
    </row>
    <row r="123" spans="3:6" x14ac:dyDescent="0.25">
      <c r="C123" s="4"/>
      <c r="F123" s="4"/>
    </row>
    <row r="124" spans="3:6" x14ac:dyDescent="0.25">
      <c r="C124" s="4"/>
      <c r="F124" s="4"/>
    </row>
    <row r="125" spans="3:6" x14ac:dyDescent="0.25">
      <c r="C125" s="4"/>
      <c r="F125" s="4"/>
    </row>
    <row r="126" spans="3:6" x14ac:dyDescent="0.25">
      <c r="C126" s="4"/>
      <c r="F126" s="4"/>
    </row>
    <row r="127" spans="3:6" x14ac:dyDescent="0.25">
      <c r="C127" s="4"/>
      <c r="F127" s="4"/>
    </row>
    <row r="128" spans="3:6" x14ac:dyDescent="0.25">
      <c r="C128" s="4"/>
      <c r="F128" s="4"/>
    </row>
    <row r="129" spans="3:6" x14ac:dyDescent="0.25">
      <c r="C129" s="4"/>
      <c r="F129" s="4"/>
    </row>
    <row r="130" spans="3:6" x14ac:dyDescent="0.25">
      <c r="C130" s="4"/>
      <c r="F130" s="4"/>
    </row>
    <row r="131" spans="3:6" x14ac:dyDescent="0.25">
      <c r="C131" s="4"/>
      <c r="F131" s="4"/>
    </row>
    <row r="132" spans="3:6" x14ac:dyDescent="0.25">
      <c r="F132" s="4"/>
    </row>
    <row r="133" spans="3:6" x14ac:dyDescent="0.25">
      <c r="F133" s="4"/>
    </row>
    <row r="134" spans="3:6" x14ac:dyDescent="0.25">
      <c r="F134" s="4"/>
    </row>
    <row r="135" spans="3:6" x14ac:dyDescent="0.25">
      <c r="F135" s="4"/>
    </row>
    <row r="136" spans="3:6" x14ac:dyDescent="0.25">
      <c r="F136" s="4"/>
    </row>
    <row r="137" spans="3:6" x14ac:dyDescent="0.25">
      <c r="F137" s="4"/>
    </row>
    <row r="138" spans="3:6" x14ac:dyDescent="0.25">
      <c r="F138" s="4"/>
    </row>
    <row r="139" spans="3:6" x14ac:dyDescent="0.25">
      <c r="F139" s="4"/>
    </row>
    <row r="140" spans="3:6" x14ac:dyDescent="0.25">
      <c r="F140" s="4"/>
    </row>
    <row r="141" spans="3:6" x14ac:dyDescent="0.25">
      <c r="F141" s="4"/>
    </row>
    <row r="142" spans="3:6" x14ac:dyDescent="0.25">
      <c r="F142" s="4"/>
    </row>
    <row r="143" spans="3:6" x14ac:dyDescent="0.25">
      <c r="F143" s="4"/>
    </row>
    <row r="144" spans="3:6" x14ac:dyDescent="0.25">
      <c r="F144" s="4"/>
    </row>
    <row r="145" spans="6:6" x14ac:dyDescent="0.25">
      <c r="F145" s="4"/>
    </row>
    <row r="146" spans="6:6" x14ac:dyDescent="0.25">
      <c r="F146" s="4"/>
    </row>
    <row r="147" spans="6:6" x14ac:dyDescent="0.25">
      <c r="F147" s="4"/>
    </row>
    <row r="148" spans="6:6" x14ac:dyDescent="0.25">
      <c r="F148" s="4"/>
    </row>
    <row r="149" spans="6:6" x14ac:dyDescent="0.25">
      <c r="F149" s="4"/>
    </row>
    <row r="150" spans="6:6" x14ac:dyDescent="0.25">
      <c r="F150" s="4"/>
    </row>
    <row r="151" spans="6:6" x14ac:dyDescent="0.25">
      <c r="F151" s="4"/>
    </row>
    <row r="152" spans="6:6" x14ac:dyDescent="0.25">
      <c r="F152" s="4"/>
    </row>
    <row r="153" spans="6:6" x14ac:dyDescent="0.25">
      <c r="F153" s="4"/>
    </row>
    <row r="154" spans="6:6" x14ac:dyDescent="0.25">
      <c r="F154" s="4"/>
    </row>
    <row r="155" spans="6:6" x14ac:dyDescent="0.25">
      <c r="F155" s="4"/>
    </row>
    <row r="156" spans="6:6" x14ac:dyDescent="0.25">
      <c r="F156" s="4"/>
    </row>
    <row r="157" spans="6:6" x14ac:dyDescent="0.25">
      <c r="F157" s="4"/>
    </row>
    <row r="158" spans="6:6" x14ac:dyDescent="0.25">
      <c r="F158" s="4"/>
    </row>
    <row r="159" spans="6:6" x14ac:dyDescent="0.25">
      <c r="F159" s="4"/>
    </row>
    <row r="160" spans="6:6" x14ac:dyDescent="0.25">
      <c r="F160" s="4"/>
    </row>
    <row r="161" spans="6:6" x14ac:dyDescent="0.25">
      <c r="F161" s="4"/>
    </row>
    <row r="162" spans="6:6" x14ac:dyDescent="0.25">
      <c r="F162" s="4"/>
    </row>
    <row r="163" spans="6:6" x14ac:dyDescent="0.2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4" bestFit="1" customWidth="1"/>
    <col min="2" max="4" width="11.42578125" style="4"/>
    <col min="5" max="5" width="9.5703125" style="4" customWidth="1"/>
    <col min="6" max="7" width="11.42578125" style="4"/>
    <col min="8" max="8" width="10.7109375" style="4" customWidth="1"/>
    <col min="9" max="9" width="9.42578125" style="4" customWidth="1"/>
    <col min="10" max="11" width="10.5703125" style="4" bestFit="1" customWidth="1"/>
    <col min="12" max="12" width="14" style="4" bestFit="1" customWidth="1"/>
    <col min="13" max="13" width="14" style="4" customWidth="1"/>
    <col min="14" max="23" width="11.42578125" style="4"/>
    <col min="24" max="24" width="11.7109375" style="4" bestFit="1" customWidth="1"/>
    <col min="25" max="25" width="14.5703125" style="4" bestFit="1" customWidth="1"/>
    <col min="26" max="26" width="12.42578125" style="4" bestFit="1" customWidth="1"/>
    <col min="27" max="27" width="9.7109375" style="4" bestFit="1" customWidth="1"/>
    <col min="28" max="28" width="11" style="4" bestFit="1" customWidth="1"/>
    <col min="29" max="29" width="9.42578125" style="4" bestFit="1" customWidth="1"/>
    <col min="30" max="31" width="9.42578125" style="4" customWidth="1"/>
    <col min="32" max="32" width="11.42578125" style="4"/>
    <col min="33" max="34" width="14" style="4" bestFit="1" customWidth="1"/>
    <col min="35" max="35" width="10.5703125" style="4" bestFit="1" customWidth="1"/>
    <col min="36" max="36" width="9.42578125" style="4" bestFit="1" customWidth="1"/>
    <col min="37" max="38" width="10.5703125" style="4" bestFit="1" customWidth="1"/>
    <col min="39" max="41" width="10.5703125" style="4" customWidth="1"/>
    <col min="42" max="42" width="9" style="4" bestFit="1" customWidth="1"/>
    <col min="43" max="43" width="10.5703125" style="4" bestFit="1" customWidth="1"/>
    <col min="44" max="44" width="9.28515625" style="4" bestFit="1" customWidth="1"/>
    <col min="45" max="45" width="11.7109375" style="4" bestFit="1" customWidth="1"/>
    <col min="46" max="46" width="8.42578125" style="4" bestFit="1" customWidth="1"/>
    <col min="47" max="47" width="9.42578125" style="4" bestFit="1" customWidth="1"/>
    <col min="48" max="48" width="9.7109375" style="4" bestFit="1" customWidth="1"/>
    <col min="49" max="49" width="11" style="4" bestFit="1" customWidth="1"/>
    <col min="50" max="50" width="9.42578125" style="4" bestFit="1" customWidth="1"/>
    <col min="51" max="52" width="9.42578125" style="4" customWidth="1"/>
    <col min="53" max="53" width="10.5703125" style="4" bestFit="1" customWidth="1"/>
    <col min="54" max="54" width="14.28515625" style="4" customWidth="1"/>
    <col min="55" max="55" width="14" style="4" customWidth="1"/>
    <col min="56" max="56" width="10.5703125" style="4" bestFit="1" customWidth="1"/>
    <col min="57" max="57" width="9.42578125" style="4" bestFit="1" customWidth="1"/>
    <col min="58" max="59" width="10.5703125" style="4" bestFit="1" customWidth="1"/>
    <col min="60" max="62" width="10.5703125" style="4" customWidth="1"/>
    <col min="63" max="63" width="9" style="4" bestFit="1" customWidth="1"/>
    <col min="64" max="64" width="10.5703125" style="4" bestFit="1" customWidth="1"/>
    <col min="65" max="65" width="9.28515625" style="4" bestFit="1" customWidth="1"/>
    <col min="66" max="66" width="11.7109375" style="4" bestFit="1" customWidth="1"/>
    <col min="67" max="67" width="8.42578125" style="4" bestFit="1" customWidth="1"/>
    <col min="68" max="68" width="9.42578125" style="4" bestFit="1" customWidth="1"/>
    <col min="69" max="69" width="9.7109375" style="4" bestFit="1" customWidth="1"/>
    <col min="70" max="70" width="11" style="4" bestFit="1" customWidth="1"/>
    <col min="71" max="71" width="9.42578125" style="4" bestFit="1" customWidth="1"/>
    <col min="72" max="73" width="9.42578125" style="4" customWidth="1"/>
    <col min="74" max="74" width="10.5703125" style="4" bestFit="1" customWidth="1"/>
    <col min="75" max="75" width="14" style="4" bestFit="1" customWidth="1"/>
    <col min="76" max="76" width="13.85546875" style="4" customWidth="1"/>
    <col min="77" max="77" width="10.5703125" style="4" bestFit="1" customWidth="1"/>
    <col min="78" max="78" width="9.42578125" style="4" bestFit="1" customWidth="1"/>
    <col min="79" max="80" width="10.5703125" style="4" bestFit="1" customWidth="1"/>
    <col min="81" max="83" width="10.5703125" style="4" customWidth="1"/>
    <col min="84" max="84" width="11.42578125" style="4"/>
    <col min="85" max="85" width="10.5703125" style="4" bestFit="1" customWidth="1"/>
    <col min="86" max="86" width="9.28515625" style="4" bestFit="1" customWidth="1"/>
    <col min="87" max="87" width="11.7109375" style="4" bestFit="1" customWidth="1"/>
    <col min="88" max="88" width="8.42578125" style="4" bestFit="1" customWidth="1"/>
    <col min="89" max="89" width="9.42578125" style="4" bestFit="1" customWidth="1"/>
    <col min="90" max="90" width="9.7109375" style="4" bestFit="1" customWidth="1"/>
    <col min="91" max="91" width="11" style="4" bestFit="1" customWidth="1"/>
    <col min="92" max="92" width="9.42578125" style="4" bestFit="1" customWidth="1"/>
    <col min="93" max="94" width="9.42578125" style="4" customWidth="1"/>
    <col min="95" max="95" width="11.42578125" style="4"/>
    <col min="96" max="97" width="14" style="4" customWidth="1"/>
    <col min="98" max="98" width="10.5703125" style="4" bestFit="1" customWidth="1"/>
    <col min="99" max="99" width="9.42578125" style="4" bestFit="1" customWidth="1"/>
    <col min="100" max="101" width="10.5703125" style="4" bestFit="1" customWidth="1"/>
    <col min="102" max="104" width="10.5703125" style="4" customWidth="1"/>
    <col min="105" max="105" width="9" style="4" bestFit="1" customWidth="1"/>
    <col min="106" max="106" width="10.5703125" style="4" bestFit="1" customWidth="1"/>
    <col min="107" max="107" width="9.28515625" style="4" bestFit="1" customWidth="1"/>
    <col min="108" max="108" width="11.7109375" style="4" bestFit="1" customWidth="1"/>
    <col min="109" max="109" width="8.42578125" style="4" bestFit="1" customWidth="1"/>
    <col min="110" max="110" width="9.42578125" style="4" bestFit="1" customWidth="1"/>
    <col min="111" max="111" width="9.7109375" style="4" bestFit="1" customWidth="1"/>
    <col min="112" max="112" width="11" style="4" bestFit="1" customWidth="1"/>
    <col min="113" max="113" width="9.42578125" style="4" bestFit="1" customWidth="1"/>
    <col min="114" max="115" width="9.42578125" style="4" customWidth="1"/>
    <col min="116" max="116" width="10.5703125" style="4" bestFit="1" customWidth="1"/>
    <col min="117" max="117" width="14.28515625" style="4" customWidth="1"/>
    <col min="118" max="118" width="14" style="4" bestFit="1" customWidth="1"/>
    <col min="119" max="119" width="10.5703125" style="4" bestFit="1" customWidth="1"/>
    <col min="120" max="120" width="9.42578125" style="4" bestFit="1" customWidth="1"/>
    <col min="121" max="122" width="10.5703125" style="4" bestFit="1" customWidth="1"/>
    <col min="123" max="125" width="10.5703125" style="4" customWidth="1"/>
    <col min="126" max="126" width="9" style="4" bestFit="1" customWidth="1"/>
    <col min="127" max="127" width="10.5703125" style="4" bestFit="1" customWidth="1"/>
    <col min="128" max="128" width="9.28515625" style="4" bestFit="1" customWidth="1"/>
    <col min="129" max="129" width="11.7109375" style="4" bestFit="1" customWidth="1"/>
    <col min="130" max="130" width="8.42578125" style="4" bestFit="1" customWidth="1"/>
    <col min="131" max="131" width="9.42578125" style="4" bestFit="1" customWidth="1"/>
    <col min="132" max="132" width="9.7109375" style="4" bestFit="1" customWidth="1"/>
    <col min="133" max="133" width="11" style="4" bestFit="1" customWidth="1"/>
    <col min="134" max="134" width="9.42578125" style="4" bestFit="1" customWidth="1"/>
    <col min="135" max="136" width="9.42578125" style="4" customWidth="1"/>
    <col min="137" max="137" width="10.5703125" style="4" bestFit="1" customWidth="1"/>
    <col min="138" max="139" width="14" style="4" customWidth="1"/>
    <col min="140" max="140" width="10.5703125" style="4" bestFit="1" customWidth="1"/>
    <col min="141" max="141" width="9.42578125" style="4" bestFit="1" customWidth="1"/>
    <col min="142" max="143" width="10.5703125" style="4" bestFit="1" customWidth="1"/>
    <col min="144" max="146" width="10.5703125" style="4" customWidth="1"/>
    <col min="147" max="147" width="9" style="4" bestFit="1" customWidth="1"/>
    <col min="148" max="148" width="10.5703125" style="4" bestFit="1" customWidth="1"/>
    <col min="149" max="149" width="9.28515625" style="4" bestFit="1" customWidth="1"/>
    <col min="150" max="150" width="11.7109375" style="4" bestFit="1" customWidth="1"/>
    <col min="151" max="151" width="8.42578125" style="4" bestFit="1" customWidth="1"/>
    <col min="152" max="152" width="9.42578125" style="4" bestFit="1" customWidth="1"/>
    <col min="153" max="153" width="9.7109375" style="4" bestFit="1" customWidth="1"/>
    <col min="154" max="154" width="11" style="4" bestFit="1" customWidth="1"/>
    <col min="155" max="155" width="9.42578125" style="4" bestFit="1" customWidth="1"/>
    <col min="156" max="157" width="9.42578125" style="4" customWidth="1"/>
    <col min="158" max="158" width="11.42578125" style="4"/>
    <col min="159" max="160" width="14" style="4" bestFit="1" customWidth="1"/>
    <col min="161" max="161" width="10.5703125" style="4" bestFit="1" customWidth="1"/>
    <col min="162" max="162" width="9.42578125" style="4" bestFit="1" customWidth="1"/>
    <col min="163" max="164" width="10.5703125" style="4" bestFit="1" customWidth="1"/>
    <col min="165" max="167" width="10.5703125" style="4" customWidth="1"/>
    <col min="168" max="168" width="9" style="4" bestFit="1" customWidth="1"/>
    <col min="169" max="169" width="10.5703125" style="4" bestFit="1" customWidth="1"/>
    <col min="170" max="170" width="9.28515625" style="4" bestFit="1" customWidth="1"/>
    <col min="171" max="171" width="11.7109375" style="4" bestFit="1" customWidth="1"/>
    <col min="172" max="172" width="8.140625" style="4" bestFit="1" customWidth="1"/>
    <col min="173" max="173" width="9.42578125" style="4" bestFit="1" customWidth="1"/>
    <col min="174" max="174" width="9.7109375" style="4" bestFit="1" customWidth="1"/>
    <col min="175" max="175" width="11" style="4" bestFit="1" customWidth="1"/>
    <col min="176" max="176" width="9.42578125" style="4" bestFit="1" customWidth="1"/>
    <col min="177" max="178" width="9.42578125" style="4" customWidth="1"/>
    <col min="179" max="179" width="10.5703125" style="4" bestFit="1" customWidth="1"/>
    <col min="180" max="181" width="14" style="4" bestFit="1" customWidth="1"/>
    <col min="182" max="182" width="10.5703125" style="4" bestFit="1" customWidth="1"/>
    <col min="183" max="183" width="9.42578125" style="4" bestFit="1" customWidth="1"/>
    <col min="184" max="185" width="10.5703125" style="4" bestFit="1" customWidth="1"/>
    <col min="186" max="188" width="10.5703125" style="4" customWidth="1"/>
    <col min="189" max="189" width="9" style="4" bestFit="1" customWidth="1"/>
    <col min="190" max="190" width="10.5703125" style="4" bestFit="1" customWidth="1"/>
    <col min="191" max="191" width="9.28515625" style="4" bestFit="1" customWidth="1"/>
    <col min="192" max="192" width="11.42578125" style="4"/>
    <col min="193" max="193" width="8.42578125" style="4" bestFit="1" customWidth="1"/>
    <col min="194" max="194" width="9.42578125" style="4" bestFit="1" customWidth="1"/>
    <col min="195" max="195" width="9.7109375" style="4" bestFit="1" customWidth="1"/>
    <col min="196" max="196" width="11" style="4" bestFit="1" customWidth="1"/>
    <col min="197" max="197" width="9.42578125" style="4" bestFit="1" customWidth="1"/>
    <col min="198" max="199" width="9.42578125" style="4" customWidth="1"/>
    <col min="200" max="200" width="10.5703125" style="4" bestFit="1" customWidth="1"/>
    <col min="201" max="201" width="14" style="4" customWidth="1"/>
    <col min="202" max="202" width="14.28515625" style="4" customWidth="1"/>
    <col min="203" max="203" width="10.5703125" style="4" bestFit="1" customWidth="1"/>
    <col min="204" max="204" width="9.42578125" style="4" bestFit="1" customWidth="1"/>
    <col min="205" max="206" width="10.5703125" style="4" bestFit="1" customWidth="1"/>
    <col min="207" max="209" width="10.5703125" style="4" customWidth="1"/>
    <col min="210" max="210" width="9" style="4" bestFit="1" customWidth="1"/>
    <col min="211" max="211" width="10.5703125" style="4" bestFit="1" customWidth="1"/>
    <col min="212" max="212" width="9.28515625" style="4" bestFit="1" customWidth="1"/>
    <col min="213" max="213" width="11.7109375" style="4" bestFit="1" customWidth="1"/>
    <col min="214" max="214" width="8.42578125" style="4" bestFit="1" customWidth="1"/>
    <col min="215" max="215" width="9.42578125" style="4" bestFit="1" customWidth="1"/>
    <col min="216" max="216" width="9.7109375" style="4" bestFit="1" customWidth="1"/>
    <col min="217" max="217" width="11" style="4" bestFit="1" customWidth="1"/>
    <col min="218" max="218" width="9.42578125" style="4" bestFit="1" customWidth="1"/>
    <col min="219" max="16384" width="11.42578125" style="4"/>
  </cols>
  <sheetData>
    <row r="1" spans="1:218" ht="27" thickBot="1" x14ac:dyDescent="0.4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Douglas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Mélèze d'Europe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Sapin méditerranéen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Chêne sessile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75.75" thickBot="1" x14ac:dyDescent="0.3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446.28010102877403</v>
      </c>
      <c r="T3" s="59">
        <f>IF('Données projet'!E9&gt;30,$R$33-$H$33,LOOKUP('Données projet'!$E$9,$A$3:$A$203,R3:R203)-LOOKUP('Données projet'!$E$9,$A$3:$A$203,$H$3:$H$203))</f>
        <v>445.84011537290456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285.77483300338548</v>
      </c>
      <c r="AO3" s="59">
        <f>IF('Données projet'!E10&gt;30,$AM$33-$H$33,LOOKUP('Données projet'!$E$10,$A$3:$A$203,AM3:AM203)-LOOKUP('Données projet'!$E$10,$A$3:$A$203,$H$3:$H$203))</f>
        <v>320.55212417690637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402.22278907877927</v>
      </c>
      <c r="BJ3" s="59">
        <f>IF('Données projet'!E11&gt;30,$BH$33-$H$33,LOOKUP('Données projet'!$E$11,$A$3:$A$203,BH3:BH203)-LOOKUP('Données projet'!$E$11,$A$3:$A$203,$H$3:$H$203))</f>
        <v>393.06397734082458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293.33333333333331</v>
      </c>
      <c r="CD3" s="59">
        <f ca="1">AVERAGE(OFFSET($CC$3,0,0,'Données projet'!$E$12+1,1))-AVERAGE(OFFSET($H$3,0,0,'Données projet'!$E$12+1,1))</f>
        <v>363.51171608224735</v>
      </c>
      <c r="CE3" s="59">
        <f>IF('Données projet'!E12&gt;30,$CC$33-$H$33,LOOKUP('Données projet'!$E$12,$A$3:$A$203,CC3:CC203)-LOOKUP('Données projet'!$E$12,$A$3:$A$203,$H$3:$H$203))</f>
        <v>257.9239334647138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1">
        <f>IFERROR(EXP(-1.0587+0.8836*LN(C4)+0.284),0)</f>
        <v>0.26998241883213048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67">
        <f t="shared" ref="H4:H67" si="1">(B4+E4+F4)*44/12+(C4+D4)*0.475*44/12</f>
        <v>294.75450271279925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2.7</v>
      </c>
      <c r="N4" s="13">
        <f>IF('Données projet'!$A$36&gt;35,N3+M4-V3,IF(A4&lt;'Données projet'!$A$36,$K$205^A4,IF(A4='Données projet'!$A$36,'Données projet'!$B$36,N3+M4-V3)))</f>
        <v>1.3903891703159093</v>
      </c>
      <c r="O4" s="13">
        <f>N4*VLOOKUP('Données projet'!$B$9,Paramètres!$A$1:$I$89,3,0)*VLOOKUP('Données projet'!$B$9,Paramètres!$A$1:$I$89,5,0)</f>
        <v>0.77722754620659329</v>
      </c>
      <c r="P4" s="13">
        <f>EXP(-1.0587+0.8836*LN(O4)+0.284)</f>
        <v>0.36884206136494596</v>
      </c>
      <c r="Q4" s="20">
        <f t="shared" ref="Q4:Q34" si="2">(O4+P4)*0.475*44/12</f>
        <v>1.9960712331870976</v>
      </c>
      <c r="R4" s="59">
        <f t="shared" si="0"/>
        <v>295.3294045665204</v>
      </c>
      <c r="S4" s="59">
        <f ca="1">AVERAGE(OFFSET($R$3,0,0,'Données projet'!$E$9+1,1))-AVERAGE(OFFSET($H$3,0,0,'Données projet'!$E$9+1,1))</f>
        <v>446.28010102877403</v>
      </c>
      <c r="T4" s="59">
        <f>$T$3</f>
        <v>445.84011537290456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7.9</v>
      </c>
      <c r="AI4" s="13">
        <f>IF('Données projet'!$A$62&gt;35,AI3+AH4-AQ3,IF(A4&lt;'Données projet'!$A$62,$AF$205^A4,IF(A4='Données projet'!$A$62,'Données projet'!$B$62,AI3+AH4-AQ3)))</f>
        <v>1.2880503926580862</v>
      </c>
      <c r="AJ4" s="13">
        <f>AI4*VLOOKUP('Données projet'!$B$10,Paramètres!$A$1:$I$89,3,0)*VLOOKUP('Données projet'!$B$10,Paramètres!$A$1:$I$89,5,0)</f>
        <v>0.80374344501864581</v>
      </c>
      <c r="AK4" s="13">
        <f>EXP(-1.0587+0.8836*LN(AJ4)+0.284)</f>
        <v>0.37993896770707264</v>
      </c>
      <c r="AL4" s="20">
        <f t="shared" ref="AL4:AL67" si="4">(AJ4+AK4)*0.475*44/12</f>
        <v>2.0615802021639595</v>
      </c>
      <c r="AM4" s="59">
        <f t="shared" ref="AM4:AM67" si="5">AL4+(AD4+AE4)*44/12</f>
        <v>295.39491353549727</v>
      </c>
      <c r="AN4" s="59">
        <f ca="1">AVERAGE(OFFSET($AM$3,0,0,'Données projet'!$E$10+1,1))-AVERAGE(OFFSET($H$3,0,0,'Données projet'!$E$10+1,1))</f>
        <v>285.77483300338548</v>
      </c>
      <c r="AO4" s="59">
        <f>$AO$3</f>
        <v>320.55212417690637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7.8</v>
      </c>
      <c r="BD4" s="12">
        <f>IF('Données projet'!$A$88&gt;35,BD3+BC4-BL3,IF(A4&lt;'Données projet'!$A$88,$BA$205^A4,IF(A4='Données projet'!$A$88,'Données projet'!$B$88,BD3+BC4-BL3)))</f>
        <v>1.2872302285303792</v>
      </c>
      <c r="BE4" s="13">
        <f>BD4*VLOOKUP('Données projet'!$B$11,Paramètres!$A$1:$I$89,3,0)*VLOOKUP('Données projet'!$B$11,Paramètres!$A$1:$I$89,5,0)</f>
        <v>0.6191577399231124</v>
      </c>
      <c r="BF4" s="13">
        <f>EXP(-1.0587+0.8836*LN(BE4)+0.284)</f>
        <v>0.30170860659020604</v>
      </c>
      <c r="BG4" s="20">
        <f t="shared" ref="BG4:BG67" si="7">(BE4+BF4)*0.475*44/12</f>
        <v>1.603842220177363</v>
      </c>
      <c r="BH4" s="59">
        <f t="shared" ref="BH4:BH67" si="8">BG4+(AY4+AZ4)*44/12</f>
        <v>294.93717555351066</v>
      </c>
      <c r="BI4" s="59">
        <f ca="1">AVERAGE(OFFSET($BH$3,0,0,'Données projet'!$E$11+1,1))-AVERAGE(OFFSET($H$3,0,0,'Données projet'!$E$11+1,1))</f>
        <v>402.22278907877927</v>
      </c>
      <c r="BJ4" s="59">
        <f>$BJ$3</f>
        <v>393.06397734082458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3.65</v>
      </c>
      <c r="BY4" s="12">
        <f>IF('Données projet'!$A$114&gt;35,BY3+BX4-CG3,IF(A4&lt;'Données projet'!$A$114,$BV$205^A4,IF(A4='Données projet'!$A$114,'Données projet'!$B$114,BY3+BX4-CG3)))</f>
        <v>1.2392705892426346</v>
      </c>
      <c r="BZ4" s="13">
        <f>BY4*VLOOKUP('Données projet'!$B$12,Paramètres!$A$1:$I$89,3,0)*VLOOKUP('Données projet'!$B$12,Paramètres!$A$1:$I$89,5,0)</f>
        <v>1.1212920291467359</v>
      </c>
      <c r="CA4" s="13">
        <f>EXP(-1.0587+0.8836*LN(BZ4)+0.284)</f>
        <v>0.50989827066551541</v>
      </c>
      <c r="CB4" s="20">
        <f t="shared" ref="CB4:CB67" si="10">(BZ4+CA4)*0.475*44/12</f>
        <v>2.8409897721730037</v>
      </c>
      <c r="CC4" s="59">
        <f t="shared" ref="CC4:CC67" si="11">CB4+(BT4+BU4)*44/12</f>
        <v>296.17432310550635</v>
      </c>
      <c r="CD4" s="59">
        <f ca="1">AVERAGE(OFFSET($CC$3,0,0,'Données projet'!$E$12+1,1))-AVERAGE(OFFSET($H$3,0,0,'Données projet'!$E$12+1,1))</f>
        <v>363.51171608224735</v>
      </c>
      <c r="CE4" s="59">
        <f>$CE$3</f>
        <v>257.9239334647138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1">
        <f t="shared" ref="D5:D68" si="32">IFERROR(EXP(-1.0587+0.8836*LN(C5)+0.284),0)</f>
        <v>0.49811037558348636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67">
        <f t="shared" si="1"/>
        <v>296.10277557080786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2.7</v>
      </c>
      <c r="N5" s="13">
        <f>IF('Données projet'!$A$36&gt;35,N4+M5-V4,IF(A5&lt;'Données projet'!$A$36,$K$205^A5,IF(A5='Données projet'!$A$36,'Données projet'!$B$36,N4+M5-V4)))</f>
        <v>1.9331820449317625</v>
      </c>
      <c r="O5" s="13">
        <f>N5*VLOOKUP('Données projet'!$B$9,Paramètres!$A$1:$I$89,3,0)*VLOOKUP('Données projet'!$B$9,Paramètres!$A$1:$I$89,5,0)</f>
        <v>1.0806487631168553</v>
      </c>
      <c r="P5" s="13">
        <f t="shared" ref="P5:P68" si="33">EXP(-1.0587+0.8836*LN(O5)+0.284)</f>
        <v>0.49353248375234221</v>
      </c>
      <c r="Q5" s="20">
        <f t="shared" si="2"/>
        <v>2.7416990049638525</v>
      </c>
      <c r="R5" s="59">
        <f t="shared" si="0"/>
        <v>296.07503233829715</v>
      </c>
      <c r="S5" s="59">
        <f ca="1">AVERAGE(OFFSET($R$3,0,0,'Données projet'!$E$9+1,1))-AVERAGE(OFFSET($H$3,0,0,'Données projet'!$E$9+1,1))</f>
        <v>446.28010102877403</v>
      </c>
      <c r="T5" s="59">
        <f t="shared" ref="T5:T68" si="34">$T$3</f>
        <v>445.84011537290456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7.9</v>
      </c>
      <c r="AI5" s="13">
        <f>IF('Données projet'!$A$62&gt;35,AI4+AH5-AQ4,IF(A5&lt;'Données projet'!$A$62,$AF$205^A5,IF(A5='Données projet'!$A$62,'Données projet'!$B$62,AI4+AH5-AQ4)))</f>
        <v>1.6590738140266501</v>
      </c>
      <c r="AJ5" s="13">
        <f>AI5*VLOOKUP('Données projet'!$B$10,Paramètres!$A$1:$I$89,3,0)*VLOOKUP('Données projet'!$B$10,Paramètres!$A$1:$I$89,5,0)</f>
        <v>1.0352620599526297</v>
      </c>
      <c r="AK5" s="13">
        <f t="shared" ref="AK5:AK68" si="35">EXP(-1.0587+0.8836*LN(AJ5)+0.284)</f>
        <v>0.4751716356997846</v>
      </c>
      <c r="AL5" s="20">
        <f t="shared" si="4"/>
        <v>2.6306720199279545</v>
      </c>
      <c r="AM5" s="59">
        <f t="shared" si="5"/>
        <v>295.96400535326126</v>
      </c>
      <c r="AN5" s="59">
        <f ca="1">AVERAGE(OFFSET($AM$3,0,0,'Données projet'!$E$10+1,1))-AVERAGE(OFFSET($H$3,0,0,'Données projet'!$E$10+1,1))</f>
        <v>285.77483300338548</v>
      </c>
      <c r="AO5" s="59">
        <f t="shared" ref="AO5:AO68" si="36">$AO$3</f>
        <v>320.55212417690637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7.8</v>
      </c>
      <c r="BD5" s="12">
        <f>IF('Données projet'!$A$88&gt;35,BD4+BC5-BL4,IF(A5&lt;'Données projet'!$A$88,$BA$205^A5,IF(A5='Données projet'!$A$88,'Données projet'!$B$88,BD4+BC5-BL4)))</f>
        <v>1.6569616612423721</v>
      </c>
      <c r="BE5" s="13">
        <f>BD5*VLOOKUP('Données projet'!$B$11,Paramètres!$A$1:$I$89,3,0)*VLOOKUP('Données projet'!$B$11,Paramètres!$A$1:$I$89,5,0)</f>
        <v>0.79699855905758099</v>
      </c>
      <c r="BF5" s="13">
        <f t="shared" ref="BF5:BF68" si="37">EXP(-1.0587+0.8836*LN(BE5)+0.284)</f>
        <v>0.37712032883057583</v>
      </c>
      <c r="BG5" s="20">
        <f t="shared" si="7"/>
        <v>2.0449237297385401</v>
      </c>
      <c r="BH5" s="59">
        <f t="shared" si="8"/>
        <v>295.37825706307183</v>
      </c>
      <c r="BI5" s="59">
        <f ca="1">AVERAGE(OFFSET($BH$3,0,0,'Données projet'!$E$11+1,1))-AVERAGE(OFFSET($H$3,0,0,'Données projet'!$E$11+1,1))</f>
        <v>402.22278907877927</v>
      </c>
      <c r="BJ5" s="59">
        <f t="shared" ref="BJ5:BJ68" si="38">$BJ$3</f>
        <v>393.06397734082458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3.65</v>
      </c>
      <c r="BY5" s="12">
        <f>IF('Données projet'!$A$114&gt;35,BY4+BX5-CG4,IF(A5&lt;'Données projet'!$A$114,$BV$205^A5,IF(A5='Données projet'!$A$114,'Données projet'!$B$114,BY4+BX5-CG4)))</f>
        <v>1.5357915933617867</v>
      </c>
      <c r="BZ5" s="13">
        <f>BY5*VLOOKUP('Données projet'!$B$12,Paramètres!$A$1:$I$89,3,0)*VLOOKUP('Données projet'!$B$12,Paramètres!$A$1:$I$89,5,0)</f>
        <v>1.3895842336737447</v>
      </c>
      <c r="CA5" s="13">
        <f t="shared" ref="CA5:CA68" si="39">EXP(-1.0587+0.8836*LN(BZ5)+0.284)</f>
        <v>0.61631841327304715</v>
      </c>
      <c r="CB5" s="20">
        <f t="shared" si="10"/>
        <v>3.4936137767656628</v>
      </c>
      <c r="CC5" s="59">
        <f t="shared" si="11"/>
        <v>296.82694711009896</v>
      </c>
      <c r="CD5" s="59">
        <f ca="1">AVERAGE(OFFSET($CC$3,0,0,'Données projet'!$E$12+1,1))-AVERAGE(OFFSET($H$3,0,0,'Données projet'!$E$12+1,1))</f>
        <v>363.51171608224735</v>
      </c>
      <c r="CE5" s="59">
        <f t="shared" ref="CE5:CE68" si="40">$CE$3</f>
        <v>257.9239334647138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1">
        <f t="shared" si="32"/>
        <v>0.71272144204532062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67">
        <f t="shared" si="1"/>
        <v>297.42750651156223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2.7</v>
      </c>
      <c r="N6" s="13">
        <f>IF('Données projet'!$A$36&gt;35,N5+M6-V5,IF(A6&lt;'Données projet'!$A$36,$K$205^A6,IF(A6='Données projet'!$A$36,'Données projet'!$B$36,N5+M6-V5)))</f>
        <v>2.6878753795222861</v>
      </c>
      <c r="O6" s="13">
        <f>N6*VLOOKUP('Données projet'!$B$9,Paramètres!$A$1:$I$89,3,0)*VLOOKUP('Données projet'!$B$9,Paramètres!$A$1:$I$89,5,0)</f>
        <v>1.5025223371529579</v>
      </c>
      <c r="P6" s="13">
        <f t="shared" si="33"/>
        <v>0.66037564050417386</v>
      </c>
      <c r="Q6" s="20">
        <f t="shared" si="2"/>
        <v>3.7670473110861704</v>
      </c>
      <c r="R6" s="59">
        <f t="shared" si="0"/>
        <v>297.10038064441949</v>
      </c>
      <c r="S6" s="59">
        <f ca="1">AVERAGE(OFFSET($R$3,0,0,'Données projet'!$E$9+1,1))-AVERAGE(OFFSET($H$3,0,0,'Données projet'!$E$9+1,1))</f>
        <v>446.28010102877403</v>
      </c>
      <c r="T6" s="59">
        <f t="shared" si="34"/>
        <v>445.84011537290456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7.9</v>
      </c>
      <c r="AI6" s="13">
        <f>IF('Données projet'!$A$62&gt;35,AI5+AH6-AQ5,IF(A6&lt;'Données projet'!$A$62,$AF$205^A6,IF(A6='Données projet'!$A$62,'Données projet'!$B$62,AI5+AH6-AQ5)))</f>
        <v>2.1369706776057753</v>
      </c>
      <c r="AJ6" s="13">
        <f>AI6*VLOOKUP('Données projet'!$B$10,Paramètres!$A$1:$I$89,3,0)*VLOOKUP('Données projet'!$B$10,Paramètres!$A$1:$I$89,5,0)</f>
        <v>1.3334697028260039</v>
      </c>
      <c r="AK6" s="13">
        <f t="shared" si="35"/>
        <v>0.59427461398928705</v>
      </c>
      <c r="AL6" s="20">
        <f t="shared" si="4"/>
        <v>3.357488018453298</v>
      </c>
      <c r="AM6" s="59">
        <f t="shared" si="5"/>
        <v>296.69082135178661</v>
      </c>
      <c r="AN6" s="59">
        <f ca="1">AVERAGE(OFFSET($AM$3,0,0,'Données projet'!$E$10+1,1))-AVERAGE(OFFSET($H$3,0,0,'Données projet'!$E$10+1,1))</f>
        <v>285.77483300338548</v>
      </c>
      <c r="AO6" s="59">
        <f t="shared" si="36"/>
        <v>320.55212417690637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7.8</v>
      </c>
      <c r="BD6" s="12">
        <f>IF('Données projet'!$A$88&gt;35,BD5+BC6-BL5,IF(A6&lt;'Données projet'!$A$88,$BA$205^A6,IF(A6='Données projet'!$A$88,'Données projet'!$B$88,BD5+BC6-BL5)))</f>
        <v>2.1328911378670954</v>
      </c>
      <c r="BE6" s="13">
        <f>BD6*VLOOKUP('Données projet'!$B$11,Paramètres!$A$1:$I$89,3,0)*VLOOKUP('Données projet'!$B$11,Paramètres!$A$1:$I$89,5,0)</f>
        <v>1.0259206373140728</v>
      </c>
      <c r="BF6" s="13">
        <f t="shared" si="37"/>
        <v>0.47138112506830399</v>
      </c>
      <c r="BG6" s="20">
        <f t="shared" si="7"/>
        <v>2.6078005694826394</v>
      </c>
      <c r="BH6" s="59">
        <f t="shared" si="8"/>
        <v>295.94113390281598</v>
      </c>
      <c r="BI6" s="59">
        <f ca="1">AVERAGE(OFFSET($BH$3,0,0,'Données projet'!$E$11+1,1))-AVERAGE(OFFSET($H$3,0,0,'Données projet'!$E$11+1,1))</f>
        <v>402.22278907877927</v>
      </c>
      <c r="BJ6" s="59">
        <f t="shared" si="38"/>
        <v>393.06397734082458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3.65</v>
      </c>
      <c r="BY6" s="12">
        <f>IF('Données projet'!$A$114&gt;35,BY5+BX6-CG5,IF(A6&lt;'Données projet'!$A$114,$BV$205^A6,IF(A6='Données projet'!$A$114,'Données projet'!$B$114,BY5+BX6-CG5)))</f>
        <v>1.9032613528593461</v>
      </c>
      <c r="BZ6" s="13">
        <f>BY6*VLOOKUP('Données projet'!$B$12,Paramètres!$A$1:$I$89,3,0)*VLOOKUP('Données projet'!$B$12,Paramètres!$A$1:$I$89,5,0)</f>
        <v>1.7220708720671365</v>
      </c>
      <c r="CA6" s="13">
        <f t="shared" si="39"/>
        <v>0.74494935243383209</v>
      </c>
      <c r="CB6" s="20">
        <f t="shared" si="10"/>
        <v>4.2967268910058536</v>
      </c>
      <c r="CC6" s="59">
        <f t="shared" si="11"/>
        <v>297.63006022433916</v>
      </c>
      <c r="CD6" s="59">
        <f ca="1">AVERAGE(OFFSET($CC$3,0,0,'Données projet'!$E$12+1,1))-AVERAGE(OFFSET($H$3,0,0,'Données projet'!$E$12+1,1))</f>
        <v>363.51171608224735</v>
      </c>
      <c r="CE6" s="59">
        <f t="shared" si="40"/>
        <v>257.9239334647138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1">
        <f t="shared" si="32"/>
        <v>0.91900038282935004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67">
        <f t="shared" si="1"/>
        <v>298.73772566676109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2.7</v>
      </c>
      <c r="N7" s="13">
        <f>IF('Données projet'!$A$36&gt;35,N6+M7-V6,IF(A7&lt;'Données projet'!$A$36,$K$205^A7,IF(A7='Données projet'!$A$36,'Données projet'!$B$36,N6+M7-V6)))</f>
        <v>3.7371928188465509</v>
      </c>
      <c r="O7" s="13">
        <f>N7*VLOOKUP('Données projet'!$B$9,Paramètres!$A$1:$I$89,3,0)*VLOOKUP('Données projet'!$B$9,Paramètres!$A$1:$I$89,5,0)</f>
        <v>2.0890907857352219</v>
      </c>
      <c r="P7" s="13">
        <f t="shared" si="33"/>
        <v>0.88362164787137598</v>
      </c>
      <c r="Q7" s="20">
        <f t="shared" si="2"/>
        <v>5.1774741551981576</v>
      </c>
      <c r="R7" s="59">
        <f t="shared" si="0"/>
        <v>298.5108074885315</v>
      </c>
      <c r="S7" s="59">
        <f ca="1">AVERAGE(OFFSET($R$3,0,0,'Données projet'!$E$9+1,1))-AVERAGE(OFFSET($H$3,0,0,'Données projet'!$E$9+1,1))</f>
        <v>446.28010102877403</v>
      </c>
      <c r="T7" s="59">
        <f t="shared" si="34"/>
        <v>445.84011537290456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7.9</v>
      </c>
      <c r="AI7" s="13">
        <f>IF('Données projet'!$A$62&gt;35,AI6+AH7-AQ6,IF(A7&lt;'Données projet'!$A$62,$AF$205^A7,IF(A7='Données projet'!$A$62,'Données projet'!$B$62,AI6+AH7-AQ6)))</f>
        <v>2.7525259203889356</v>
      </c>
      <c r="AJ7" s="13">
        <f>AI7*VLOOKUP('Données projet'!$B$10,Paramètres!$A$1:$I$89,3,0)*VLOOKUP('Données projet'!$B$10,Paramètres!$A$1:$I$89,5,0)</f>
        <v>1.7175761743226958</v>
      </c>
      <c r="AK7" s="13">
        <f t="shared" si="35"/>
        <v>0.74323105652553223</v>
      </c>
      <c r="AL7" s="20">
        <f t="shared" si="4"/>
        <v>4.2859059270606634</v>
      </c>
      <c r="AM7" s="59">
        <f t="shared" si="5"/>
        <v>297.61923926039395</v>
      </c>
      <c r="AN7" s="59">
        <f ca="1">AVERAGE(OFFSET($AM$3,0,0,'Données projet'!$E$10+1,1))-AVERAGE(OFFSET($H$3,0,0,'Données projet'!$E$10+1,1))</f>
        <v>285.77483300338548</v>
      </c>
      <c r="AO7" s="59">
        <f t="shared" si="36"/>
        <v>320.55212417690637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7.8</v>
      </c>
      <c r="BD7" s="12">
        <f>IF('Données projet'!$A$88&gt;35,BD6+BC7-BL6,IF(A7&lt;'Données projet'!$A$88,$BA$205^A7,IF(A7='Données projet'!$A$88,'Données projet'!$B$88,BD6+BC7-BL6)))</f>
        <v>2.7455219468270813</v>
      </c>
      <c r="BE7" s="13">
        <f>BD7*VLOOKUP('Données projet'!$B$11,Paramètres!$A$1:$I$89,3,0)*VLOOKUP('Données projet'!$B$11,Paramètres!$A$1:$I$89,5,0)</f>
        <v>1.3205960564238262</v>
      </c>
      <c r="BF7" s="13">
        <f t="shared" si="37"/>
        <v>0.58920229985927153</v>
      </c>
      <c r="BG7" s="20">
        <f t="shared" si="7"/>
        <v>3.3262321371930614</v>
      </c>
      <c r="BH7" s="59">
        <f t="shared" si="8"/>
        <v>296.65956547052639</v>
      </c>
      <c r="BI7" s="59">
        <f ca="1">AVERAGE(OFFSET($BH$3,0,0,'Données projet'!$E$11+1,1))-AVERAGE(OFFSET($H$3,0,0,'Données projet'!$E$11+1,1))</f>
        <v>402.22278907877927</v>
      </c>
      <c r="BJ7" s="59">
        <f t="shared" si="38"/>
        <v>393.06397734082458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3.65</v>
      </c>
      <c r="BY7" s="12">
        <f>IF('Données projet'!$A$114&gt;35,BY6+BX7-CG6,IF(A7&lt;'Données projet'!$A$114,$BV$205^A7,IF(A7='Données projet'!$A$114,'Données projet'!$B$114,BY6+BX7-CG6)))</f>
        <v>2.3586558182407358</v>
      </c>
      <c r="BZ7" s="13">
        <f>BY7*VLOOKUP('Données projet'!$B$12,Paramètres!$A$1:$I$89,3,0)*VLOOKUP('Données projet'!$B$12,Paramètres!$A$1:$I$89,5,0)</f>
        <v>2.1341117843442179</v>
      </c>
      <c r="CA7" s="13">
        <f t="shared" si="39"/>
        <v>0.90042667189585779</v>
      </c>
      <c r="CB7" s="20">
        <f t="shared" si="10"/>
        <v>5.2851544779514645</v>
      </c>
      <c r="CC7" s="59">
        <f t="shared" si="11"/>
        <v>298.61848781128475</v>
      </c>
      <c r="CD7" s="59">
        <f ca="1">AVERAGE(OFFSET($CC$3,0,0,'Données projet'!$E$12+1,1))-AVERAGE(OFFSET($H$3,0,0,'Données projet'!$E$12+1,1))</f>
        <v>363.51171608224735</v>
      </c>
      <c r="CE7" s="59">
        <f t="shared" si="40"/>
        <v>257.9239334647138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1">
        <f t="shared" si="32"/>
        <v>1.1192971032254277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67">
        <f t="shared" si="1"/>
        <v>300.03752578811759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2.7</v>
      </c>
      <c r="N8" s="13">
        <f>IF('Données projet'!$A$36&gt;35,N7+M8-V7,IF(A8&lt;'Données projet'!$A$36,$K$205^A8,IF(A8='Données projet'!$A$36,'Données projet'!$B$36,N7+M8-V7)))</f>
        <v>5.1961524227066302</v>
      </c>
      <c r="O8" s="13">
        <f>N8*VLOOKUP('Données projet'!$B$9,Paramètres!$A$1:$I$89,3,0)*VLOOKUP('Données projet'!$B$9,Paramètres!$A$1:$I$89,5,0)</f>
        <v>2.9046492042930061</v>
      </c>
      <c r="P8" s="13">
        <f t="shared" si="33"/>
        <v>1.1823380038531133</v>
      </c>
      <c r="Q8" s="20">
        <f t="shared" si="2"/>
        <v>7.1181693875211574</v>
      </c>
      <c r="R8" s="59">
        <f t="shared" si="0"/>
        <v>300.45150272085448</v>
      </c>
      <c r="S8" s="59">
        <f ca="1">AVERAGE(OFFSET($R$3,0,0,'Données projet'!$E$9+1,1))-AVERAGE(OFFSET($H$3,0,0,'Données projet'!$E$9+1,1))</f>
        <v>446.28010102877403</v>
      </c>
      <c r="T8" s="59">
        <f t="shared" si="34"/>
        <v>445.84011537290456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7.9</v>
      </c>
      <c r="AI8" s="13">
        <f>IF('Données projet'!$A$62&gt;35,AI7+AH8-AQ7,IF(A8&lt;'Données projet'!$A$62,$AF$205^A8,IF(A8='Données projet'!$A$62,'Données projet'!$B$62,AI7+AH8-AQ7)))</f>
        <v>3.5453920925585285</v>
      </c>
      <c r="AJ8" s="13">
        <f>AI8*VLOOKUP('Données projet'!$B$10,Paramètres!$A$1:$I$89,3,0)*VLOOKUP('Données projet'!$B$10,Paramètres!$A$1:$I$89,5,0)</f>
        <v>2.2123246657565216</v>
      </c>
      <c r="AK8" s="13">
        <f t="shared" si="35"/>
        <v>0.9295238100041352</v>
      </c>
      <c r="AL8" s="20">
        <f t="shared" si="4"/>
        <v>5.4720527619498105</v>
      </c>
      <c r="AM8" s="59">
        <f t="shared" si="5"/>
        <v>298.8053860952831</v>
      </c>
      <c r="AN8" s="59">
        <f ca="1">AVERAGE(OFFSET($AM$3,0,0,'Données projet'!$E$10+1,1))-AVERAGE(OFFSET($H$3,0,0,'Données projet'!$E$10+1,1))</f>
        <v>285.77483300338548</v>
      </c>
      <c r="AO8" s="59">
        <f t="shared" si="36"/>
        <v>320.55212417690637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7.8</v>
      </c>
      <c r="BD8" s="12">
        <f>IF('Données projet'!$A$88&gt;35,BD7+BC8-BL7,IF(A8&lt;'Données projet'!$A$88,$BA$205^A8,IF(A8='Données projet'!$A$88,'Données projet'!$B$88,BD7+BC8-BL7)))</f>
        <v>3.5341188430493955</v>
      </c>
      <c r="BE8" s="13">
        <f>BD8*VLOOKUP('Données projet'!$B$11,Paramètres!$A$1:$I$89,3,0)*VLOOKUP('Données projet'!$B$11,Paramètres!$A$1:$I$89,5,0)</f>
        <v>1.6999111635067592</v>
      </c>
      <c r="BF8" s="13">
        <f t="shared" si="37"/>
        <v>0.73647274296176146</v>
      </c>
      <c r="BG8" s="20">
        <f t="shared" si="7"/>
        <v>4.2433686370993398</v>
      </c>
      <c r="BH8" s="59">
        <f t="shared" si="8"/>
        <v>297.57670197043268</v>
      </c>
      <c r="BI8" s="59">
        <f ca="1">AVERAGE(OFFSET($BH$3,0,0,'Données projet'!$E$11+1,1))-AVERAGE(OFFSET($H$3,0,0,'Données projet'!$E$11+1,1))</f>
        <v>402.22278907877927</v>
      </c>
      <c r="BJ8" s="59">
        <f t="shared" si="38"/>
        <v>393.06397734082458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3.65</v>
      </c>
      <c r="BY8" s="12">
        <f>IF('Données projet'!$A$114&gt;35,BY7+BX8-CG7,IF(A8&lt;'Données projet'!$A$114,$BV$205^A8,IF(A8='Données projet'!$A$114,'Données projet'!$B$114,BY7+BX8-CG7)))</f>
        <v>2.9230127856917649</v>
      </c>
      <c r="BZ8" s="13">
        <f>BY8*VLOOKUP('Données projet'!$B$12,Paramètres!$A$1:$I$89,3,0)*VLOOKUP('Données projet'!$B$12,Paramètres!$A$1:$I$89,5,0)</f>
        <v>2.6447419684939089</v>
      </c>
      <c r="CA8" s="13">
        <f t="shared" si="39"/>
        <v>1.0883534414958294</v>
      </c>
      <c r="CB8" s="20">
        <f t="shared" si="10"/>
        <v>6.5018078390654601</v>
      </c>
      <c r="CC8" s="59">
        <f t="shared" si="11"/>
        <v>299.83514117239878</v>
      </c>
      <c r="CD8" s="59">
        <f ca="1">AVERAGE(OFFSET($CC$3,0,0,'Données projet'!$E$12+1,1))-AVERAGE(OFFSET($H$3,0,0,'Données projet'!$E$12+1,1))</f>
        <v>363.51171608224735</v>
      </c>
      <c r="CE8" s="59">
        <f t="shared" si="40"/>
        <v>257.9239334647138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1">
        <f t="shared" si="32"/>
        <v>1.3149520873221716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67">
        <f t="shared" si="1"/>
        <v>301.3292415520861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2.7</v>
      </c>
      <c r="N9" s="13">
        <f>IF('Données projet'!$A$36&gt;35,N8+M9-V8,IF(A9&lt;'Données projet'!$A$36,$K$205^A9,IF(A9='Données projet'!$A$36,'Données projet'!$B$36,N8+M9-V8)))</f>
        <v>7.2246740558420726</v>
      </c>
      <c r="O9" s="13">
        <f>N9*VLOOKUP('Données projet'!$B$9,Paramètres!$A$1:$I$89,3,0)*VLOOKUP('Données projet'!$B$9,Paramètres!$A$1:$I$89,5,0)</f>
        <v>4.0385927972157187</v>
      </c>
      <c r="P9" s="13">
        <f t="shared" si="33"/>
        <v>1.5820381480274153</v>
      </c>
      <c r="Q9" s="20">
        <f t="shared" si="2"/>
        <v>9.7892655629651237</v>
      </c>
      <c r="R9" s="59">
        <f t="shared" si="0"/>
        <v>303.12259889629843</v>
      </c>
      <c r="S9" s="59">
        <f ca="1">AVERAGE(OFFSET($R$3,0,0,'Données projet'!$E$9+1,1))-AVERAGE(OFFSET($H$3,0,0,'Données projet'!$E$9+1,1))</f>
        <v>446.28010102877403</v>
      </c>
      <c r="T9" s="59">
        <f t="shared" si="34"/>
        <v>445.84011537290456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7.9</v>
      </c>
      <c r="AI9" s="13">
        <f>IF('Données projet'!$A$62&gt;35,AI8+AH9-AQ8,IF(A9&lt;'Données projet'!$A$62,$AF$205^A9,IF(A9='Données projet'!$A$62,'Données projet'!$B$62,AI8+AH9-AQ8)))</f>
        <v>4.566643676946887</v>
      </c>
      <c r="AJ9" s="13">
        <f>AI9*VLOOKUP('Données projet'!$B$10,Paramètres!$A$1:$I$89,3,0)*VLOOKUP('Données projet'!$B$10,Paramètres!$A$1:$I$89,5,0)</f>
        <v>2.8495856544148572</v>
      </c>
      <c r="AK9" s="13">
        <f t="shared" si="35"/>
        <v>1.1625113156650257</v>
      </c>
      <c r="AL9" s="20">
        <f t="shared" si="4"/>
        <v>6.9877355562224617</v>
      </c>
      <c r="AM9" s="59">
        <f t="shared" si="5"/>
        <v>300.32106888955576</v>
      </c>
      <c r="AN9" s="59">
        <f ca="1">AVERAGE(OFFSET($AM$3,0,0,'Données projet'!$E$10+1,1))-AVERAGE(OFFSET($H$3,0,0,'Données projet'!$E$10+1,1))</f>
        <v>285.77483300338548</v>
      </c>
      <c r="AO9" s="59">
        <f t="shared" si="36"/>
        <v>320.55212417690637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7.8</v>
      </c>
      <c r="BD9" s="12">
        <f>IF('Données projet'!$A$88&gt;35,BD8+BC9-BL8,IF(A9&lt;'Données projet'!$A$88,$BA$205^A9,IF(A9='Données projet'!$A$88,'Données projet'!$B$88,BD8+BC9-BL8)))</f>
        <v>4.5492246059919923</v>
      </c>
      <c r="BE9" s="13">
        <f>BD9*VLOOKUP('Données projet'!$B$11,Paramètres!$A$1:$I$89,3,0)*VLOOKUP('Données projet'!$B$11,Paramètres!$A$1:$I$89,5,0)</f>
        <v>2.1881770354821484</v>
      </c>
      <c r="BF9" s="13">
        <f t="shared" si="37"/>
        <v>0.9205532654152383</v>
      </c>
      <c r="BG9" s="20">
        <f t="shared" si="7"/>
        <v>5.4143719407296151</v>
      </c>
      <c r="BH9" s="59">
        <f t="shared" si="8"/>
        <v>298.74770527406292</v>
      </c>
      <c r="BI9" s="59">
        <f ca="1">AVERAGE(OFFSET($BH$3,0,0,'Données projet'!$E$11+1,1))-AVERAGE(OFFSET($H$3,0,0,'Données projet'!$E$11+1,1))</f>
        <v>402.22278907877927</v>
      </c>
      <c r="BJ9" s="59">
        <f t="shared" si="38"/>
        <v>393.06397734082458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3.65</v>
      </c>
      <c r="BY9" s="12">
        <f>IF('Données projet'!$A$114&gt;35,BY8+BX9-CG8,IF(A9&lt;'Données projet'!$A$114,$BV$205^A9,IF(A9='Données projet'!$A$114,'Données projet'!$B$114,BY8+BX9-CG8)))</f>
        <v>3.6224037772879885</v>
      </c>
      <c r="BZ9" s="13">
        <f>BY9*VLOOKUP('Données projet'!$B$12,Paramètres!$A$1:$I$89,3,0)*VLOOKUP('Données projet'!$B$12,Paramètres!$A$1:$I$89,5,0)</f>
        <v>3.2775509376901719</v>
      </c>
      <c r="CA9" s="13">
        <f t="shared" si="39"/>
        <v>1.315502139804245</v>
      </c>
      <c r="CB9" s="20">
        <f t="shared" si="10"/>
        <v>7.9995674433027766</v>
      </c>
      <c r="CC9" s="59">
        <f t="shared" si="11"/>
        <v>301.33290077663611</v>
      </c>
      <c r="CD9" s="59">
        <f ca="1">AVERAGE(OFFSET($CC$3,0,0,'Données projet'!$E$12+1,1))-AVERAGE(OFFSET($H$3,0,0,'Données projet'!$E$12+1,1))</f>
        <v>363.51171608224735</v>
      </c>
      <c r="CE9" s="59">
        <f t="shared" si="40"/>
        <v>257.9239334647138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1">
        <f t="shared" si="32"/>
        <v>1.5068294933809407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67">
        <f t="shared" si="1"/>
        <v>302.6143780343051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2.7</v>
      </c>
      <c r="N10" s="13">
        <f>IF('Données projet'!$A$36&gt;35,N9+M10-V9,IF(A10&lt;'Données projet'!$A$36,$K$205^A10,IF(A10='Données projet'!$A$36,'Données projet'!$B$36,N9+M10-V9)))</f>
        <v>10.045108566305135</v>
      </c>
      <c r="O10" s="13">
        <f>N10*VLOOKUP('Données projet'!$B$9,Paramètres!$A$1:$I$89,3,0)*VLOOKUP('Données projet'!$B$9,Paramètres!$A$1:$I$89,5,0)</f>
        <v>5.6152156885645708</v>
      </c>
      <c r="P10" s="13">
        <f t="shared" si="33"/>
        <v>2.1168605708837163</v>
      </c>
      <c r="Q10" s="20">
        <f t="shared" si="2"/>
        <v>13.466699485205766</v>
      </c>
      <c r="R10" s="59">
        <f t="shared" si="0"/>
        <v>306.80003281853908</v>
      </c>
      <c r="S10" s="59">
        <f ca="1">AVERAGE(OFFSET($R$3,0,0,'Données projet'!$E$9+1,1))-AVERAGE(OFFSET($H$3,0,0,'Données projet'!$E$9+1,1))</f>
        <v>446.28010102877403</v>
      </c>
      <c r="T10" s="59">
        <f t="shared" si="34"/>
        <v>445.84011537290456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7.9</v>
      </c>
      <c r="AI10" s="13">
        <f>IF('Données projet'!$A$62&gt;35,AI9+AH10-AQ9,IF(A10&lt;'Données projet'!$A$62,$AF$205^A10,IF(A10='Données projet'!$A$62,'Données projet'!$B$62,AI9+AH10-AQ9)))</f>
        <v>5.8820671812210037</v>
      </c>
      <c r="AJ10" s="13">
        <f>AI10*VLOOKUP('Données projet'!$B$10,Paramètres!$A$1:$I$89,3,0)*VLOOKUP('Données projet'!$B$10,Paramètres!$A$1:$I$89,5,0)</f>
        <v>3.6704099210819061</v>
      </c>
      <c r="AK10" s="13">
        <f t="shared" si="35"/>
        <v>1.4538977318324067</v>
      </c>
      <c r="AL10" s="20">
        <f t="shared" si="4"/>
        <v>8.9248358288257617</v>
      </c>
      <c r="AM10" s="59">
        <f t="shared" si="5"/>
        <v>302.25816916215905</v>
      </c>
      <c r="AN10" s="59">
        <f ca="1">AVERAGE(OFFSET($AM$3,0,0,'Données projet'!$E$10+1,1))-AVERAGE(OFFSET($H$3,0,0,'Données projet'!$E$10+1,1))</f>
        <v>285.77483300338548</v>
      </c>
      <c r="AO10" s="59">
        <f t="shared" si="36"/>
        <v>320.55212417690637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7.8</v>
      </c>
      <c r="BD10" s="12">
        <f>IF('Données projet'!$A$88&gt;35,BD9+BC10-BL9,IF(A10&lt;'Données projet'!$A$88,$BA$205^A10,IF(A10='Données projet'!$A$88,'Données projet'!$B$88,BD9+BC10-BL9)))</f>
        <v>5.8558994292070965</v>
      </c>
      <c r="BE10" s="13">
        <f>BD10*VLOOKUP('Données projet'!$B$11,Paramètres!$A$1:$I$89,3,0)*VLOOKUP('Données projet'!$B$11,Paramètres!$A$1:$I$89,5,0)</f>
        <v>2.8166876254486133</v>
      </c>
      <c r="BF10" s="13">
        <f t="shared" si="37"/>
        <v>1.1506445045864473</v>
      </c>
      <c r="BG10" s="20">
        <f t="shared" si="7"/>
        <v>6.9097701264777305</v>
      </c>
      <c r="BH10" s="59">
        <f t="shared" si="8"/>
        <v>300.24310345981104</v>
      </c>
      <c r="BI10" s="59">
        <f ca="1">AVERAGE(OFFSET($BH$3,0,0,'Données projet'!$E$11+1,1))-AVERAGE(OFFSET($H$3,0,0,'Données projet'!$E$11+1,1))</f>
        <v>402.22278907877927</v>
      </c>
      <c r="BJ10" s="59">
        <f t="shared" si="38"/>
        <v>393.06397734082458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3.65</v>
      </c>
      <c r="BY10" s="12">
        <f>IF('Données projet'!$A$114&gt;35,BY9+BX10-CG9,IF(A10&lt;'Données projet'!$A$114,$BV$205^A10,IF(A10='Données projet'!$A$114,'Données projet'!$B$114,BY9+BX10-CG9)))</f>
        <v>4.4891384635544309</v>
      </c>
      <c r="BZ10" s="13">
        <f>BY10*VLOOKUP('Données projet'!$B$12,Paramètres!$A$1:$I$89,3,0)*VLOOKUP('Données projet'!$B$12,Paramètres!$A$1:$I$89,5,0)</f>
        <v>4.0617724818240486</v>
      </c>
      <c r="CA10" s="13">
        <f t="shared" si="39"/>
        <v>1.590058719758437</v>
      </c>
      <c r="CB10" s="20">
        <f t="shared" si="10"/>
        <v>9.8436060094228282</v>
      </c>
      <c r="CC10" s="59">
        <f t="shared" si="11"/>
        <v>303.17693934275616</v>
      </c>
      <c r="CD10" s="59">
        <f ca="1">AVERAGE(OFFSET($CC$3,0,0,'Données projet'!$E$12+1,1))-AVERAGE(OFFSET($H$3,0,0,'Données projet'!$E$12+1,1))</f>
        <v>363.51171608224735</v>
      </c>
      <c r="CE10" s="59">
        <f t="shared" si="40"/>
        <v>257.9239334647138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1">
        <f t="shared" si="32"/>
        <v>1.6955312417477209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67">
        <f t="shared" si="1"/>
        <v>303.89398357937728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2.7</v>
      </c>
      <c r="N11" s="13">
        <f>IF('Données projet'!$A$36&gt;35,N10+M11-V10,IF(A11&lt;'Données projet'!$A$36,$K$205^A11,IF(A11='Données projet'!$A$36,'Données projet'!$B$36,N10+M11-V10)))</f>
        <v>13.96661016523823</v>
      </c>
      <c r="O11" s="13">
        <f>N11*VLOOKUP('Données projet'!$B$9,Paramètres!$A$1:$I$89,3,0)*VLOOKUP('Données projet'!$B$9,Paramètres!$A$1:$I$89,5,0)</f>
        <v>7.8073350823681702</v>
      </c>
      <c r="P11" s="13">
        <f t="shared" si="33"/>
        <v>2.8324845909369802</v>
      </c>
      <c r="Q11" s="20">
        <f t="shared" si="2"/>
        <v>18.531019264339804</v>
      </c>
      <c r="R11" s="59">
        <f t="shared" si="0"/>
        <v>311.86435259767313</v>
      </c>
      <c r="S11" s="59">
        <f ca="1">AVERAGE(OFFSET($R$3,0,0,'Données projet'!$E$9+1,1))-AVERAGE(OFFSET($H$3,0,0,'Données projet'!$E$9+1,1))</f>
        <v>446.28010102877403</v>
      </c>
      <c r="T11" s="59">
        <f t="shared" si="34"/>
        <v>445.84011537290456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7.9</v>
      </c>
      <c r="AI11" s="13">
        <f>IF('Données projet'!$A$62&gt;35,AI10+AH11-AQ10,IF(A11&lt;'Données projet'!$A$62,$AF$205^A11,IF(A11='Données projet'!$A$62,'Données projet'!$B$62,AI10+AH11-AQ10)))</f>
        <v>7.5763989424129567</v>
      </c>
      <c r="AJ11" s="13">
        <f>AI11*VLOOKUP('Données projet'!$B$10,Paramètres!$A$1:$I$89,3,0)*VLOOKUP('Données projet'!$B$10,Paramètres!$A$1:$I$89,5,0)</f>
        <v>4.7276729400656849</v>
      </c>
      <c r="AK11" s="13">
        <f t="shared" si="35"/>
        <v>1.8183208938643207</v>
      </c>
      <c r="AL11" s="20">
        <f t="shared" si="4"/>
        <v>11.400939260761424</v>
      </c>
      <c r="AM11" s="59">
        <f t="shared" si="5"/>
        <v>304.73427259409476</v>
      </c>
      <c r="AN11" s="59">
        <f ca="1">AVERAGE(OFFSET($AM$3,0,0,'Données projet'!$E$10+1,1))-AVERAGE(OFFSET($H$3,0,0,'Données projet'!$E$10+1,1))</f>
        <v>285.77483300338548</v>
      </c>
      <c r="AO11" s="59">
        <f t="shared" si="36"/>
        <v>320.55212417690637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7.8</v>
      </c>
      <c r="BD11" s="12">
        <f>IF('Données projet'!$A$88&gt;35,BD10+BC11-BL10,IF(A11&lt;'Données projet'!$A$88,$BA$205^A11,IF(A11='Données projet'!$A$88,'Données projet'!$B$88,BD10+BC11-BL10)))</f>
        <v>7.5378907605091667</v>
      </c>
      <c r="BE11" s="13">
        <f>BD11*VLOOKUP('Données projet'!$B$11,Paramètres!$A$1:$I$89,3,0)*VLOOKUP('Données projet'!$B$11,Paramètres!$A$1:$I$89,5,0)</f>
        <v>3.6257254558049095</v>
      </c>
      <c r="BF11" s="13">
        <f t="shared" si="37"/>
        <v>1.4382467866623401</v>
      </c>
      <c r="BG11" s="20">
        <f t="shared" si="7"/>
        <v>8.8197516556304585</v>
      </c>
      <c r="BH11" s="59">
        <f t="shared" si="8"/>
        <v>302.15308498896377</v>
      </c>
      <c r="BI11" s="59">
        <f ca="1">AVERAGE(OFFSET($BH$3,0,0,'Données projet'!$E$11+1,1))-AVERAGE(OFFSET($H$3,0,0,'Données projet'!$E$11+1,1))</f>
        <v>402.22278907877927</v>
      </c>
      <c r="BJ11" s="59">
        <f t="shared" si="38"/>
        <v>393.06397734082458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3.65</v>
      </c>
      <c r="BY11" s="12">
        <f>IF('Données projet'!$A$114&gt;35,BY10+BX11-CG10,IF(A11&lt;'Données projet'!$A$114,$BV$205^A11,IF(A11='Données projet'!$A$114,'Données projet'!$B$114,BY10+BX11-CG10)))</f>
        <v>5.563257268920875</v>
      </c>
      <c r="BZ11" s="13">
        <f>BY11*VLOOKUP('Données projet'!$B$12,Paramètres!$A$1:$I$89,3,0)*VLOOKUP('Données projet'!$B$12,Paramètres!$A$1:$I$89,5,0)</f>
        <v>5.0336351769196082</v>
      </c>
      <c r="CA11" s="13">
        <f t="shared" si="39"/>
        <v>1.9219176128866391</v>
      </c>
      <c r="CB11" s="20">
        <f t="shared" si="10"/>
        <v>12.11425444224588</v>
      </c>
      <c r="CC11" s="59">
        <f t="shared" si="11"/>
        <v>305.44758777557922</v>
      </c>
      <c r="CD11" s="59">
        <f ca="1">AVERAGE(OFFSET($CC$3,0,0,'Données projet'!$E$12+1,1))-AVERAGE(OFFSET($H$3,0,0,'Données projet'!$E$12+1,1))</f>
        <v>363.51171608224735</v>
      </c>
      <c r="CE11" s="59">
        <f t="shared" si="40"/>
        <v>257.9239334647138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1">
        <f t="shared" si="32"/>
        <v>1.8814997515338503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67">
        <f t="shared" si="1"/>
        <v>305.16882873392143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2.7</v>
      </c>
      <c r="N12" s="13">
        <f>IF('Données projet'!$A$36&gt;35,N11+M12-V11,IF(A12&lt;'Données projet'!$A$36,$K$205^A12,IF(A12='Données projet'!$A$36,'Données projet'!$B$36,N11+M12-V11)))</f>
        <v>19.419023519771326</v>
      </c>
      <c r="O12" s="13">
        <f>N12*VLOOKUP('Données projet'!$B$9,Paramètres!$A$1:$I$89,3,0)*VLOOKUP('Données projet'!$B$9,Paramètres!$A$1:$I$89,5,0)</f>
        <v>10.855234147552173</v>
      </c>
      <c r="P12" s="13">
        <f t="shared" si="33"/>
        <v>3.790031836884808</v>
      </c>
      <c r="Q12" s="20">
        <f t="shared" si="2"/>
        <v>25.507171589561072</v>
      </c>
      <c r="R12" s="59">
        <f t="shared" si="0"/>
        <v>318.84050492289441</v>
      </c>
      <c r="S12" s="59">
        <f ca="1">AVERAGE(OFFSET($R$3,0,0,'Données projet'!$E$9+1,1))-AVERAGE(OFFSET($H$3,0,0,'Données projet'!$E$9+1,1))</f>
        <v>446.28010102877403</v>
      </c>
      <c r="T12" s="59">
        <f t="shared" si="34"/>
        <v>445.84011537290456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7.9</v>
      </c>
      <c r="AI12" s="13">
        <f>IF('Données projet'!$A$62&gt;35,AI11+AH12-AQ11,IF(A12&lt;'Données projet'!$A$62,$AF$205^A12,IF(A12='Données projet'!$A$62,'Données projet'!$B$62,AI11+AH12-AQ11)))</f>
        <v>9.7587836327093171</v>
      </c>
      <c r="AJ12" s="13">
        <f>AI12*VLOOKUP('Données projet'!$B$10,Paramètres!$A$1:$I$89,3,0)*VLOOKUP('Données projet'!$B$10,Paramètres!$A$1:$I$89,5,0)</f>
        <v>6.0894809868106137</v>
      </c>
      <c r="AK12" s="13">
        <f t="shared" si="35"/>
        <v>2.2740876477580638</v>
      </c>
      <c r="AL12" s="20">
        <f t="shared" si="4"/>
        <v>14.566548705207111</v>
      </c>
      <c r="AM12" s="59">
        <f t="shared" si="5"/>
        <v>307.89988203854045</v>
      </c>
      <c r="AN12" s="59">
        <f ca="1">AVERAGE(OFFSET($AM$3,0,0,'Données projet'!$E$10+1,1))-AVERAGE(OFFSET($H$3,0,0,'Données projet'!$E$10+1,1))</f>
        <v>285.77483300338548</v>
      </c>
      <c r="AO12" s="59">
        <f t="shared" si="36"/>
        <v>320.55212417690637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7.8</v>
      </c>
      <c r="BD12" s="12">
        <f>IF('Données projet'!$A$88&gt;35,BD11+BC12-BL11,IF(A12&lt;'Données projet'!$A$88,$BA$205^A12,IF(A12='Données projet'!$A$88,'Données projet'!$B$88,BD11+BC12-BL11)))</f>
        <v>9.7030008462872477</v>
      </c>
      <c r="BE12" s="13">
        <f>BD12*VLOOKUP('Données projet'!$B$11,Paramètres!$A$1:$I$89,3,0)*VLOOKUP('Données projet'!$B$11,Paramètres!$A$1:$I$89,5,0)</f>
        <v>4.6671434070641657</v>
      </c>
      <c r="BF12" s="13">
        <f t="shared" si="37"/>
        <v>1.797734931248818</v>
      </c>
      <c r="BG12" s="20">
        <f t="shared" si="7"/>
        <v>11.259663105895113</v>
      </c>
      <c r="BH12" s="59">
        <f t="shared" si="8"/>
        <v>304.59299643922844</v>
      </c>
      <c r="BI12" s="59">
        <f ca="1">AVERAGE(OFFSET($BH$3,0,0,'Données projet'!$E$11+1,1))-AVERAGE(OFFSET($H$3,0,0,'Données projet'!$E$11+1,1))</f>
        <v>402.22278907877927</v>
      </c>
      <c r="BJ12" s="59">
        <f t="shared" si="38"/>
        <v>393.06397734082458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3.65</v>
      </c>
      <c r="BY12" s="12">
        <f>IF('Données projet'!$A$114&gt;35,BY11+BX12-CG11,IF(A12&lt;'Données projet'!$A$114,$BV$205^A12,IF(A12='Données projet'!$A$114,'Données projet'!$B$114,BY11+BX12-CG11)))</f>
        <v>6.8943811137639424</v>
      </c>
      <c r="BZ12" s="13">
        <f>BY12*VLOOKUP('Données projet'!$B$12,Paramètres!$A$1:$I$89,3,0)*VLOOKUP('Données projet'!$B$12,Paramètres!$A$1:$I$89,5,0)</f>
        <v>6.2380360317336141</v>
      </c>
      <c r="CA12" s="13">
        <f t="shared" si="39"/>
        <v>2.3230383034439352</v>
      </c>
      <c r="CB12" s="20">
        <f t="shared" si="10"/>
        <v>14.910537800434229</v>
      </c>
      <c r="CC12" s="59">
        <f t="shared" si="11"/>
        <v>308.24387113376753</v>
      </c>
      <c r="CD12" s="59">
        <f ca="1">AVERAGE(OFFSET($CC$3,0,0,'Données projet'!$E$12+1,1))-AVERAGE(OFFSET($H$3,0,0,'Données projet'!$E$12+1,1))</f>
        <v>363.51171608224735</v>
      </c>
      <c r="CE12" s="59">
        <f t="shared" si="40"/>
        <v>257.9239334647138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1">
        <f t="shared" si="32"/>
        <v>2.0650733588092973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67">
        <f t="shared" si="1"/>
        <v>306.43950276659285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>
        <f>VLOOKUP(A13,'Données projet'!$A$35:$I$55,2,0)</f>
        <v>27</v>
      </c>
      <c r="L13" s="12">
        <f>VLOOKUP(A13,'Données projet'!$A$35:$I$55,9,0)</f>
        <v>2.7</v>
      </c>
      <c r="M13" s="12">
        <f t="array" ref="M13">INDEX(L:L,MIN(IF(ISNUMBER(L13:L209),ROW(L13:L209),"")))</f>
        <v>2.7</v>
      </c>
      <c r="N13" s="13">
        <f>IF('Données projet'!$A$36&gt;35,N12+M13-V12,IF(A13&lt;'Données projet'!$A$36,$K$205^A13,IF(A13='Données projet'!$A$36,'Données projet'!$B$36,N12+M13-V12)))</f>
        <v>27</v>
      </c>
      <c r="O13" s="13">
        <f>N13*VLOOKUP('Données projet'!$B$9,Paramètres!$A$1:$I$89,3,0)*VLOOKUP('Données projet'!$B$9,Paramètres!$A$1:$I$89,5,0)</f>
        <v>15.093</v>
      </c>
      <c r="P13" s="13">
        <f t="shared" si="33"/>
        <v>5.0712866613861207</v>
      </c>
      <c r="Q13" s="20">
        <f t="shared" si="2"/>
        <v>35.11946593524749</v>
      </c>
      <c r="R13" s="59">
        <f t="shared" si="0"/>
        <v>328.4527992685808</v>
      </c>
      <c r="S13" s="59">
        <f ca="1">AVERAGE(OFFSET($R$3,0,0,'Données projet'!$E$9+1,1))-AVERAGE(OFFSET($H$3,0,0,'Données projet'!$E$9+1,1))</f>
        <v>446.28010102877403</v>
      </c>
      <c r="T13" s="59">
        <f t="shared" si="34"/>
        <v>445.84011537290456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7.9</v>
      </c>
      <c r="AI13" s="13">
        <f>IF('Données projet'!$A$62&gt;35,AI12+AH13-AQ12,IF(A13&lt;'Données projet'!$A$62,$AF$205^A13,IF(A13='Données projet'!$A$62,'Données projet'!$B$62,AI12+AH13-AQ12)))</f>
        <v>12.569805089976542</v>
      </c>
      <c r="AJ13" s="13">
        <f>AI13*VLOOKUP('Données projet'!$B$10,Paramètres!$A$1:$I$89,3,0)*VLOOKUP('Données projet'!$B$10,Paramètres!$A$1:$I$89,5,0)</f>
        <v>7.8435583761453627</v>
      </c>
      <c r="AK13" s="13">
        <f t="shared" si="35"/>
        <v>2.8440934969928842</v>
      </c>
      <c r="AL13" s="20">
        <f t="shared" si="4"/>
        <v>18.614327012382446</v>
      </c>
      <c r="AM13" s="59">
        <f t="shared" si="5"/>
        <v>311.94766034571575</v>
      </c>
      <c r="AN13" s="59">
        <f ca="1">AVERAGE(OFFSET($AM$3,0,0,'Données projet'!$E$10+1,1))-AVERAGE(OFFSET($H$3,0,0,'Données projet'!$E$10+1,1))</f>
        <v>285.77483300338548</v>
      </c>
      <c r="AO13" s="59">
        <f t="shared" si="36"/>
        <v>320.55212417690637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7.8</v>
      </c>
      <c r="BD13" s="12">
        <f>IF('Données projet'!$A$88&gt;35,BD12+BC13-BL12,IF(A13&lt;'Données projet'!$A$88,$BA$205^A13,IF(A13='Données projet'!$A$88,'Données projet'!$B$88,BD12+BC13-BL12)))</f>
        <v>12.489995996796797</v>
      </c>
      <c r="BE13" s="13">
        <f>BD13*VLOOKUP('Données projet'!$B$11,Paramètres!$A$1:$I$89,3,0)*VLOOKUP('Données projet'!$B$11,Paramètres!$A$1:$I$89,5,0)</f>
        <v>6.0076880744592591</v>
      </c>
      <c r="BF13" s="13">
        <f t="shared" si="37"/>
        <v>2.247076727723599</v>
      </c>
      <c r="BG13" s="20">
        <f t="shared" si="7"/>
        <v>14.377048697135145</v>
      </c>
      <c r="BH13" s="59">
        <f t="shared" si="8"/>
        <v>307.71038203046845</v>
      </c>
      <c r="BI13" s="59">
        <f ca="1">AVERAGE(OFFSET($BH$3,0,0,'Données projet'!$E$11+1,1))-AVERAGE(OFFSET($H$3,0,0,'Données projet'!$E$11+1,1))</f>
        <v>402.22278907877927</v>
      </c>
      <c r="BJ13" s="59">
        <f t="shared" si="38"/>
        <v>393.06397734082458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3.65</v>
      </c>
      <c r="BY13" s="12">
        <f>IF('Données projet'!$A$114&gt;35,BY12+BX13-CG12,IF(A13&lt;'Données projet'!$A$114,$BV$205^A13,IF(A13='Données projet'!$A$114,'Données projet'!$B$114,BY12+BX13-CG12)))</f>
        <v>8.5440037453175322</v>
      </c>
      <c r="BZ13" s="13">
        <f>BY13*VLOOKUP('Données projet'!$B$12,Paramètres!$A$1:$I$89,3,0)*VLOOKUP('Données projet'!$B$12,Paramètres!$A$1:$I$89,5,0)</f>
        <v>7.7306145887633031</v>
      </c>
      <c r="CA13" s="13">
        <f t="shared" si="39"/>
        <v>2.8078763226288115</v>
      </c>
      <c r="CB13" s="20">
        <f t="shared" si="10"/>
        <v>18.354538337341264</v>
      </c>
      <c r="CC13" s="59">
        <f t="shared" si="11"/>
        <v>311.68787167067455</v>
      </c>
      <c r="CD13" s="59">
        <f ca="1">AVERAGE(OFFSET($CC$3,0,0,'Données projet'!$E$12+1,1))-AVERAGE(OFFSET($H$3,0,0,'Données projet'!$E$12+1,1))</f>
        <v>363.51171608224735</v>
      </c>
      <c r="CE13" s="59">
        <f t="shared" si="40"/>
        <v>257.9239334647138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1">
        <f t="shared" si="32"/>
        <v>2.2465188167092136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67">
        <f t="shared" si="1"/>
        <v>307.70647027243518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20.100000000000001</v>
      </c>
      <c r="N14" s="13">
        <f>IF('Données projet'!$A$36&gt;35,N13+M14-V13,IF(A14&lt;'Données projet'!$A$36,$K$205^A14,IF(A14='Données projet'!$A$36,'Données projet'!$B$36,N13+M14-V13)))</f>
        <v>47.1</v>
      </c>
      <c r="O14" s="13">
        <f>N14*VLOOKUP('Données projet'!$B$9,Paramètres!$A$1:$I$89,3,0)*VLOOKUP('Données projet'!$B$9,Paramètres!$A$1:$I$89,5,0)</f>
        <v>26.328900000000001</v>
      </c>
      <c r="P14" s="13">
        <f t="shared" si="33"/>
        <v>8.2917540554735094</v>
      </c>
      <c r="Q14" s="20">
        <f t="shared" si="2"/>
        <v>60.297639146616369</v>
      </c>
      <c r="R14" s="59">
        <f t="shared" si="0"/>
        <v>353.63097247994966</v>
      </c>
      <c r="S14" s="59">
        <f ca="1">AVERAGE(OFFSET($R$3,0,0,'Données projet'!$E$9+1,1))-AVERAGE(OFFSET($H$3,0,0,'Données projet'!$E$9+1,1))</f>
        <v>446.28010102877403</v>
      </c>
      <c r="T14" s="59">
        <f t="shared" si="34"/>
        <v>445.84011537290456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7.9</v>
      </c>
      <c r="AI14" s="13">
        <f>IF('Données projet'!$A$62&gt;35,AI13+AH14-AQ13,IF(A14&lt;'Données projet'!$A$62,$AF$205^A14,IF(A14='Données projet'!$A$62,'Données projet'!$B$62,AI13+AH14-AQ13)))</f>
        <v>16.190542381779895</v>
      </c>
      <c r="AJ14" s="13">
        <f>AI14*VLOOKUP('Données projet'!$B$10,Paramètres!$A$1:$I$89,3,0)*VLOOKUP('Données projet'!$B$10,Paramètres!$A$1:$I$89,5,0)</f>
        <v>10.102898446230656</v>
      </c>
      <c r="AK14" s="13">
        <f t="shared" si="35"/>
        <v>3.5569727611913824</v>
      </c>
      <c r="AL14" s="20">
        <f t="shared" si="4"/>
        <v>23.790942352926717</v>
      </c>
      <c r="AM14" s="59">
        <f t="shared" si="5"/>
        <v>317.12427568626003</v>
      </c>
      <c r="AN14" s="59">
        <f ca="1">AVERAGE(OFFSET($AM$3,0,0,'Données projet'!$E$10+1,1))-AVERAGE(OFFSET($H$3,0,0,'Données projet'!$E$10+1,1))</f>
        <v>285.77483300338548</v>
      </c>
      <c r="AO14" s="59">
        <f t="shared" si="36"/>
        <v>320.55212417690637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7.8</v>
      </c>
      <c r="BD14" s="12">
        <f>IF('Données projet'!$A$88&gt;35,BD13+BC14-BL13,IF(A14&lt;'Données projet'!$A$88,$BA$205^A14,IF(A14='Données projet'!$A$88,'Données projet'!$B$88,BD13+BC14-BL13)))</f>
        <v>16.077500401300263</v>
      </c>
      <c r="BE14" s="13">
        <f>BD14*VLOOKUP('Données projet'!$B$11,Paramètres!$A$1:$I$89,3,0)*VLOOKUP('Données projet'!$B$11,Paramètres!$A$1:$I$89,5,0)</f>
        <v>7.7332776930254266</v>
      </c>
      <c r="BF14" s="13">
        <f t="shared" si="37"/>
        <v>2.8087309939343528</v>
      </c>
      <c r="BG14" s="20">
        <f t="shared" si="7"/>
        <v>18.360665129788281</v>
      </c>
      <c r="BH14" s="59">
        <f t="shared" si="8"/>
        <v>311.6939984631216</v>
      </c>
      <c r="BI14" s="59">
        <f ca="1">AVERAGE(OFFSET($BH$3,0,0,'Données projet'!$E$11+1,1))-AVERAGE(OFFSET($H$3,0,0,'Données projet'!$E$11+1,1))</f>
        <v>402.22278907877927</v>
      </c>
      <c r="BJ14" s="59">
        <f t="shared" si="38"/>
        <v>393.06397734082458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3.65</v>
      </c>
      <c r="BY14" s="12">
        <f>IF('Données projet'!$A$114&gt;35,BY13+BX14-CG13,IF(A14&lt;'Données projet'!$A$114,$BV$205^A14,IF(A14='Données projet'!$A$114,'Données projet'!$B$114,BY13+BX14-CG13)))</f>
        <v>10.588332555950936</v>
      </c>
      <c r="BZ14" s="13">
        <f>BY14*VLOOKUP('Données projet'!$B$12,Paramètres!$A$1:$I$89,3,0)*VLOOKUP('Données projet'!$B$12,Paramètres!$A$1:$I$89,5,0)</f>
        <v>9.5803232966244067</v>
      </c>
      <c r="CA14" s="13">
        <f t="shared" si="39"/>
        <v>3.3939041949894282</v>
      </c>
      <c r="CB14" s="20">
        <f t="shared" si="10"/>
        <v>22.596779547894098</v>
      </c>
      <c r="CC14" s="59">
        <f t="shared" si="11"/>
        <v>315.93011288122739</v>
      </c>
      <c r="CD14" s="59">
        <f ca="1">AVERAGE(OFFSET($CC$3,0,0,'Données projet'!$E$12+1,1))-AVERAGE(OFFSET($H$3,0,0,'Données projet'!$E$12+1,1))</f>
        <v>363.51171608224735</v>
      </c>
      <c r="CE14" s="59">
        <f t="shared" si="40"/>
        <v>257.9239334647138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1">
        <f t="shared" si="32"/>
        <v>2.4260515959655744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67">
        <f t="shared" si="1"/>
        <v>308.97010652964002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20.100000000000001</v>
      </c>
      <c r="N15" s="13">
        <f>IF('Données projet'!$A$36&gt;35,N14+M15-V14,IF(A15&lt;'Données projet'!$A$36,$K$205^A15,IF(A15='Données projet'!$A$36,'Données projet'!$B$36,N14+M15-V14)))</f>
        <v>67.2</v>
      </c>
      <c r="O15" s="13">
        <f>N15*VLOOKUP('Données projet'!$B$9,Paramètres!$A$1:$I$89,3,0)*VLOOKUP('Données projet'!$B$9,Paramètres!$A$1:$I$89,5,0)</f>
        <v>37.564800000000005</v>
      </c>
      <c r="P15" s="13">
        <f t="shared" si="33"/>
        <v>11.350856362116868</v>
      </c>
      <c r="Q15" s="20">
        <f t="shared" si="2"/>
        <v>85.194768164020218</v>
      </c>
      <c r="R15" s="59">
        <f t="shared" si="0"/>
        <v>378.52810149735353</v>
      </c>
      <c r="S15" s="59">
        <f ca="1">AVERAGE(OFFSET($R$3,0,0,'Données projet'!$E$9+1,1))-AVERAGE(OFFSET($H$3,0,0,'Données projet'!$E$9+1,1))</f>
        <v>446.28010102877403</v>
      </c>
      <c r="T15" s="59">
        <f t="shared" si="34"/>
        <v>445.84011537290456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7.9</v>
      </c>
      <c r="AI15" s="13">
        <f>IF('Données projet'!$A$62&gt;35,AI14+AH15-AQ14,IF(A15&lt;'Données projet'!$A$62,$AF$205^A15,IF(A15='Données projet'!$A$62,'Données projet'!$B$62,AI14+AH15-AQ14)))</f>
        <v>20.854234472198982</v>
      </c>
      <c r="AJ15" s="13">
        <f>AI15*VLOOKUP('Données projet'!$B$10,Paramètres!$A$1:$I$89,3,0)*VLOOKUP('Données projet'!$B$10,Paramètres!$A$1:$I$89,5,0)</f>
        <v>13.013042310652164</v>
      </c>
      <c r="AK15" s="13">
        <f t="shared" si="35"/>
        <v>4.4485370249728815</v>
      </c>
      <c r="AL15" s="20">
        <f t="shared" si="4"/>
        <v>30.41225067621362</v>
      </c>
      <c r="AM15" s="59">
        <f t="shared" si="5"/>
        <v>323.74558400954692</v>
      </c>
      <c r="AN15" s="59">
        <f ca="1">AVERAGE(OFFSET($AM$3,0,0,'Données projet'!$E$10+1,1))-AVERAGE(OFFSET($H$3,0,0,'Données projet'!$E$10+1,1))</f>
        <v>285.77483300338548</v>
      </c>
      <c r="AO15" s="59">
        <f t="shared" si="36"/>
        <v>320.55212417690637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7.8</v>
      </c>
      <c r="BD15" s="12">
        <f>IF('Données projet'!$A$88&gt;35,BD14+BC15-BL14,IF(A15&lt;'Données projet'!$A$88,$BA$205^A15,IF(A15='Données projet'!$A$88,'Données projet'!$B$88,BD14+BC15-BL14)))</f>
        <v>20.695444515762997</v>
      </c>
      <c r="BE15" s="13">
        <f>BD15*VLOOKUP('Données projet'!$B$11,Paramètres!$A$1:$I$89,3,0)*VLOOKUP('Données projet'!$B$11,Paramètres!$A$1:$I$89,5,0)</f>
        <v>9.9545088120820022</v>
      </c>
      <c r="BF15" s="13">
        <f t="shared" si="37"/>
        <v>3.51077010364456</v>
      </c>
      <c r="BG15" s="20">
        <f t="shared" si="7"/>
        <v>23.45202744489043</v>
      </c>
      <c r="BH15" s="59">
        <f t="shared" si="8"/>
        <v>316.78536077822372</v>
      </c>
      <c r="BI15" s="59">
        <f ca="1">AVERAGE(OFFSET($BH$3,0,0,'Données projet'!$E$11+1,1))-AVERAGE(OFFSET($H$3,0,0,'Données projet'!$E$11+1,1))</f>
        <v>402.22278907877927</v>
      </c>
      <c r="BJ15" s="59">
        <f t="shared" si="38"/>
        <v>393.06397734082458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3.65</v>
      </c>
      <c r="BY15" s="12">
        <f>IF('Données projet'!$A$114&gt;35,BY14+BX15-CG14,IF(A15&lt;'Données projet'!$A$114,$BV$205^A15,IF(A15='Données projet'!$A$114,'Données projet'!$B$114,BY14+BX15-CG14)))</f>
        <v>13.121809125710287</v>
      </c>
      <c r="BZ15" s="13">
        <f>BY15*VLOOKUP('Données projet'!$B$12,Paramètres!$A$1:$I$89,3,0)*VLOOKUP('Données projet'!$B$12,Paramètres!$A$1:$I$89,5,0)</f>
        <v>11.872612896942668</v>
      </c>
      <c r="CA15" s="13">
        <f t="shared" si="39"/>
        <v>4.1022411108131784</v>
      </c>
      <c r="CB15" s="20">
        <f t="shared" si="10"/>
        <v>27.822870730174767</v>
      </c>
      <c r="CC15" s="59">
        <f t="shared" si="11"/>
        <v>321.15620406350808</v>
      </c>
      <c r="CD15" s="59">
        <f ca="1">AVERAGE(OFFSET($CC$3,0,0,'Données projet'!$E$12+1,1))-AVERAGE(OFFSET($H$3,0,0,'Données projet'!$E$12+1,1))</f>
        <v>363.51171608224735</v>
      </c>
      <c r="CE15" s="59">
        <f t="shared" si="40"/>
        <v>257.9239334647138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1">
        <f t="shared" si="32"/>
        <v>2.6038492076799815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67">
        <f t="shared" si="1"/>
        <v>310.23072070337594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20.100000000000001</v>
      </c>
      <c r="N16" s="13">
        <f>IF('Données projet'!$A$36&gt;35,N15+M16-V15,IF(A16&lt;'Données projet'!$A$36,$K$205^A16,IF(A16='Données projet'!$A$36,'Données projet'!$B$36,N15+M16-V15)))</f>
        <v>87.300000000000011</v>
      </c>
      <c r="O16" s="13">
        <f>N16*VLOOKUP('Données projet'!$B$9,Paramètres!$A$1:$I$89,3,0)*VLOOKUP('Données projet'!$B$9,Paramètres!$A$1:$I$89,5,0)</f>
        <v>48.800700000000006</v>
      </c>
      <c r="P16" s="13">
        <f t="shared" si="33"/>
        <v>14.303598928763776</v>
      </c>
      <c r="Q16" s="20">
        <f t="shared" si="2"/>
        <v>109.90665396759691</v>
      </c>
      <c r="R16" s="59">
        <f t="shared" si="0"/>
        <v>403.23998730093024</v>
      </c>
      <c r="S16" s="59">
        <f ca="1">AVERAGE(OFFSET($R$3,0,0,'Données projet'!$E$9+1,1))-AVERAGE(OFFSET($H$3,0,0,'Données projet'!$E$9+1,1))</f>
        <v>446.28010102877403</v>
      </c>
      <c r="T16" s="59">
        <f t="shared" si="34"/>
        <v>445.84011537290456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7.9</v>
      </c>
      <c r="AI16" s="13">
        <f>IF('Données projet'!$A$62&gt;35,AI15+AH16-AQ15,IF(A16&lt;'Données projet'!$A$62,$AF$205^A16,IF(A16='Données projet'!$A$62,'Données projet'!$B$62,AI15+AH16-AQ15)))</f>
        <v>26.861304900499697</v>
      </c>
      <c r="AJ16" s="13">
        <f>AI16*VLOOKUP('Données projet'!$B$10,Paramètres!$A$1:$I$89,3,0)*VLOOKUP('Données projet'!$B$10,Paramètres!$A$1:$I$89,5,0)</f>
        <v>16.761454257911808</v>
      </c>
      <c r="AK16" s="13">
        <f t="shared" si="35"/>
        <v>5.5635741376681862</v>
      </c>
      <c r="AL16" s="20">
        <f t="shared" si="4"/>
        <v>38.88275778896849</v>
      </c>
      <c r="AM16" s="59">
        <f t="shared" si="5"/>
        <v>332.2160911223018</v>
      </c>
      <c r="AN16" s="59">
        <f ca="1">AVERAGE(OFFSET($AM$3,0,0,'Données projet'!$E$10+1,1))-AVERAGE(OFFSET($H$3,0,0,'Données projet'!$E$10+1,1))</f>
        <v>285.77483300338548</v>
      </c>
      <c r="AO16" s="59">
        <f t="shared" si="36"/>
        <v>320.55212417690637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7.8</v>
      </c>
      <c r="BD16" s="12">
        <f>IF('Données projet'!$A$88&gt;35,BD15+BC16-BL15,IF(A16&lt;'Données projet'!$A$88,$BA$205^A16,IF(A16='Données projet'!$A$88,'Données projet'!$B$88,BD15+BC16-BL15)))</f>
        <v>26.639801773563384</v>
      </c>
      <c r="BE16" s="13">
        <f>BD16*VLOOKUP('Données projet'!$B$11,Paramètres!$A$1:$I$89,3,0)*VLOOKUP('Données projet'!$B$11,Paramètres!$A$1:$I$89,5,0)</f>
        <v>12.813744653083988</v>
      </c>
      <c r="BF16" s="13">
        <f t="shared" si="37"/>
        <v>4.3882830884346733</v>
      </c>
      <c r="BG16" s="20">
        <f t="shared" si="7"/>
        <v>29.960198316478341</v>
      </c>
      <c r="BH16" s="59">
        <f t="shared" si="8"/>
        <v>323.29353164981165</v>
      </c>
      <c r="BI16" s="59">
        <f ca="1">AVERAGE(OFFSET($BH$3,0,0,'Données projet'!$E$11+1,1))-AVERAGE(OFFSET($H$3,0,0,'Données projet'!$E$11+1,1))</f>
        <v>402.22278907877927</v>
      </c>
      <c r="BJ16" s="59">
        <f t="shared" si="38"/>
        <v>393.06397734082458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3.65</v>
      </c>
      <c r="BY16" s="12">
        <f>IF('Données projet'!$A$114&gt;35,BY15+BX16-CG15,IF(A16&lt;'Données projet'!$A$114,$BV$205^A16,IF(A16='Données projet'!$A$114,'Données projet'!$B$114,BY15+BX16-CG15)))</f>
        <v>16.261472127148366</v>
      </c>
      <c r="BZ16" s="13">
        <f>BY16*VLOOKUP('Données projet'!$B$12,Paramètres!$A$1:$I$89,3,0)*VLOOKUP('Données projet'!$B$12,Paramètres!$A$1:$I$89,5,0)</f>
        <v>14.713379980643843</v>
      </c>
      <c r="CA16" s="13">
        <f t="shared" si="39"/>
        <v>4.9584140165447881</v>
      </c>
      <c r="CB16" s="20">
        <f t="shared" si="10"/>
        <v>34.261707878436859</v>
      </c>
      <c r="CC16" s="59">
        <f t="shared" si="11"/>
        <v>327.59504121177019</v>
      </c>
      <c r="CD16" s="59">
        <f ca="1">AVERAGE(OFFSET($CC$3,0,0,'Données projet'!$E$12+1,1))-AVERAGE(OFFSET($H$3,0,0,'Données projet'!$E$12+1,1))</f>
        <v>363.51171608224735</v>
      </c>
      <c r="CE16" s="59">
        <f t="shared" si="40"/>
        <v>257.9239334647138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1">
        <f t="shared" si="32"/>
        <v>2.7800603022041317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67">
        <f t="shared" si="1"/>
        <v>311.4885716930055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20.100000000000001</v>
      </c>
      <c r="N17" s="13">
        <f>IF('Données projet'!$A$36&gt;35,N16+M17-V16,IF(A17&lt;'Données projet'!$A$36,$K$205^A17,IF(A17='Données projet'!$A$36,'Données projet'!$B$36,N16+M17-V16)))</f>
        <v>107.4</v>
      </c>
      <c r="O17" s="13">
        <f>N17*VLOOKUP('Données projet'!$B$9,Paramètres!$A$1:$I$89,3,0)*VLOOKUP('Données projet'!$B$9,Paramètres!$A$1:$I$89,5,0)</f>
        <v>60.036600000000007</v>
      </c>
      <c r="P17" s="13">
        <f t="shared" si="33"/>
        <v>17.177522312374215</v>
      </c>
      <c r="Q17" s="20">
        <f t="shared" si="2"/>
        <v>134.48126302738513</v>
      </c>
      <c r="R17" s="59">
        <f t="shared" si="0"/>
        <v>427.81459636071844</v>
      </c>
      <c r="S17" s="59">
        <f ca="1">AVERAGE(OFFSET($R$3,0,0,'Données projet'!$E$9+1,1))-AVERAGE(OFFSET($H$3,0,0,'Données projet'!$E$9+1,1))</f>
        <v>446.28010102877403</v>
      </c>
      <c r="T17" s="59">
        <f t="shared" si="34"/>
        <v>445.84011537290456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7.9</v>
      </c>
      <c r="AI17" s="13">
        <f>IF('Données projet'!$A$62&gt;35,AI16+AH17-AQ16,IF(A17&lt;'Données projet'!$A$62,$AF$205^A17,IF(A17='Données projet'!$A$62,'Données projet'!$B$62,AI16+AH17-AQ16)))</f>
        <v>34.598714324397214</v>
      </c>
      <c r="AJ17" s="13">
        <f>AI17*VLOOKUP('Données projet'!$B$10,Paramètres!$A$1:$I$89,3,0)*VLOOKUP('Données projet'!$B$10,Paramètres!$A$1:$I$89,5,0)</f>
        <v>21.589597738423862</v>
      </c>
      <c r="AK17" s="13">
        <f t="shared" si="35"/>
        <v>6.9580981368855754</v>
      </c>
      <c r="AL17" s="20">
        <f t="shared" si="4"/>
        <v>49.720570316163929</v>
      </c>
      <c r="AM17" s="59">
        <f t="shared" si="5"/>
        <v>343.05390364949722</v>
      </c>
      <c r="AN17" s="59">
        <f ca="1">AVERAGE(OFFSET($AM$3,0,0,'Données projet'!$E$10+1,1))-AVERAGE(OFFSET($H$3,0,0,'Données projet'!$E$10+1,1))</f>
        <v>285.77483300338548</v>
      </c>
      <c r="AO17" s="59">
        <f t="shared" si="36"/>
        <v>320.55212417690637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7.8</v>
      </c>
      <c r="BD17" s="12">
        <f>IF('Données projet'!$A$88&gt;35,BD16+BC17-BL16,IF(A17&lt;'Données projet'!$A$88,$BA$205^A17,IF(A17='Données projet'!$A$88,'Données projet'!$B$88,BD16+BC17-BL16)))</f>
        <v>34.291558124987993</v>
      </c>
      <c r="BE17" s="13">
        <f>BD17*VLOOKUP('Données projet'!$B$11,Paramètres!$A$1:$I$89,3,0)*VLOOKUP('Données projet'!$B$11,Paramètres!$A$1:$I$89,5,0)</f>
        <v>16.494239458119225</v>
      </c>
      <c r="BF17" s="13">
        <f t="shared" si="37"/>
        <v>5.4851294433238058</v>
      </c>
      <c r="BG17" s="20">
        <f t="shared" si="7"/>
        <v>38.280734170013282</v>
      </c>
      <c r="BH17" s="59">
        <f t="shared" si="8"/>
        <v>331.61406750334658</v>
      </c>
      <c r="BI17" s="59">
        <f ca="1">AVERAGE(OFFSET($BH$3,0,0,'Données projet'!$E$11+1,1))-AVERAGE(OFFSET($H$3,0,0,'Données projet'!$E$11+1,1))</f>
        <v>402.22278907877927</v>
      </c>
      <c r="BJ17" s="59">
        <f t="shared" si="38"/>
        <v>393.06397734082458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3.65</v>
      </c>
      <c r="BY17" s="12">
        <f>IF('Données projet'!$A$114&gt;35,BY16+BX17-CG16,IF(A17&lt;'Données projet'!$A$114,$BV$205^A17,IF(A17='Données projet'!$A$114,'Données projet'!$B$114,BY16+BX17-CG16)))</f>
        <v>20.152364144963837</v>
      </c>
      <c r="BZ17" s="13">
        <f>BY17*VLOOKUP('Données projet'!$B$12,Paramètres!$A$1:$I$89,3,0)*VLOOKUP('Données projet'!$B$12,Paramètres!$A$1:$I$89,5,0)</f>
        <v>18.233859078363277</v>
      </c>
      <c r="CA17" s="13">
        <f t="shared" si="39"/>
        <v>5.9932775513027368</v>
      </c>
      <c r="CB17" s="20">
        <f t="shared" si="10"/>
        <v>42.195596296668306</v>
      </c>
      <c r="CC17" s="59">
        <f t="shared" si="11"/>
        <v>335.52892963000164</v>
      </c>
      <c r="CD17" s="59">
        <f ca="1">AVERAGE(OFFSET($CC$3,0,0,'Données projet'!$E$12+1,1))-AVERAGE(OFFSET($H$3,0,0,'Données projet'!$E$12+1,1))</f>
        <v>363.51171608224735</v>
      </c>
      <c r="CE17" s="59">
        <f t="shared" si="40"/>
        <v>257.9239334647138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1">
        <f t="shared" si="32"/>
        <v>2.9548110908066194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67">
        <f t="shared" si="1"/>
        <v>312.74387931648818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20.100000000000001</v>
      </c>
      <c r="N18" s="13">
        <f>IF('Données projet'!$A$36&gt;35,N17+M18-V17,IF(A18&lt;'Données projet'!$A$36,$K$205^A18,IF(A18='Données projet'!$A$36,'Données projet'!$B$36,N17+M18-V17)))</f>
        <v>127.5</v>
      </c>
      <c r="O18" s="13">
        <f>N18*VLOOKUP('Données projet'!$B$9,Paramètres!$A$1:$I$89,3,0)*VLOOKUP('Données projet'!$B$9,Paramètres!$A$1:$I$89,5,0)</f>
        <v>71.272499999999994</v>
      </c>
      <c r="P18" s="13">
        <f t="shared" si="33"/>
        <v>19.989132077392792</v>
      </c>
      <c r="Q18" s="20">
        <f t="shared" si="2"/>
        <v>158.94734253479243</v>
      </c>
      <c r="R18" s="59">
        <f t="shared" si="0"/>
        <v>452.28067586812574</v>
      </c>
      <c r="S18" s="59">
        <f ca="1">AVERAGE(OFFSET($R$3,0,0,'Données projet'!$E$9+1,1))-AVERAGE(OFFSET($H$3,0,0,'Données projet'!$E$9+1,1))</f>
        <v>446.28010102877403</v>
      </c>
      <c r="T18" s="59">
        <f t="shared" si="34"/>
        <v>445.84011537290456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7.9</v>
      </c>
      <c r="AI18" s="13">
        <f>IF('Données projet'!$A$62&gt;35,AI17+AH18-AQ17,IF(A18&lt;'Données projet'!$A$62,$AF$205^A18,IF(A18='Données projet'!$A$62,'Données projet'!$B$62,AI17+AH18-AQ17)))</f>
        <v>44.564887571004775</v>
      </c>
      <c r="AJ18" s="13">
        <f>AI18*VLOOKUP('Données projet'!$B$10,Paramètres!$A$1:$I$89,3,0)*VLOOKUP('Données projet'!$B$10,Paramètres!$A$1:$I$89,5,0)</f>
        <v>27.808489844306976</v>
      </c>
      <c r="AK18" s="13">
        <f t="shared" si="35"/>
        <v>8.7021631211375059</v>
      </c>
      <c r="AL18" s="20">
        <f t="shared" si="4"/>
        <v>63.589387248149137</v>
      </c>
      <c r="AM18" s="59">
        <f t="shared" si="5"/>
        <v>356.92272058148245</v>
      </c>
      <c r="AN18" s="59">
        <f ca="1">AVERAGE(OFFSET($AM$3,0,0,'Données projet'!$E$10+1,1))-AVERAGE(OFFSET($H$3,0,0,'Données projet'!$E$10+1,1))</f>
        <v>285.77483300338548</v>
      </c>
      <c r="AO18" s="59">
        <f t="shared" si="36"/>
        <v>320.55212417690637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7.8</v>
      </c>
      <c r="BD18" s="12">
        <f>IF('Données projet'!$A$88&gt;35,BD17+BC18-BL17,IF(A18&lt;'Données projet'!$A$88,$BA$205^A18,IF(A18='Données projet'!$A$88,'Données projet'!$B$88,BD17+BC18-BL17)))</f>
        <v>44.141130201891073</v>
      </c>
      <c r="BE18" s="13">
        <f>BD18*VLOOKUP('Données projet'!$B$11,Paramètres!$A$1:$I$89,3,0)*VLOOKUP('Données projet'!$B$11,Paramètres!$A$1:$I$89,5,0)</f>
        <v>21.231883627109607</v>
      </c>
      <c r="BF18" s="13">
        <f t="shared" si="37"/>
        <v>6.8561312941070591</v>
      </c>
      <c r="BG18" s="20">
        <f t="shared" si="7"/>
        <v>48.919959321119023</v>
      </c>
      <c r="BH18" s="59">
        <f t="shared" si="8"/>
        <v>342.25329265445237</v>
      </c>
      <c r="BI18" s="59">
        <f ca="1">AVERAGE(OFFSET($BH$3,0,0,'Données projet'!$E$11+1,1))-AVERAGE(OFFSET($H$3,0,0,'Données projet'!$E$11+1,1))</f>
        <v>402.22278907877927</v>
      </c>
      <c r="BJ18" s="59">
        <f t="shared" si="38"/>
        <v>393.06397734082458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3.65</v>
      </c>
      <c r="BY18" s="12">
        <f>IF('Données projet'!$A$114&gt;35,BY17+BX18-CG17,IF(A18&lt;'Données projet'!$A$114,$BV$205^A18,IF(A18='Données projet'!$A$114,'Données projet'!$B$114,BY17+BX18-CG17)))</f>
        <v>24.974232188561476</v>
      </c>
      <c r="BZ18" s="13">
        <f>BY18*VLOOKUP('Données projet'!$B$12,Paramètres!$A$1:$I$89,3,0)*VLOOKUP('Données projet'!$B$12,Paramètres!$A$1:$I$89,5,0)</f>
        <v>22.596685284210423</v>
      </c>
      <c r="CA18" s="13">
        <f t="shared" si="39"/>
        <v>7.2441259820371586</v>
      </c>
      <c r="CB18" s="20">
        <f t="shared" si="10"/>
        <v>51.972746288714539</v>
      </c>
      <c r="CC18" s="59">
        <f t="shared" si="11"/>
        <v>345.30607962204783</v>
      </c>
      <c r="CD18" s="59">
        <f ca="1">AVERAGE(OFFSET($CC$3,0,0,'Données projet'!$E$12+1,1))-AVERAGE(OFFSET($H$3,0,0,'Données projet'!$E$12+1,1))</f>
        <v>363.51171608224735</v>
      </c>
      <c r="CE18" s="59">
        <f t="shared" si="40"/>
        <v>257.9239334647138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1">
        <f t="shared" si="32"/>
        <v>3.1282100045396777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67">
        <f t="shared" si="1"/>
        <v>313.99683242457326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20.100000000000001</v>
      </c>
      <c r="N19" s="13">
        <f>IF('Données projet'!$A$36&gt;35,N18+M19-V18,IF(A19&lt;'Données projet'!$A$36,$K$205^A19,IF(A19='Données projet'!$A$36,'Données projet'!$B$36,N18+M19-V18)))</f>
        <v>147.6</v>
      </c>
      <c r="O19" s="13">
        <f>N19*VLOOKUP('Données projet'!$B$9,Paramètres!$A$1:$I$89,3,0)*VLOOKUP('Données projet'!$B$9,Paramètres!$A$1:$I$89,5,0)</f>
        <v>82.508399999999995</v>
      </c>
      <c r="P19" s="13">
        <f t="shared" si="33"/>
        <v>22.749394597897183</v>
      </c>
      <c r="Q19" s="20">
        <f t="shared" si="2"/>
        <v>183.32399225800421</v>
      </c>
      <c r="R19" s="59">
        <f t="shared" si="0"/>
        <v>476.65732559133755</v>
      </c>
      <c r="S19" s="59">
        <f ca="1">AVERAGE(OFFSET($R$3,0,0,'Données projet'!$E$9+1,1))-AVERAGE(OFFSET($H$3,0,0,'Données projet'!$E$9+1,1))</f>
        <v>446.28010102877403</v>
      </c>
      <c r="T19" s="59">
        <f t="shared" si="34"/>
        <v>445.84011537290456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7.9</v>
      </c>
      <c r="AI19" s="13">
        <f>IF('Données projet'!$A$62&gt;35,AI18+AH19-AQ18,IF(A19&lt;'Données projet'!$A$62,$AF$205^A19,IF(A19='Données projet'!$A$62,'Données projet'!$B$62,AI18+AH19-AQ18)))</f>
        <v>57.401820934596167</v>
      </c>
      <c r="AJ19" s="13">
        <f>AI19*VLOOKUP('Données projet'!$B$10,Paramètres!$A$1:$I$89,3,0)*VLOOKUP('Données projet'!$B$10,Paramètres!$A$1:$I$89,5,0)</f>
        <v>35.818736263188008</v>
      </c>
      <c r="AK19" s="13">
        <f t="shared" si="35"/>
        <v>10.883382426793592</v>
      </c>
      <c r="AL19" s="20">
        <f t="shared" si="4"/>
        <v>81.339523385051294</v>
      </c>
      <c r="AM19" s="59">
        <f t="shared" si="5"/>
        <v>374.67285671838459</v>
      </c>
      <c r="AN19" s="59">
        <f ca="1">AVERAGE(OFFSET($AM$3,0,0,'Données projet'!$E$10+1,1))-AVERAGE(OFFSET($H$3,0,0,'Données projet'!$E$10+1,1))</f>
        <v>285.77483300338548</v>
      </c>
      <c r="AO19" s="59">
        <f t="shared" si="36"/>
        <v>320.55212417690637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7.8</v>
      </c>
      <c r="BD19" s="12">
        <f>IF('Données projet'!$A$88&gt;35,BD18+BC19-BL18,IF(A19&lt;'Données projet'!$A$88,$BA$205^A19,IF(A19='Données projet'!$A$88,'Données projet'!$B$88,BD18+BC19-BL18)))</f>
        <v>56.819797117369461</v>
      </c>
      <c r="BE19" s="13">
        <f>BD19*VLOOKUP('Données projet'!$B$11,Paramètres!$A$1:$I$89,3,0)*VLOOKUP('Données projet'!$B$11,Paramètres!$A$1:$I$89,5,0)</f>
        <v>27.330322413454709</v>
      </c>
      <c r="BF19" s="13">
        <f t="shared" si="37"/>
        <v>8.5698134944195097</v>
      </c>
      <c r="BG19" s="20">
        <f t="shared" si="7"/>
        <v>62.526070039547591</v>
      </c>
      <c r="BH19" s="59">
        <f t="shared" si="8"/>
        <v>355.85940337288093</v>
      </c>
      <c r="BI19" s="59">
        <f ca="1">AVERAGE(OFFSET($BH$3,0,0,'Données projet'!$E$11+1,1))-AVERAGE(OFFSET($H$3,0,0,'Données projet'!$E$11+1,1))</f>
        <v>402.22278907877927</v>
      </c>
      <c r="BJ19" s="59">
        <f t="shared" si="38"/>
        <v>393.06397734082458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3.65</v>
      </c>
      <c r="BY19" s="12">
        <f>IF('Données projet'!$A$114&gt;35,BY18+BX19-CG18,IF(A19&lt;'Données projet'!$A$114,$BV$205^A19,IF(A19='Données projet'!$A$114,'Données projet'!$B$114,BY18+BX19-CG18)))</f>
        <v>30.949831440200953</v>
      </c>
      <c r="BZ19" s="13">
        <f>BY19*VLOOKUP('Données projet'!$B$12,Paramètres!$A$1:$I$89,3,0)*VLOOKUP('Données projet'!$B$12,Paramètres!$A$1:$I$89,5,0)</f>
        <v>28.003407487093821</v>
      </c>
      <c r="CA19" s="13">
        <f t="shared" si="39"/>
        <v>8.7560372090925433</v>
      </c>
      <c r="CB19" s="20">
        <f t="shared" si="10"/>
        <v>64.022699512524582</v>
      </c>
      <c r="CC19" s="59">
        <f t="shared" si="11"/>
        <v>357.3560328458579</v>
      </c>
      <c r="CD19" s="59">
        <f ca="1">AVERAGE(OFFSET($CC$3,0,0,'Données projet'!$E$12+1,1))-AVERAGE(OFFSET($H$3,0,0,'Données projet'!$E$12+1,1))</f>
        <v>363.51171608224735</v>
      </c>
      <c r="CE19" s="59">
        <f t="shared" si="40"/>
        <v>257.9239334647138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1">
        <f t="shared" si="32"/>
        <v>3.3003511545061563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67">
        <f t="shared" si="1"/>
        <v>315.24759492743152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20.100000000000001</v>
      </c>
      <c r="N20" s="13">
        <f>IF('Données projet'!$A$36&gt;35,N19+M20-V19,IF(A20&lt;'Données projet'!$A$36,$K$205^A20,IF(A20='Données projet'!$A$36,'Données projet'!$B$36,N19+M20-V19)))</f>
        <v>167.7</v>
      </c>
      <c r="O20" s="13">
        <f>N20*VLOOKUP('Données projet'!$B$9,Paramètres!$A$1:$I$89,3,0)*VLOOKUP('Données projet'!$B$9,Paramètres!$A$1:$I$89,5,0)</f>
        <v>93.744299999999996</v>
      </c>
      <c r="P20" s="13">
        <f t="shared" si="33"/>
        <v>25.466106585554108</v>
      </c>
      <c r="Q20" s="20">
        <f t="shared" si="2"/>
        <v>207.62479146984003</v>
      </c>
      <c r="R20" s="59">
        <f t="shared" si="0"/>
        <v>500.95812480317335</v>
      </c>
      <c r="S20" s="59">
        <f ca="1">AVERAGE(OFFSET($R$3,0,0,'Données projet'!$E$9+1,1))-AVERAGE(OFFSET($H$3,0,0,'Données projet'!$E$9+1,1))</f>
        <v>446.28010102877403</v>
      </c>
      <c r="T20" s="59">
        <f t="shared" si="34"/>
        <v>445.84011537290456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7.9</v>
      </c>
      <c r="AI20" s="13">
        <f>IF('Données projet'!$A$62&gt;35,AI19+AH20-AQ19,IF(A20&lt;'Données projet'!$A$62,$AF$205^A20,IF(A20='Données projet'!$A$62,'Données projet'!$B$62,AI19+AH20-AQ19)))</f>
        <v>73.936437994095741</v>
      </c>
      <c r="AJ20" s="13">
        <f>AI20*VLOOKUP('Données projet'!$B$10,Paramètres!$A$1:$I$89,3,0)*VLOOKUP('Données projet'!$B$10,Paramètres!$A$1:$I$89,5,0)</f>
        <v>46.136337308315738</v>
      </c>
      <c r="AK20" s="13">
        <f t="shared" si="35"/>
        <v>13.611329895681916</v>
      </c>
      <c r="AL20" s="20">
        <f t="shared" si="4"/>
        <v>104.0605203802959</v>
      </c>
      <c r="AM20" s="59">
        <f t="shared" si="5"/>
        <v>397.3938537136292</v>
      </c>
      <c r="AN20" s="59">
        <f ca="1">AVERAGE(OFFSET($AM$3,0,0,'Données projet'!$E$10+1,1))-AVERAGE(OFFSET($H$3,0,0,'Données projet'!$E$10+1,1))</f>
        <v>285.77483300338548</v>
      </c>
      <c r="AO20" s="59">
        <f t="shared" si="36"/>
        <v>320.55212417690637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7.8</v>
      </c>
      <c r="BD20" s="12">
        <f>IF('Données projet'!$A$88&gt;35,BD19+BC20-BL19,IF(A20&lt;'Données projet'!$A$88,$BA$205^A20,IF(A20='Données projet'!$A$88,'Données projet'!$B$88,BD19+BC20-BL19)))</f>
        <v>73.140160428441277</v>
      </c>
      <c r="BE20" s="13">
        <f>BD20*VLOOKUP('Données projet'!$B$11,Paramètres!$A$1:$I$89,3,0)*VLOOKUP('Données projet'!$B$11,Paramètres!$A$1:$I$89,5,0)</f>
        <v>35.180417166080254</v>
      </c>
      <c r="BF20" s="13">
        <f t="shared" si="37"/>
        <v>10.711828606937402</v>
      </c>
      <c r="BG20" s="20">
        <f t="shared" si="7"/>
        <v>79.928994721339095</v>
      </c>
      <c r="BH20" s="59">
        <f t="shared" si="8"/>
        <v>373.26232805467242</v>
      </c>
      <c r="BI20" s="59">
        <f ca="1">AVERAGE(OFFSET($BH$3,0,0,'Données projet'!$E$11+1,1))-AVERAGE(OFFSET($H$3,0,0,'Données projet'!$E$11+1,1))</f>
        <v>402.22278907877927</v>
      </c>
      <c r="BJ20" s="59">
        <f t="shared" si="38"/>
        <v>393.06397734082458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3.65</v>
      </c>
      <c r="BY20" s="12">
        <f>IF('Données projet'!$A$114&gt;35,BY19+BX20-CG19,IF(A20&lt;'Données projet'!$A$114,$BV$205^A20,IF(A20='Données projet'!$A$114,'Données projet'!$B$114,BY19+BX20-CG19)))</f>
        <v>38.355215845858055</v>
      </c>
      <c r="BZ20" s="13">
        <f>BY20*VLOOKUP('Données projet'!$B$12,Paramètres!$A$1:$I$89,3,0)*VLOOKUP('Données projet'!$B$12,Paramètres!$A$1:$I$89,5,0)</f>
        <v>34.703799297332367</v>
      </c>
      <c r="CA20" s="13">
        <f t="shared" si="39"/>
        <v>10.583497277259243</v>
      </c>
      <c r="CB20" s="20">
        <f t="shared" si="10"/>
        <v>78.875374867413711</v>
      </c>
      <c r="CC20" s="59">
        <f t="shared" si="11"/>
        <v>372.20870820074703</v>
      </c>
      <c r="CD20" s="59">
        <f ca="1">AVERAGE(OFFSET($CC$3,0,0,'Données projet'!$E$12+1,1))-AVERAGE(OFFSET($H$3,0,0,'Données projet'!$E$12+1,1))</f>
        <v>363.51171608224735</v>
      </c>
      <c r="CE20" s="59">
        <f t="shared" si="40"/>
        <v>257.9239334647138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1">
        <f t="shared" si="32"/>
        <v>3.4713169544550633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67">
        <f t="shared" si="1"/>
        <v>316.49631036234257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20.100000000000001</v>
      </c>
      <c r="N21" s="13">
        <f>IF('Données projet'!$A$36&gt;35,N20+M21-V20,IF(A21&lt;'Données projet'!$A$36,$K$205^A21,IF(A21='Données projet'!$A$36,'Données projet'!$B$36,N20+M21-V20)))</f>
        <v>187.79999999999998</v>
      </c>
      <c r="O21" s="13">
        <f>N21*VLOOKUP('Données projet'!$B$9,Paramètres!$A$1:$I$89,3,0)*VLOOKUP('Données projet'!$B$9,Paramètres!$A$1:$I$89,5,0)</f>
        <v>104.9802</v>
      </c>
      <c r="P21" s="13">
        <f t="shared" si="33"/>
        <v>28.145084690033578</v>
      </c>
      <c r="Q21" s="20">
        <f t="shared" si="2"/>
        <v>231.85987083514178</v>
      </c>
      <c r="R21" s="59">
        <f t="shared" si="0"/>
        <v>525.19320416847506</v>
      </c>
      <c r="S21" s="59">
        <f ca="1">AVERAGE(OFFSET($R$3,0,0,'Données projet'!$E$9+1,1))-AVERAGE(OFFSET($H$3,0,0,'Données projet'!$E$9+1,1))</f>
        <v>446.28010102877403</v>
      </c>
      <c r="T21" s="59">
        <f t="shared" si="34"/>
        <v>445.84011537290456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7.9</v>
      </c>
      <c r="AI21" s="13">
        <f>IF('Données projet'!$A$62&gt;35,AI20+AH21-AQ20,IF(A21&lt;'Données projet'!$A$62,$AF$205^A21,IF(A21='Données projet'!$A$62,'Données projet'!$B$62,AI20+AH21-AQ20)))</f>
        <v>95.233857990035276</v>
      </c>
      <c r="AJ21" s="13">
        <f>AI21*VLOOKUP('Données projet'!$B$10,Paramètres!$A$1:$I$89,3,0)*VLOOKUP('Données projet'!$B$10,Paramètres!$A$1:$I$89,5,0)</f>
        <v>59.425927385782011</v>
      </c>
      <c r="AK21" s="13">
        <f t="shared" si="35"/>
        <v>17.023044331601881</v>
      </c>
      <c r="AL21" s="20">
        <f t="shared" si="4"/>
        <v>133.14862574111029</v>
      </c>
      <c r="AM21" s="59">
        <f t="shared" si="5"/>
        <v>426.48195907444358</v>
      </c>
      <c r="AN21" s="59">
        <f ca="1">AVERAGE(OFFSET($AM$3,0,0,'Données projet'!$E$10+1,1))-AVERAGE(OFFSET($H$3,0,0,'Données projet'!$E$10+1,1))</f>
        <v>285.77483300338548</v>
      </c>
      <c r="AO21" s="59">
        <f t="shared" si="36"/>
        <v>320.55212417690637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7.8</v>
      </c>
      <c r="BD21" s="12">
        <f>IF('Données projet'!$A$88&gt;35,BD20+BC21-BL20,IF(A21&lt;'Données projet'!$A$88,$BA$205^A21,IF(A21='Données projet'!$A$88,'Données projet'!$B$88,BD20+BC21-BL20)))</f>
        <v>94.148225423051045</v>
      </c>
      <c r="BE21" s="13">
        <f>BD21*VLOOKUP('Données projet'!$B$11,Paramètres!$A$1:$I$89,3,0)*VLOOKUP('Données projet'!$B$11,Paramètres!$A$1:$I$89,5,0)</f>
        <v>45.285296428487548</v>
      </c>
      <c r="BF21" s="13">
        <f t="shared" si="37"/>
        <v>13.389237954725736</v>
      </c>
      <c r="BG21" s="20">
        <f t="shared" si="7"/>
        <v>102.1914807174298</v>
      </c>
      <c r="BH21" s="59">
        <f t="shared" si="8"/>
        <v>395.5248140507631</v>
      </c>
      <c r="BI21" s="59">
        <f ca="1">AVERAGE(OFFSET($BH$3,0,0,'Données projet'!$E$11+1,1))-AVERAGE(OFFSET($H$3,0,0,'Données projet'!$E$11+1,1))</f>
        <v>402.22278907877927</v>
      </c>
      <c r="BJ21" s="59">
        <f t="shared" si="38"/>
        <v>393.06397734082458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3.65</v>
      </c>
      <c r="BY21" s="12">
        <f>IF('Données projet'!$A$114&gt;35,BY20+BX21-CG20,IF(A21&lt;'Données projet'!$A$114,$BV$205^A21,IF(A21='Données projet'!$A$114,'Données projet'!$B$114,BY20+BX21-CG20)))</f>
        <v>47.532490941824946</v>
      </c>
      <c r="BZ21" s="13">
        <f>BY21*VLOOKUP('Données projet'!$B$12,Paramètres!$A$1:$I$89,3,0)*VLOOKUP('Données projet'!$B$12,Paramètres!$A$1:$I$89,5,0)</f>
        <v>43.007397804163212</v>
      </c>
      <c r="CA21" s="13">
        <f t="shared" si="39"/>
        <v>12.792363936215189</v>
      </c>
      <c r="CB21" s="20">
        <f t="shared" si="10"/>
        <v>97.184585031159045</v>
      </c>
      <c r="CC21" s="59">
        <f t="shared" si="11"/>
        <v>390.51791836449235</v>
      </c>
      <c r="CD21" s="59">
        <f ca="1">AVERAGE(OFFSET($CC$3,0,0,'Données projet'!$E$12+1,1))-AVERAGE(OFFSET($H$3,0,0,'Données projet'!$E$12+1,1))</f>
        <v>363.51171608224735</v>
      </c>
      <c r="CE21" s="59">
        <f t="shared" si="40"/>
        <v>257.9239334647138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1">
        <f t="shared" si="32"/>
        <v>3.6411801438697724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67">
        <f t="shared" si="1"/>
        <v>317.74310541723986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20.100000000000001</v>
      </c>
      <c r="N22" s="13">
        <f>IF('Données projet'!$A$36&gt;35,N21+M22-V21,IF(A22&lt;'Données projet'!$A$36,$K$205^A22,IF(A22='Données projet'!$A$36,'Données projet'!$B$36,N21+M22-V21)))</f>
        <v>207.89999999999998</v>
      </c>
      <c r="O22" s="13">
        <f>N22*VLOOKUP('Données projet'!$B$9,Paramètres!$A$1:$I$89,3,0)*VLOOKUP('Données projet'!$B$9,Paramètres!$A$1:$I$89,5,0)</f>
        <v>116.2161</v>
      </c>
      <c r="P22" s="13">
        <f t="shared" si="33"/>
        <v>30.790827813105789</v>
      </c>
      <c r="Q22" s="20">
        <f t="shared" si="2"/>
        <v>256.03706594115926</v>
      </c>
      <c r="R22" s="59">
        <f t="shared" si="0"/>
        <v>549.37039927449257</v>
      </c>
      <c r="S22" s="59">
        <f ca="1">AVERAGE(OFFSET($R$3,0,0,'Données projet'!$E$9+1,1))-AVERAGE(OFFSET($H$3,0,0,'Données projet'!$E$9+1,1))</f>
        <v>446.28010102877403</v>
      </c>
      <c r="T22" s="59">
        <f t="shared" si="34"/>
        <v>445.84011537290456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7.9</v>
      </c>
      <c r="AI22" s="13">
        <f>IF('Données projet'!$A$62&gt;35,AI21+AH22-AQ21,IF(A22&lt;'Données projet'!$A$62,$AF$205^A22,IF(A22='Données projet'!$A$62,'Données projet'!$B$62,AI21+AH22-AQ21)))</f>
        <v>122.66600817840934</v>
      </c>
      <c r="AJ22" s="13">
        <f>AI22*VLOOKUP('Données projet'!$B$10,Paramètres!$A$1:$I$89,3,0)*VLOOKUP('Données projet'!$B$10,Paramètres!$A$1:$I$89,5,0)</f>
        <v>76.543589103327434</v>
      </c>
      <c r="AK22" s="13">
        <f t="shared" si="35"/>
        <v>21.289913662853376</v>
      </c>
      <c r="AL22" s="20">
        <f t="shared" si="4"/>
        <v>170.39335065109825</v>
      </c>
      <c r="AM22" s="59">
        <f t="shared" si="5"/>
        <v>463.72668398443159</v>
      </c>
      <c r="AN22" s="59">
        <f ca="1">AVERAGE(OFFSET($AM$3,0,0,'Données projet'!$E$10+1,1))-AVERAGE(OFFSET($H$3,0,0,'Données projet'!$E$10+1,1))</f>
        <v>285.77483300338548</v>
      </c>
      <c r="AO22" s="59">
        <f t="shared" si="36"/>
        <v>320.55212417690637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7.8</v>
      </c>
      <c r="BD22" s="12">
        <f>IF('Données projet'!$A$88&gt;35,BD21+BC22-BL21,IF(A22&lt;'Données projet'!$A$88,$BA$205^A22,IF(A22='Données projet'!$A$88,'Données projet'!$B$88,BD21+BC22-BL21)))</f>
        <v>121.19044172704366</v>
      </c>
      <c r="BE22" s="13">
        <f>BD22*VLOOKUP('Données projet'!$B$11,Paramètres!$A$1:$I$89,3,0)*VLOOKUP('Données projet'!$B$11,Paramètres!$A$1:$I$89,5,0)</f>
        <v>58.292602470708005</v>
      </c>
      <c r="BF22" s="13">
        <f t="shared" si="37"/>
        <v>16.7358627164894</v>
      </c>
      <c r="BG22" s="20">
        <f t="shared" si="7"/>
        <v>130.67457686770217</v>
      </c>
      <c r="BH22" s="59">
        <f t="shared" si="8"/>
        <v>424.00791020103549</v>
      </c>
      <c r="BI22" s="59">
        <f ca="1">AVERAGE(OFFSET($BH$3,0,0,'Données projet'!$E$11+1,1))-AVERAGE(OFFSET($H$3,0,0,'Données projet'!$E$11+1,1))</f>
        <v>402.22278907877927</v>
      </c>
      <c r="BJ22" s="59">
        <f t="shared" si="38"/>
        <v>393.06397734082458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3.65</v>
      </c>
      <c r="BY22" s="12">
        <f>IF('Données projet'!$A$114&gt;35,BY21+BX22-CG21,IF(A22&lt;'Données projet'!$A$114,$BV$205^A22,IF(A22='Données projet'!$A$114,'Données projet'!$B$114,BY21+BX22-CG21)))</f>
        <v>58.90561805764559</v>
      </c>
      <c r="BZ22" s="13">
        <f>BY22*VLOOKUP('Données projet'!$B$12,Paramètres!$A$1:$I$89,3,0)*VLOOKUP('Données projet'!$B$12,Paramètres!$A$1:$I$89,5,0)</f>
        <v>53.297803218557732</v>
      </c>
      <c r="CA22" s="13">
        <f t="shared" si="39"/>
        <v>15.462240012873817</v>
      </c>
      <c r="CB22" s="20">
        <f t="shared" si="10"/>
        <v>119.75707529474329</v>
      </c>
      <c r="CC22" s="59">
        <f t="shared" si="11"/>
        <v>413.0904086280766</v>
      </c>
      <c r="CD22" s="59">
        <f ca="1">AVERAGE(OFFSET($CC$3,0,0,'Données projet'!$E$12+1,1))-AVERAGE(OFFSET($H$3,0,0,'Données projet'!$E$12+1,1))</f>
        <v>363.51171608224735</v>
      </c>
      <c r="CE22" s="59">
        <f t="shared" si="40"/>
        <v>257.9239334647138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1">
        <f t="shared" si="32"/>
        <v>3.810005372992582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67">
        <f t="shared" si="1"/>
        <v>318.98809269129538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228</v>
      </c>
      <c r="L23" s="12">
        <f>VLOOKUP(A23,'Données projet'!$A$35:$I$55,9,0)</f>
        <v>20.100000000000001</v>
      </c>
      <c r="M23" s="12">
        <f t="array" ref="M23">INDEX(L:L,MIN(IF(ISNUMBER(L23:L219),ROW(L23:L219),"")))</f>
        <v>20.100000000000001</v>
      </c>
      <c r="N23" s="13">
        <f>IF('Données projet'!$A$36&gt;35,N22+M23-V22,IF(A23&lt;'Données projet'!$A$36,$K$205^A23,IF(A23='Données projet'!$A$36,'Données projet'!$B$36,N22+M23-V22)))</f>
        <v>227.99999999999997</v>
      </c>
      <c r="O23" s="13">
        <f>N23*VLOOKUP('Données projet'!$B$9,Paramètres!$A$1:$I$89,3,0)*VLOOKUP('Données projet'!$B$9,Paramètres!$A$1:$I$89,5,0)</f>
        <v>127.452</v>
      </c>
      <c r="P23" s="13">
        <f t="shared" si="33"/>
        <v>33.406914773953936</v>
      </c>
      <c r="Q23" s="20">
        <f t="shared" si="2"/>
        <v>280.16260989796973</v>
      </c>
      <c r="R23" s="59">
        <f t="shared" si="0"/>
        <v>573.49594323130304</v>
      </c>
      <c r="S23" s="59">
        <f ca="1">AVERAGE(OFFSET($R$3,0,0,'Données projet'!$E$9+1,1))-AVERAGE(OFFSET($H$3,0,0,'Données projet'!$E$9+1,1))</f>
        <v>446.28010102877403</v>
      </c>
      <c r="T23" s="59">
        <f t="shared" si="34"/>
        <v>445.84011537290456</v>
      </c>
      <c r="U23" s="15">
        <f>IF(ISNA(VLOOKUP(A23,'Données projet'!$A$35:$I$55,3,0)),0,VLOOKUP(A23,'Données projet'!$A$35:$I$55,3,0))</f>
        <v>1</v>
      </c>
      <c r="V23" s="15">
        <f>IF(ISNA(VLOOKUP(A23,'Données projet'!$A$35:$I$55,4,0)),0,VLOOKUP(A23,'Données projet'!$A$35:$I$55,4,0))</f>
        <v>104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0.27500000000000002</v>
      </c>
      <c r="Y23" s="16">
        <f>IF(ISNA(VLOOKUP(A23,'Données projet'!$A$35:$I$55,7,0)),0%,VLOOKUP(A23,'Données projet'!$A$35:$I$55,7,0))</f>
        <v>0.5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21.124811351536597</v>
      </c>
      <c r="AB23" s="21">
        <f>EXP(-LN(2)/2)*AB22+(1-EXP(-LN(2)/2))/(LN(2)/2)*V23*Y23*VLOOKUP('Données projet'!$B$9,Paramètres!$A$1:$I$89,3,0)*0.475*44/12</f>
        <v>32.911728424499309</v>
      </c>
      <c r="AC23" s="22">
        <f t="shared" si="3"/>
        <v>54.036539776035909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158</v>
      </c>
      <c r="AG23" s="12">
        <f>VLOOKUP(A23,'Données projet'!$A$61:$I$81,9,0)</f>
        <v>7.9</v>
      </c>
      <c r="AH23" s="12">
        <f t="array" ref="AH23">INDEX(AG:AG,MIN(IF(ISNUMBER(AG23:AG219),ROW(AG23:AG219),"")))</f>
        <v>7.9</v>
      </c>
      <c r="AI23" s="13">
        <f>IF('Données projet'!$A$62&gt;35,AI22+AH23-AQ22,IF(A23&lt;'Données projet'!$A$62,$AF$205^A23,IF(A23='Données projet'!$A$62,'Données projet'!$B$62,AI22+AH23-AQ22)))</f>
        <v>158</v>
      </c>
      <c r="AJ23" s="13">
        <f>AI23*VLOOKUP('Données projet'!$B$10,Paramètres!$A$1:$I$89,3,0)*VLOOKUP('Données projet'!$B$10,Paramètres!$A$1:$I$89,5,0)</f>
        <v>98.592000000000013</v>
      </c>
      <c r="AK23" s="13">
        <f t="shared" si="35"/>
        <v>26.626284637602105</v>
      </c>
      <c r="AL23" s="20">
        <f t="shared" si="4"/>
        <v>218.08851241049035</v>
      </c>
      <c r="AM23" s="59">
        <f t="shared" si="5"/>
        <v>511.42184574382367</v>
      </c>
      <c r="AN23" s="59">
        <f ca="1">AVERAGE(OFFSET($AM$3,0,0,'Données projet'!$E$10+1,1))-AVERAGE(OFFSET($H$3,0,0,'Données projet'!$E$10+1,1))</f>
        <v>285.77483300338548</v>
      </c>
      <c r="AO23" s="59">
        <f t="shared" si="36"/>
        <v>320.55212417690637</v>
      </c>
      <c r="AP23" s="15">
        <f>IF(ISNA(VLOOKUP(A23,'Données projet'!$A$61:$I$81,3,0)),0,VLOOKUP(A23,'Données projet'!$A$61:$I$81,3,0))</f>
        <v>1</v>
      </c>
      <c r="AQ23" s="15">
        <f>IF(ISNA(VLOOKUP(A23,'Données projet'!$A$61:$I$81,4,0)),0,VLOOKUP(A23,'Données projet'!$A$61:$I$81,4,0))</f>
        <v>60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0.3</v>
      </c>
      <c r="AT23" s="16">
        <f>IF(ISNA(VLOOKUP(A23,'Données projet'!$A$61:$I$81,7,0)),0%,VLOOKUP(A23,'Données projet'!$A$61:$I$81,7,0))</f>
        <v>0.5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14.841305096542214</v>
      </c>
      <c r="AW23" s="21">
        <f>EXP(-LN(2)/2)*AW22+(1-EXP(-LN(2)/2))/(LN(2)/2)*AQ23*AT23*VLOOKUP('Données projet'!$B$10,Paramètres!$A$1:$I$89,3,0)*0.475*44/12</f>
        <v>21.195388609695438</v>
      </c>
      <c r="AX23" s="21">
        <f t="shared" si="6"/>
        <v>36.036693706237656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>
        <f>VLOOKUP(A23,'Données projet'!$A$87:$I$107,2,0)</f>
        <v>156</v>
      </c>
      <c r="BB23" s="12">
        <f>VLOOKUP(A23,'Données projet'!$A$87:$I$107,9,0)</f>
        <v>7.8</v>
      </c>
      <c r="BC23" s="12">
        <f t="array" ref="BC23">INDEX(BB:BB,MIN(IF(ISNUMBER(BB23:BB219),ROW(BB23:BB219),"")))</f>
        <v>7.8</v>
      </c>
      <c r="BD23" s="12">
        <f>IF('Données projet'!$A$88&gt;35,BD22+BC23-BL22,IF(A23&lt;'Données projet'!$A$88,$BA$205^A23,IF(A23='Données projet'!$A$88,'Données projet'!$B$88,BD22+BC23-BL22)))</f>
        <v>156</v>
      </c>
      <c r="BE23" s="13">
        <f>BD23*VLOOKUP('Données projet'!$B$11,Paramètres!$A$1:$I$89,3,0)*VLOOKUP('Données projet'!$B$11,Paramètres!$A$1:$I$89,5,0)</f>
        <v>75.036000000000001</v>
      </c>
      <c r="BF23" s="13">
        <f t="shared" si="37"/>
        <v>20.918972521981534</v>
      </c>
      <c r="BG23" s="20">
        <f t="shared" si="7"/>
        <v>167.12157714245117</v>
      </c>
      <c r="BH23" s="59">
        <f t="shared" si="8"/>
        <v>460.45491047578446</v>
      </c>
      <c r="BI23" s="59">
        <f ca="1">AVERAGE(OFFSET($BH$3,0,0,'Données projet'!$E$11+1,1))-AVERAGE(OFFSET($H$3,0,0,'Données projet'!$E$11+1,1))</f>
        <v>402.22278907877927</v>
      </c>
      <c r="BJ23" s="59">
        <f t="shared" si="38"/>
        <v>393.06397734082458</v>
      </c>
      <c r="BK23" s="15">
        <f>IF(ISNA(VLOOKUP(A23,'Données projet'!$A$87:$I$107,3,0)),0,VLOOKUP(A23,'Données projet'!$A$87:$I$107,3,0))</f>
        <v>2</v>
      </c>
      <c r="BL23" s="15">
        <f>IF(ISNA(VLOOKUP(A23,'Données projet'!$A$87:$I$107,4,0)),0,VLOOKUP(A23,'Données projet'!$A$87:$I$107,4,0))</f>
        <v>22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0.27500000000000002</v>
      </c>
      <c r="BO23" s="16">
        <f>IF(ISNA(VLOOKUP(A23,'Données projet'!$A$87:$I$107,7,0)),0%,VLOOKUP(A23,'Données projet'!$A$87:$I$107,7,0))</f>
        <v>0.5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3.8451691503020542</v>
      </c>
      <c r="BR23" s="21">
        <f>EXP(-LN(2)/2)*BR22+(1-EXP(-LN(2)/2))/(LN(2)/2)*BL23*BO23*VLOOKUP('Données projet'!$B$11,Paramètres!$A$1:$I$89,3,0)*0.475*44/12</f>
        <v>5.9906410862125314</v>
      </c>
      <c r="BS23" s="22">
        <f t="shared" si="9"/>
        <v>9.8358102365145861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>
        <f>VLOOKUP(A23,'Données projet'!$A$113:$I$133,2,0)</f>
        <v>73</v>
      </c>
      <c r="BW23" s="12">
        <f>VLOOKUP(A23,'Données projet'!$A$113:$I$133,9,0)</f>
        <v>3.65</v>
      </c>
      <c r="BX23" s="12">
        <f t="array" ref="BX23">INDEX(BW:BW,MIN(IF(ISNUMBER(BW23:BW219),ROW(BW23:BW219),"")))</f>
        <v>3.65</v>
      </c>
      <c r="BY23" s="12">
        <f>IF('Données projet'!$A$114&gt;35,BY22+BX23-CG22,IF(A23&lt;'Données projet'!$A$114,$BV$205^A23,IF(A23='Données projet'!$A$114,'Données projet'!$B$114,BY22+BX23-CG22)))</f>
        <v>73</v>
      </c>
      <c r="BZ23" s="13">
        <f>BY23*VLOOKUP('Données projet'!$B$12,Paramètres!$A$1:$I$89,3,0)*VLOOKUP('Données projet'!$B$12,Paramètres!$A$1:$I$89,5,0)</f>
        <v>66.050399999999996</v>
      </c>
      <c r="CA23" s="13">
        <f t="shared" si="39"/>
        <v>18.689342126897891</v>
      </c>
      <c r="CB23" s="20">
        <f t="shared" si="10"/>
        <v>147.58838420434714</v>
      </c>
      <c r="CC23" s="59">
        <f t="shared" si="11"/>
        <v>440.92171753768048</v>
      </c>
      <c r="CD23" s="59">
        <f ca="1">AVERAGE(OFFSET($CC$3,0,0,'Données projet'!$E$12+1,1))-AVERAGE(OFFSET($H$3,0,0,'Données projet'!$E$12+1,1))</f>
        <v>363.51171608224735</v>
      </c>
      <c r="CE23" s="59">
        <f t="shared" si="40"/>
        <v>257.9239334647138</v>
      </c>
      <c r="CF23" s="15">
        <f>IF(ISNA(VLOOKUP(A23,'Données projet'!$A$113:$I$133,3,0)),0,VLOOKUP(A23,'Données projet'!$A$113:$I$133,3,0))</f>
        <v>1</v>
      </c>
      <c r="CG23" s="15">
        <f>IF(ISNA(VLOOKUP(A23,'Données projet'!$A$113:$I$133,4,0)),0,VLOOKUP(A23,'Données projet'!$A$113:$I$133,4,0))</f>
        <v>6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0.1075</v>
      </c>
      <c r="CJ23" s="16">
        <f>IF(ISNA(VLOOKUP(A23,'Données projet'!$A$113:$I$133,7,0)),0%,VLOOKUP(A23,'Données projet'!$A$113:$I$133,7,0))</f>
        <v>0.25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0.64260789775653271</v>
      </c>
      <c r="CM23" s="21">
        <f>EXP(-LN(2)/2)*CM22+(1-EXP(-LN(2)/2))/(LN(2)/2)*CG23*CJ23*VLOOKUP('Données projet'!$B$12,Paramètres!$A$1:$I$89,3,0)*0.475*44/12</f>
        <v>1.2805547285024328</v>
      </c>
      <c r="CN23" s="22">
        <f t="shared" si="12"/>
        <v>1.9231626262589656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1">
        <f t="shared" si="32"/>
        <v>3.9778504618356041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67">
        <f t="shared" si="1"/>
        <v>320.23137288769698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27.5</v>
      </c>
      <c r="N24" s="13">
        <f>IF('Données projet'!$A$36&gt;35,N23+M24-V23,IF(A24&lt;'Données projet'!$A$36,$K$205^A24,IF(A24='Données projet'!$A$36,'Données projet'!$B$36,N23+M24-V23)))</f>
        <v>151.49999999999997</v>
      </c>
      <c r="O24" s="13">
        <f>N24*VLOOKUP('Données projet'!$B$9,Paramètres!$A$1:$I$89,3,0)*VLOOKUP('Données projet'!$B$9,Paramètres!$A$1:$I$89,5,0)</f>
        <v>84.688499999999976</v>
      </c>
      <c r="P24" s="13">
        <f t="shared" si="33"/>
        <v>23.279719368585155</v>
      </c>
      <c r="Q24" s="20">
        <f t="shared" si="2"/>
        <v>188.04464873361908</v>
      </c>
      <c r="R24" s="59">
        <f t="shared" si="0"/>
        <v>481.37798206695243</v>
      </c>
      <c r="S24" s="59">
        <f ca="1">AVERAGE(OFFSET($R$3,0,0,'Données projet'!$E$9+1,1))-AVERAGE(OFFSET($H$3,0,0,'Données projet'!$E$9+1,1))</f>
        <v>446.28010102877403</v>
      </c>
      <c r="T24" s="59">
        <f t="shared" si="34"/>
        <v>445.84011537290456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20.547152274223279</v>
      </c>
      <c r="AB24" s="21">
        <f>EXP(-LN(2)/2)*AB23+(1-EXP(-LN(2)/2))/(LN(2)/2)*V24*Y24*VLOOKUP('Données projet'!$B$9,Paramètres!$A$1:$I$89,3,0)*0.475*44/12</f>
        <v>23.272106349533512</v>
      </c>
      <c r="AC24" s="22">
        <f t="shared" si="3"/>
        <v>43.819258623756795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16.5</v>
      </c>
      <c r="AI24" s="13">
        <f>IF('Données projet'!$A$62&gt;35,AI23+AH24-AQ23,IF(A24&lt;'Données projet'!$A$62,$AF$205^A24,IF(A24='Données projet'!$A$62,'Données projet'!$B$62,AI23+AH24-AQ23)))</f>
        <v>114.5</v>
      </c>
      <c r="AJ24" s="13">
        <f>AI24*VLOOKUP('Données projet'!$B$10,Paramètres!$A$1:$I$89,3,0)*VLOOKUP('Données projet'!$B$10,Paramètres!$A$1:$I$89,5,0)</f>
        <v>71.448000000000008</v>
      </c>
      <c r="AK24" s="13">
        <f t="shared" si="35"/>
        <v>20.03261738899662</v>
      </c>
      <c r="AL24" s="20">
        <f t="shared" si="4"/>
        <v>159.32874195250244</v>
      </c>
      <c r="AM24" s="59">
        <f t="shared" si="5"/>
        <v>452.66207528583573</v>
      </c>
      <c r="AN24" s="59">
        <f ca="1">AVERAGE(OFFSET($AM$3,0,0,'Données projet'!$E$10+1,1))-AVERAGE(OFFSET($H$3,0,0,'Données projet'!$E$10+1,1))</f>
        <v>285.77483300338548</v>
      </c>
      <c r="AO24" s="59">
        <f t="shared" si="36"/>
        <v>320.55212417690637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14.435468828206952</v>
      </c>
      <c r="AW24" s="21">
        <f>EXP(-LN(2)/2)*AW23+(1-EXP(-LN(2)/2))/(LN(2)/2)*AQ24*AT24*VLOOKUP('Données projet'!$B$10,Paramètres!$A$1:$I$89,3,0)*0.475*44/12</f>
        <v>14.987403015799755</v>
      </c>
      <c r="AX24" s="21">
        <f t="shared" si="6"/>
        <v>29.422871844006707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27.8</v>
      </c>
      <c r="BD24" s="12">
        <f>IF('Données projet'!$A$88&gt;35,BD23+BC24-BL23,IF(A24&lt;'Données projet'!$A$88,$BA$205^A24,IF(A24='Données projet'!$A$88,'Données projet'!$B$88,BD23+BC24-BL23)))</f>
        <v>161.80000000000001</v>
      </c>
      <c r="BE24" s="13">
        <f>BD24*VLOOKUP('Données projet'!$B$11,Paramètres!$A$1:$I$89,3,0)*VLOOKUP('Données projet'!$B$11,Paramètres!$A$1:$I$89,5,0)</f>
        <v>77.825800000000015</v>
      </c>
      <c r="BF24" s="13">
        <f t="shared" si="37"/>
        <v>21.604731444152915</v>
      </c>
      <c r="BG24" s="20">
        <f t="shared" si="7"/>
        <v>173.17484226523302</v>
      </c>
      <c r="BH24" s="59">
        <f t="shared" si="8"/>
        <v>466.50817559856637</v>
      </c>
      <c r="BI24" s="59">
        <f ca="1">AVERAGE(OFFSET($BH$3,0,0,'Données projet'!$E$11+1,1))-AVERAGE(OFFSET($H$3,0,0,'Données projet'!$E$11+1,1))</f>
        <v>402.22278907877927</v>
      </c>
      <c r="BJ24" s="59">
        <f t="shared" si="38"/>
        <v>393.06397734082458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3.7400227976783871</v>
      </c>
      <c r="BR24" s="21">
        <f>EXP(-LN(2)/2)*BR23+(1-EXP(-LN(2)/2))/(LN(2)/2)*BL24*BO24*VLOOKUP('Données projet'!$B$11,Paramètres!$A$1:$I$89,3,0)*0.475*44/12</f>
        <v>4.236022935715626</v>
      </c>
      <c r="BS24" s="22">
        <f t="shared" si="9"/>
        <v>7.9760457333940131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8.1999999999999993</v>
      </c>
      <c r="BY24" s="12">
        <f>IF('Données projet'!$A$114&gt;35,BY23+BX24-CG23,IF(A24&lt;'Données projet'!$A$114,$BV$205^A24,IF(A24='Données projet'!$A$114,'Données projet'!$B$114,BY23+BX24-CG23)))</f>
        <v>75.2</v>
      </c>
      <c r="BZ24" s="13">
        <f>BY24*VLOOKUP('Données projet'!$B$12,Paramètres!$A$1:$I$89,3,0)*VLOOKUP('Données projet'!$B$12,Paramètres!$A$1:$I$89,5,0)</f>
        <v>68.040959999999998</v>
      </c>
      <c r="CA24" s="13">
        <f t="shared" si="39"/>
        <v>19.186158107165539</v>
      </c>
      <c r="CB24" s="20">
        <f t="shared" si="10"/>
        <v>151.92056403664665</v>
      </c>
      <c r="CC24" s="59">
        <f t="shared" si="11"/>
        <v>445.25389736998</v>
      </c>
      <c r="CD24" s="59">
        <f ca="1">AVERAGE(OFFSET($CC$3,0,0,'Données projet'!$E$12+1,1))-AVERAGE(OFFSET($H$3,0,0,'Données projet'!$E$12+1,1))</f>
        <v>363.51171608224735</v>
      </c>
      <c r="CE24" s="59">
        <f t="shared" si="40"/>
        <v>257.9239334647138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0.62503575099909969</v>
      </c>
      <c r="CM24" s="21">
        <f>EXP(-LN(2)/2)*CM23+(1-EXP(-LN(2)/2))/(LN(2)/2)*CG24*CJ24*VLOOKUP('Données projet'!$B$12,Paramètres!$A$1:$I$89,3,0)*0.475*44/12</f>
        <v>0.90548893220456861</v>
      </c>
      <c r="CN24" s="22">
        <f t="shared" si="12"/>
        <v>1.5305246832036683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1">
        <f t="shared" si="32"/>
        <v>4.1447674125853915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67">
        <f t="shared" si="1"/>
        <v>321.47303657691953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27.5</v>
      </c>
      <c r="N25" s="13">
        <f>IF('Données projet'!$A$36&gt;35,N24+M25-V24,IF(A25&lt;'Données projet'!$A$36,$K$205^A25,IF(A25='Données projet'!$A$36,'Données projet'!$B$36,N24+M25-V24)))</f>
        <v>178.99999999999997</v>
      </c>
      <c r="O25" s="13">
        <f>N25*VLOOKUP('Données projet'!$B$9,Paramètres!$A$1:$I$89,3,0)*VLOOKUP('Données projet'!$B$9,Paramètres!$A$1:$I$89,5,0)</f>
        <v>100.06099999999998</v>
      </c>
      <c r="P25" s="13">
        <f t="shared" si="33"/>
        <v>26.976529441369074</v>
      </c>
      <c r="Q25" s="20">
        <f t="shared" si="2"/>
        <v>221.25703044371778</v>
      </c>
      <c r="R25" s="59">
        <f t="shared" si="0"/>
        <v>514.59036377705115</v>
      </c>
      <c r="S25" s="59">
        <f ca="1">AVERAGE(OFFSET($R$3,0,0,'Données projet'!$E$9+1,1))-AVERAGE(OFFSET($H$3,0,0,'Données projet'!$E$9+1,1))</f>
        <v>446.28010102877403</v>
      </c>
      <c r="T25" s="59">
        <f t="shared" si="34"/>
        <v>445.84011537290456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19.985289314756866</v>
      </c>
      <c r="AB25" s="21">
        <f>EXP(-LN(2)/2)*AB24+(1-EXP(-LN(2)/2))/(LN(2)/2)*V25*Y25*VLOOKUP('Données projet'!$B$9,Paramètres!$A$1:$I$89,3,0)*0.475*44/12</f>
        <v>16.455864212249658</v>
      </c>
      <c r="AC25" s="22">
        <f t="shared" si="3"/>
        <v>36.44115352700652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16.5</v>
      </c>
      <c r="AI25" s="13">
        <f>IF('Données projet'!$A$62&gt;35,AI24+AH25-AQ24,IF(A25&lt;'Données projet'!$A$62,$AF$205^A25,IF(A25='Données projet'!$A$62,'Données projet'!$B$62,AI24+AH25-AQ24)))</f>
        <v>131</v>
      </c>
      <c r="AJ25" s="13">
        <f>AI25*VLOOKUP('Données projet'!$B$10,Paramètres!$A$1:$I$89,3,0)*VLOOKUP('Données projet'!$B$10,Paramètres!$A$1:$I$89,5,0)</f>
        <v>81.744</v>
      </c>
      <c r="AK25" s="13">
        <f t="shared" si="35"/>
        <v>22.563064513367394</v>
      </c>
      <c r="AL25" s="20">
        <f t="shared" si="4"/>
        <v>181.66813736078151</v>
      </c>
      <c r="AM25" s="59">
        <f t="shared" si="5"/>
        <v>475.0014706941148</v>
      </c>
      <c r="AN25" s="59">
        <f ca="1">AVERAGE(OFFSET($AM$3,0,0,'Données projet'!$E$10+1,1))-AVERAGE(OFFSET($H$3,0,0,'Données projet'!$E$10+1,1))</f>
        <v>285.77483300338548</v>
      </c>
      <c r="AO25" s="59">
        <f t="shared" si="36"/>
        <v>320.55212417690637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14.040730173971321</v>
      </c>
      <c r="AW25" s="21">
        <f>EXP(-LN(2)/2)*AW24+(1-EXP(-LN(2)/2))/(LN(2)/2)*AQ25*AT25*VLOOKUP('Données projet'!$B$10,Paramètres!$A$1:$I$89,3,0)*0.475*44/12</f>
        <v>10.597694304847721</v>
      </c>
      <c r="AX25" s="21">
        <f t="shared" si="6"/>
        <v>24.63842447881904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27.8</v>
      </c>
      <c r="BD25" s="12">
        <f>IF('Données projet'!$A$88&gt;35,BD24+BC25-BL24,IF(A25&lt;'Données projet'!$A$88,$BA$205^A25,IF(A25='Données projet'!$A$88,'Données projet'!$B$88,BD24+BC25-BL24)))</f>
        <v>189.60000000000002</v>
      </c>
      <c r="BE25" s="13">
        <f>BD25*VLOOKUP('Données projet'!$B$11,Paramètres!$A$1:$I$89,3,0)*VLOOKUP('Données projet'!$B$11,Paramètres!$A$1:$I$89,5,0)</f>
        <v>91.197600000000008</v>
      </c>
      <c r="BF25" s="13">
        <f t="shared" si="37"/>
        <v>24.853834690103852</v>
      </c>
      <c r="BG25" s="20">
        <f t="shared" si="7"/>
        <v>202.12291541859756</v>
      </c>
      <c r="BH25" s="59">
        <f t="shared" si="8"/>
        <v>495.45624875193084</v>
      </c>
      <c r="BI25" s="59">
        <f ca="1">AVERAGE(OFFSET($BH$3,0,0,'Données projet'!$E$11+1,1))-AVERAGE(OFFSET($H$3,0,0,'Données projet'!$E$11+1,1))</f>
        <v>402.22278907877927</v>
      </c>
      <c r="BJ25" s="59">
        <f t="shared" si="38"/>
        <v>393.06397734082458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3.6377516775966208</v>
      </c>
      <c r="BR25" s="21">
        <f>EXP(-LN(2)/2)*BR24+(1-EXP(-LN(2)/2))/(LN(2)/2)*BL25*BO25*VLOOKUP('Données projet'!$B$11,Paramètres!$A$1:$I$89,3,0)*0.475*44/12</f>
        <v>2.9953205431062662</v>
      </c>
      <c r="BS25" s="22">
        <f t="shared" si="9"/>
        <v>6.6330722207028874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8.1999999999999993</v>
      </c>
      <c r="BY25" s="12">
        <f>IF('Données projet'!$A$114&gt;35,BY24+BX25-CG24,IF(A25&lt;'Données projet'!$A$114,$BV$205^A25,IF(A25='Données projet'!$A$114,'Données projet'!$B$114,BY24+BX25-CG24)))</f>
        <v>83.4</v>
      </c>
      <c r="BZ25" s="13">
        <f>BY25*VLOOKUP('Données projet'!$B$12,Paramètres!$A$1:$I$89,3,0)*VLOOKUP('Données projet'!$B$12,Paramètres!$A$1:$I$89,5,0)</f>
        <v>75.460319999999996</v>
      </c>
      <c r="CA25" s="13">
        <f t="shared" si="39"/>
        <v>21.023463123249066</v>
      </c>
      <c r="CB25" s="20">
        <f t="shared" si="10"/>
        <v>168.04258893965877</v>
      </c>
      <c r="CC25" s="59">
        <f t="shared" si="11"/>
        <v>461.37592227299206</v>
      </c>
      <c r="CD25" s="59">
        <f ca="1">AVERAGE(OFFSET($CC$3,0,0,'Données projet'!$E$12+1,1))-AVERAGE(OFFSET($H$3,0,0,'Données projet'!$E$12+1,1))</f>
        <v>363.51171608224735</v>
      </c>
      <c r="CE25" s="59">
        <f t="shared" si="40"/>
        <v>257.9239334647138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0.60794411551882765</v>
      </c>
      <c r="CM25" s="21">
        <f>EXP(-LN(2)/2)*CM24+(1-EXP(-LN(2)/2))/(LN(2)/2)*CG25*CJ25*VLOOKUP('Données projet'!$B$12,Paramètres!$A$1:$I$89,3,0)*0.475*44/12</f>
        <v>0.64027736425121651</v>
      </c>
      <c r="CN25" s="22">
        <f t="shared" si="12"/>
        <v>1.2482214797700442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1">
        <f t="shared" si="32"/>
        <v>4.3108032327306516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67">
        <f t="shared" si="1"/>
        <v>322.71316563033918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27.5</v>
      </c>
      <c r="N26" s="13">
        <f>IF('Données projet'!$A$36&gt;35,N25+M26-V25,IF(A26&lt;'Données projet'!$A$36,$K$205^A26,IF(A26='Données projet'!$A$36,'Données projet'!$B$36,N25+M26-V25)))</f>
        <v>206.49999999999997</v>
      </c>
      <c r="O26" s="13">
        <f>N26*VLOOKUP('Données projet'!$B$9,Paramètres!$A$1:$I$89,3,0)*VLOOKUP('Données projet'!$B$9,Paramètres!$A$1:$I$89,5,0)</f>
        <v>115.43349999999998</v>
      </c>
      <c r="P26" s="13">
        <f t="shared" si="33"/>
        <v>30.60754521964256</v>
      </c>
      <c r="Q26" s="20">
        <f t="shared" si="2"/>
        <v>254.35482042421077</v>
      </c>
      <c r="R26" s="59">
        <f t="shared" si="0"/>
        <v>547.68815375754411</v>
      </c>
      <c r="S26" s="59">
        <f ca="1">AVERAGE(OFFSET($R$3,0,0,'Données projet'!$E$9+1,1))-AVERAGE(OFFSET($H$3,0,0,'Données projet'!$E$9+1,1))</f>
        <v>446.28010102877403</v>
      </c>
      <c r="T26" s="59">
        <f t="shared" si="34"/>
        <v>445.84011537290456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19.43879052746415</v>
      </c>
      <c r="AB26" s="21">
        <f>EXP(-LN(2)/2)*AB25+(1-EXP(-LN(2)/2))/(LN(2)/2)*V26*Y26*VLOOKUP('Données projet'!$B$9,Paramètres!$A$1:$I$89,3,0)*0.475*44/12</f>
        <v>11.636053174766758</v>
      </c>
      <c r="AC26" s="22">
        <f t="shared" si="3"/>
        <v>31.074843702230908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16.5</v>
      </c>
      <c r="AI26" s="13">
        <f>IF('Données projet'!$A$62&gt;35,AI25+AH26-AQ25,IF(A26&lt;'Données projet'!$A$62,$AF$205^A26,IF(A26='Données projet'!$A$62,'Données projet'!$B$62,AI25+AH26-AQ25)))</f>
        <v>147.5</v>
      </c>
      <c r="AJ26" s="13">
        <f>AI26*VLOOKUP('Données projet'!$B$10,Paramètres!$A$1:$I$89,3,0)*VLOOKUP('Données projet'!$B$10,Paramètres!$A$1:$I$89,5,0)</f>
        <v>92.04</v>
      </c>
      <c r="AK26" s="13">
        <f t="shared" si="35"/>
        <v>25.056580235859606</v>
      </c>
      <c r="AL26" s="20">
        <f t="shared" si="4"/>
        <v>203.94321057745549</v>
      </c>
      <c r="AM26" s="59">
        <f t="shared" si="5"/>
        <v>497.2765439107888</v>
      </c>
      <c r="AN26" s="59">
        <f ca="1">AVERAGE(OFFSET($AM$3,0,0,'Données projet'!$E$10+1,1))-AVERAGE(OFFSET($H$3,0,0,'Données projet'!$E$10+1,1))</f>
        <v>285.77483300338548</v>
      </c>
      <c r="AO26" s="59">
        <f t="shared" si="36"/>
        <v>320.55212417690637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13.656785668994166</v>
      </c>
      <c r="AW26" s="21">
        <f>EXP(-LN(2)/2)*AW25+(1-EXP(-LN(2)/2))/(LN(2)/2)*AQ26*AT26*VLOOKUP('Données projet'!$B$10,Paramètres!$A$1:$I$89,3,0)*0.475*44/12</f>
        <v>7.4937015078998792</v>
      </c>
      <c r="AX26" s="21">
        <f t="shared" si="6"/>
        <v>21.150487176894046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27.8</v>
      </c>
      <c r="BD26" s="12">
        <f>IF('Données projet'!$A$88&gt;35,BD25+BC26-BL25,IF(A26&lt;'Données projet'!$A$88,$BA$205^A26,IF(A26='Données projet'!$A$88,'Données projet'!$B$88,BD25+BC26-BL25)))</f>
        <v>217.40000000000003</v>
      </c>
      <c r="BE26" s="13">
        <f>BD26*VLOOKUP('Données projet'!$B$11,Paramètres!$A$1:$I$89,3,0)*VLOOKUP('Données projet'!$B$11,Paramètres!$A$1:$I$89,5,0)</f>
        <v>104.56940000000003</v>
      </c>
      <c r="BF26" s="13">
        <f t="shared" si="37"/>
        <v>28.047747154351427</v>
      </c>
      <c r="BG26" s="20">
        <f t="shared" si="7"/>
        <v>230.97486462716213</v>
      </c>
      <c r="BH26" s="59">
        <f t="shared" si="8"/>
        <v>524.30819796049548</v>
      </c>
      <c r="BI26" s="59">
        <f ca="1">AVERAGE(OFFSET($BH$3,0,0,'Données projet'!$E$11+1,1))-AVERAGE(OFFSET($H$3,0,0,'Données projet'!$E$11+1,1))</f>
        <v>402.22278907877927</v>
      </c>
      <c r="BJ26" s="59">
        <f t="shared" si="38"/>
        <v>393.06397734082458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3.5382771666716946</v>
      </c>
      <c r="BR26" s="21">
        <f>EXP(-LN(2)/2)*BR25+(1-EXP(-LN(2)/2))/(LN(2)/2)*BL26*BO26*VLOOKUP('Données projet'!$B$11,Paramètres!$A$1:$I$89,3,0)*0.475*44/12</f>
        <v>2.1180114678578135</v>
      </c>
      <c r="BS26" s="22">
        <f t="shared" si="9"/>
        <v>5.656288634529508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8.1999999999999993</v>
      </c>
      <c r="BY26" s="12">
        <f>IF('Données projet'!$A$114&gt;35,BY25+BX26-CG25,IF(A26&lt;'Données projet'!$A$114,$BV$205^A26,IF(A26='Données projet'!$A$114,'Données projet'!$B$114,BY25+BX26-CG25)))</f>
        <v>91.600000000000009</v>
      </c>
      <c r="BZ26" s="13">
        <f>BY26*VLOOKUP('Données projet'!$B$12,Paramètres!$A$1:$I$89,3,0)*VLOOKUP('Données projet'!$B$12,Paramètres!$A$1:$I$89,5,0)</f>
        <v>82.879680000000008</v>
      </c>
      <c r="CA26" s="13">
        <f t="shared" si="39"/>
        <v>22.83982519050506</v>
      </c>
      <c r="CB26" s="20">
        <f t="shared" si="10"/>
        <v>184.12813820679631</v>
      </c>
      <c r="CC26" s="59">
        <f t="shared" si="11"/>
        <v>477.46147154012965</v>
      </c>
      <c r="CD26" s="59">
        <f ca="1">AVERAGE(OFFSET($CC$3,0,0,'Données projet'!$E$12+1,1))-AVERAGE(OFFSET($H$3,0,0,'Données projet'!$E$12+1,1))</f>
        <v>363.51171608224735</v>
      </c>
      <c r="CE26" s="59">
        <f t="shared" si="40"/>
        <v>257.9239334647138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0.5913198517095738</v>
      </c>
      <c r="CM26" s="21">
        <f>EXP(-LN(2)/2)*CM25+(1-EXP(-LN(2)/2))/(LN(2)/2)*CG26*CJ26*VLOOKUP('Données projet'!$B$12,Paramètres!$A$1:$I$89,3,0)*0.475*44/12</f>
        <v>0.45274446610228436</v>
      </c>
      <c r="CN26" s="22">
        <f t="shared" si="12"/>
        <v>1.0440643178118583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1">
        <f t="shared" si="32"/>
        <v>4.4760006109979766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67">
        <f t="shared" si="1"/>
        <v>323.95183439748814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27.5</v>
      </c>
      <c r="N27" s="13">
        <f>IF('Données projet'!$A$36&gt;35,N26+M27-V26,IF(A27&lt;'Données projet'!$A$36,$K$205^A27,IF(A27='Données projet'!$A$36,'Données projet'!$B$36,N26+M27-V26)))</f>
        <v>233.99999999999997</v>
      </c>
      <c r="O27" s="13">
        <f>N27*VLOOKUP('Données projet'!$B$9,Paramètres!$A$1:$I$89,3,0)*VLOOKUP('Données projet'!$B$9,Paramètres!$A$1:$I$89,5,0)</f>
        <v>130.80599999999998</v>
      </c>
      <c r="P27" s="13">
        <f t="shared" si="33"/>
        <v>34.182535218254536</v>
      </c>
      <c r="Q27" s="20">
        <f t="shared" si="2"/>
        <v>287.35503217179325</v>
      </c>
      <c r="R27" s="59">
        <f t="shared" si="0"/>
        <v>580.68836550512651</v>
      </c>
      <c r="S27" s="59">
        <f ca="1">AVERAGE(OFFSET($R$3,0,0,'Données projet'!$E$9+1,1))-AVERAGE(OFFSET($H$3,0,0,'Données projet'!$E$9+1,1))</f>
        <v>446.28010102877403</v>
      </c>
      <c r="T27" s="59">
        <f t="shared" si="34"/>
        <v>445.84011537290456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18.907235778249078</v>
      </c>
      <c r="AB27" s="21">
        <f>EXP(-LN(2)/2)*AB26+(1-EXP(-LN(2)/2))/(LN(2)/2)*V27*Y27*VLOOKUP('Données projet'!$B$9,Paramètres!$A$1:$I$89,3,0)*0.475*44/12</f>
        <v>8.2279321061248307</v>
      </c>
      <c r="AC27" s="22">
        <f t="shared" si="3"/>
        <v>27.135167884373907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16.5</v>
      </c>
      <c r="AI27" s="13">
        <f>IF('Données projet'!$A$62&gt;35,AI26+AH27-AQ26,IF(A27&lt;'Données projet'!$A$62,$AF$205^A27,IF(A27='Données projet'!$A$62,'Données projet'!$B$62,AI26+AH27-AQ26)))</f>
        <v>164</v>
      </c>
      <c r="AJ27" s="13">
        <f>AI27*VLOOKUP('Données projet'!$B$10,Paramètres!$A$1:$I$89,3,0)*VLOOKUP('Données projet'!$B$10,Paramètres!$A$1:$I$89,5,0)</f>
        <v>102.336</v>
      </c>
      <c r="AK27" s="13">
        <f t="shared" si="35"/>
        <v>27.517767215282735</v>
      </c>
      <c r="AL27" s="20">
        <f t="shared" si="4"/>
        <v>226.16197789995076</v>
      </c>
      <c r="AM27" s="59">
        <f t="shared" si="5"/>
        <v>519.49531123328404</v>
      </c>
      <c r="AN27" s="59">
        <f ca="1">AVERAGE(OFFSET($AM$3,0,0,'Données projet'!$E$10+1,1))-AVERAGE(OFFSET($H$3,0,0,'Données projet'!$E$10+1,1))</f>
        <v>285.77483300338548</v>
      </c>
      <c r="AO27" s="59">
        <f t="shared" si="36"/>
        <v>320.55212417690637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13.283340146696375</v>
      </c>
      <c r="AW27" s="21">
        <f>EXP(-LN(2)/2)*AW26+(1-EXP(-LN(2)/2))/(LN(2)/2)*AQ27*AT27*VLOOKUP('Données projet'!$B$10,Paramètres!$A$1:$I$89,3,0)*0.475*44/12</f>
        <v>5.2988471524238614</v>
      </c>
      <c r="AX27" s="21">
        <f t="shared" si="6"/>
        <v>18.582187299120235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27.8</v>
      </c>
      <c r="BD27" s="12">
        <f>IF('Données projet'!$A$88&gt;35,BD26+BC27-BL26,IF(A27&lt;'Données projet'!$A$88,$BA$205^A27,IF(A27='Données projet'!$A$88,'Données projet'!$B$88,BD26+BC27-BL26)))</f>
        <v>245.20000000000005</v>
      </c>
      <c r="BE27" s="13">
        <f>BD27*VLOOKUP('Données projet'!$B$11,Paramètres!$A$1:$I$89,3,0)*VLOOKUP('Données projet'!$B$11,Paramètres!$A$1:$I$89,5,0)</f>
        <v>117.94120000000002</v>
      </c>
      <c r="BF27" s="13">
        <f t="shared" si="37"/>
        <v>31.194335444499696</v>
      </c>
      <c r="BG27" s="20">
        <f t="shared" si="7"/>
        <v>259.7443908991703</v>
      </c>
      <c r="BH27" s="59">
        <f t="shared" si="8"/>
        <v>553.07772423250367</v>
      </c>
      <c r="BI27" s="59">
        <f ca="1">AVERAGE(OFFSET($BH$3,0,0,'Données projet'!$E$11+1,1))-AVERAGE(OFFSET($H$3,0,0,'Données projet'!$E$11+1,1))</f>
        <v>402.22278907877927</v>
      </c>
      <c r="BJ27" s="59">
        <f t="shared" si="38"/>
        <v>393.06397734082458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3.4415227914791475</v>
      </c>
      <c r="BR27" s="21">
        <f>EXP(-LN(2)/2)*BR26+(1-EXP(-LN(2)/2))/(LN(2)/2)*BL27*BO27*VLOOKUP('Données projet'!$B$11,Paramètres!$A$1:$I$89,3,0)*0.475*44/12</f>
        <v>1.4976602715531333</v>
      </c>
      <c r="BS27" s="22">
        <f t="shared" si="9"/>
        <v>4.9391830630322806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8.1999999999999993</v>
      </c>
      <c r="BY27" s="12">
        <f>IF('Données projet'!$A$114&gt;35,BY26+BX27-CG26,IF(A27&lt;'Données projet'!$A$114,$BV$205^A27,IF(A27='Données projet'!$A$114,'Données projet'!$B$114,BY26+BX27-CG26)))</f>
        <v>99.800000000000011</v>
      </c>
      <c r="BZ27" s="13">
        <f>BY27*VLOOKUP('Données projet'!$B$12,Paramètres!$A$1:$I$89,3,0)*VLOOKUP('Données projet'!$B$12,Paramètres!$A$1:$I$89,5,0)</f>
        <v>90.299040000000005</v>
      </c>
      <c r="CA27" s="13">
        <f t="shared" si="39"/>
        <v>24.637332311507059</v>
      </c>
      <c r="CB27" s="20">
        <f t="shared" si="10"/>
        <v>200.18084844254145</v>
      </c>
      <c r="CC27" s="59">
        <f t="shared" si="11"/>
        <v>493.51418177587476</v>
      </c>
      <c r="CD27" s="59">
        <f ca="1">AVERAGE(OFFSET($CC$3,0,0,'Données projet'!$E$12+1,1))-AVERAGE(OFFSET($H$3,0,0,'Données projet'!$E$12+1,1))</f>
        <v>363.51171608224735</v>
      </c>
      <c r="CE27" s="59">
        <f t="shared" si="40"/>
        <v>257.9239334647138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0.57515017926841594</v>
      </c>
      <c r="CM27" s="21">
        <f>EXP(-LN(2)/2)*CM26+(1-EXP(-LN(2)/2))/(LN(2)/2)*CG27*CJ27*VLOOKUP('Données projet'!$B$12,Paramètres!$A$1:$I$89,3,0)*0.475*44/12</f>
        <v>0.32013868212560831</v>
      </c>
      <c r="CN27" s="22">
        <f t="shared" si="12"/>
        <v>0.89528886139402419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1">
        <f t="shared" si="32"/>
        <v>4.6403984774572109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67">
        <f t="shared" si="1"/>
        <v>325.18911068157126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27.5</v>
      </c>
      <c r="N28" s="13">
        <f>IF('Données projet'!$A$36&gt;35,N27+M28-V27,IF(A28&lt;'Données projet'!$A$36,$K$205^A28,IF(A28='Données projet'!$A$36,'Données projet'!$B$36,N27+M28-V27)))</f>
        <v>261.5</v>
      </c>
      <c r="O28" s="13">
        <f>N28*VLOOKUP('Données projet'!$B$9,Paramètres!$A$1:$I$89,3,0)*VLOOKUP('Données projet'!$B$9,Paramètres!$A$1:$I$89,5,0)</f>
        <v>146.17849999999999</v>
      </c>
      <c r="P28" s="13">
        <f t="shared" si="33"/>
        <v>37.708835970826762</v>
      </c>
      <c r="Q28" s="20">
        <f t="shared" si="2"/>
        <v>320.27044348252321</v>
      </c>
      <c r="R28" s="59">
        <f t="shared" si="0"/>
        <v>613.60377681585646</v>
      </c>
      <c r="S28" s="59">
        <f ca="1">AVERAGE(OFFSET($R$3,0,0,'Données projet'!$E$9+1,1))-AVERAGE(OFFSET($H$3,0,0,'Données projet'!$E$9+1,1))</f>
        <v>446.28010102877403</v>
      </c>
      <c r="T28" s="59">
        <f t="shared" si="34"/>
        <v>445.84011537290456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18.390216421604539</v>
      </c>
      <c r="AB28" s="21">
        <f>EXP(-LN(2)/2)*AB27+(1-EXP(-LN(2)/2))/(LN(2)/2)*V28*Y28*VLOOKUP('Données projet'!$B$9,Paramètres!$A$1:$I$89,3,0)*0.475*44/12</f>
        <v>5.8180265873833799</v>
      </c>
      <c r="AC28" s="22">
        <f t="shared" si="3"/>
        <v>24.208243008987917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16.5</v>
      </c>
      <c r="AI28" s="13">
        <f>IF('Données projet'!$A$62&gt;35,AI27+AH28-AQ27,IF(A28&lt;'Données projet'!$A$62,$AF$205^A28,IF(A28='Données projet'!$A$62,'Données projet'!$B$62,AI27+AH28-AQ27)))</f>
        <v>180.5</v>
      </c>
      <c r="AJ28" s="13">
        <f>AI28*VLOOKUP('Données projet'!$B$10,Paramètres!$A$1:$I$89,3,0)*VLOOKUP('Données projet'!$B$10,Paramètres!$A$1:$I$89,5,0)</f>
        <v>112.63200000000001</v>
      </c>
      <c r="AK28" s="13">
        <f t="shared" si="35"/>
        <v>29.950248336286034</v>
      </c>
      <c r="AL28" s="20">
        <f t="shared" si="4"/>
        <v>248.33074918569818</v>
      </c>
      <c r="AM28" s="59">
        <f t="shared" si="5"/>
        <v>541.66408251903147</v>
      </c>
      <c r="AN28" s="59">
        <f ca="1">AVERAGE(OFFSET($AM$3,0,0,'Données projet'!$E$10+1,1))-AVERAGE(OFFSET($H$3,0,0,'Données projet'!$E$10+1,1))</f>
        <v>285.77483300338548</v>
      </c>
      <c r="AO28" s="59">
        <f t="shared" si="36"/>
        <v>320.55212417690637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12.920106511844464</v>
      </c>
      <c r="AW28" s="21">
        <f>EXP(-LN(2)/2)*AW27+(1-EXP(-LN(2)/2))/(LN(2)/2)*AQ28*AT28*VLOOKUP('Données projet'!$B$10,Paramètres!$A$1:$I$89,3,0)*0.475*44/12</f>
        <v>3.74685075394994</v>
      </c>
      <c r="AX28" s="21">
        <f t="shared" si="6"/>
        <v>16.666957265794405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27.8</v>
      </c>
      <c r="BD28" s="12">
        <f>IF('Données projet'!$A$88&gt;35,BD27+BC28-BL27,IF(A28&lt;'Données projet'!$A$88,$BA$205^A28,IF(A28='Données projet'!$A$88,'Données projet'!$B$88,BD27+BC28-BL27)))</f>
        <v>273.00000000000006</v>
      </c>
      <c r="BE28" s="13">
        <f>BD28*VLOOKUP('Données projet'!$B$11,Paramètres!$A$1:$I$89,3,0)*VLOOKUP('Données projet'!$B$11,Paramètres!$A$1:$I$89,5,0)</f>
        <v>131.31300000000002</v>
      </c>
      <c r="BF28" s="13">
        <f t="shared" si="37"/>
        <v>34.299577406379022</v>
      </c>
      <c r="BG28" s="20">
        <f t="shared" si="7"/>
        <v>288.44190564944347</v>
      </c>
      <c r="BH28" s="59">
        <f t="shared" si="8"/>
        <v>581.77523898277673</v>
      </c>
      <c r="BI28" s="59">
        <f ca="1">AVERAGE(OFFSET($BH$3,0,0,'Données projet'!$E$11+1,1))-AVERAGE(OFFSET($H$3,0,0,'Données projet'!$E$11+1,1))</f>
        <v>402.22278907877927</v>
      </c>
      <c r="BJ28" s="59">
        <f t="shared" si="38"/>
        <v>393.06397734082458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3.3474141697643325</v>
      </c>
      <c r="BR28" s="21">
        <f>EXP(-LN(2)/2)*BR27+(1-EXP(-LN(2)/2))/(LN(2)/2)*BL28*BO28*VLOOKUP('Données projet'!$B$11,Paramètres!$A$1:$I$89,3,0)*0.475*44/12</f>
        <v>1.059005733928907</v>
      </c>
      <c r="BS28" s="22">
        <f t="shared" si="9"/>
        <v>4.406419903693239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8.1999999999999993</v>
      </c>
      <c r="BY28" s="12">
        <f>IF('Données projet'!$A$114&gt;35,BY27+BX28-CG27,IF(A28&lt;'Données projet'!$A$114,$BV$205^A28,IF(A28='Données projet'!$A$114,'Données projet'!$B$114,BY27+BX28-CG27)))</f>
        <v>108.00000000000001</v>
      </c>
      <c r="BZ28" s="13">
        <f>BY28*VLOOKUP('Données projet'!$B$12,Paramètres!$A$1:$I$89,3,0)*VLOOKUP('Données projet'!$B$12,Paramètres!$A$1:$I$89,5,0)</f>
        <v>97.718400000000003</v>
      </c>
      <c r="CA28" s="13">
        <f t="shared" si="39"/>
        <v>26.417709819192194</v>
      </c>
      <c r="CB28" s="20">
        <f t="shared" si="10"/>
        <v>216.20372460175975</v>
      </c>
      <c r="CC28" s="59">
        <f t="shared" si="11"/>
        <v>509.53705793509306</v>
      </c>
      <c r="CD28" s="59">
        <f ca="1">AVERAGE(OFFSET($CC$3,0,0,'Données projet'!$E$12+1,1))-AVERAGE(OFFSET($H$3,0,0,'Données projet'!$E$12+1,1))</f>
        <v>363.51171608224735</v>
      </c>
      <c r="CE28" s="59">
        <f t="shared" si="40"/>
        <v>257.9239334647138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0.55942266737048774</v>
      </c>
      <c r="CM28" s="21">
        <f>EXP(-LN(2)/2)*CM27+(1-EXP(-LN(2)/2))/(LN(2)/2)*CG28*CJ28*VLOOKUP('Données projet'!$B$12,Paramètres!$A$1:$I$89,3,0)*0.475*44/12</f>
        <v>0.22637223305114224</v>
      </c>
      <c r="CN28" s="22">
        <f t="shared" si="12"/>
        <v>0.78579490042163003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1">
        <f t="shared" si="32"/>
        <v>4.8040324714872957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67">
        <f t="shared" si="1"/>
        <v>326.42505655450702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27.5</v>
      </c>
      <c r="N29" s="13">
        <f>IF('Données projet'!$A$36&gt;35,N28+M29-V28,IF(A29&lt;'Données projet'!$A$36,$K$205^A29,IF(A29='Données projet'!$A$36,'Données projet'!$B$36,N28+M29-V28)))</f>
        <v>289</v>
      </c>
      <c r="O29" s="13">
        <f>N29*VLOOKUP('Données projet'!$B$9,Paramètres!$A$1:$I$89,3,0)*VLOOKUP('Données projet'!$B$9,Paramètres!$A$1:$I$89,5,0)</f>
        <v>161.55099999999999</v>
      </c>
      <c r="P29" s="13">
        <f t="shared" si="33"/>
        <v>41.192151127280063</v>
      </c>
      <c r="Q29" s="20">
        <f t="shared" si="2"/>
        <v>353.11098821334605</v>
      </c>
      <c r="R29" s="59">
        <f t="shared" si="0"/>
        <v>646.44432154667936</v>
      </c>
      <c r="S29" s="59">
        <f ca="1">AVERAGE(OFFSET($R$3,0,0,'Données projet'!$E$9+1,1))-AVERAGE(OFFSET($H$3,0,0,'Données projet'!$E$9+1,1))</f>
        <v>446.28010102877403</v>
      </c>
      <c r="T29" s="59">
        <f t="shared" si="34"/>
        <v>445.84011537290456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17.887334986456313</v>
      </c>
      <c r="AB29" s="21">
        <f>EXP(-LN(2)/2)*AB28+(1-EXP(-LN(2)/2))/(LN(2)/2)*V29*Y29*VLOOKUP('Données projet'!$B$9,Paramètres!$A$1:$I$89,3,0)*0.475*44/12</f>
        <v>4.1139660530624154</v>
      </c>
      <c r="AC29" s="22">
        <f t="shared" si="3"/>
        <v>22.001301039518729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16.5</v>
      </c>
      <c r="AI29" s="13">
        <f>IF('Données projet'!$A$62&gt;35,AI28+AH29-AQ28,IF(A29&lt;'Données projet'!$A$62,$AF$205^A29,IF(A29='Données projet'!$A$62,'Données projet'!$B$62,AI28+AH29-AQ28)))</f>
        <v>197</v>
      </c>
      <c r="AJ29" s="13">
        <f>AI29*VLOOKUP('Données projet'!$B$10,Paramètres!$A$1:$I$89,3,0)*VLOOKUP('Données projet'!$B$10,Paramètres!$A$1:$I$89,5,0)</f>
        <v>122.92800000000001</v>
      </c>
      <c r="AK29" s="13">
        <f t="shared" si="35"/>
        <v>32.356946120737945</v>
      </c>
      <c r="AL29" s="20">
        <f t="shared" si="4"/>
        <v>270.45461449361864</v>
      </c>
      <c r="AM29" s="59">
        <f t="shared" si="5"/>
        <v>563.78794782695195</v>
      </c>
      <c r="AN29" s="59">
        <f ca="1">AVERAGE(OFFSET($AM$3,0,0,'Données projet'!$E$10+1,1))-AVERAGE(OFFSET($H$3,0,0,'Données projet'!$E$10+1,1))</f>
        <v>285.77483300338548</v>
      </c>
      <c r="AO29" s="59">
        <f t="shared" si="36"/>
        <v>320.55212417690637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12.566805519839205</v>
      </c>
      <c r="AW29" s="21">
        <f>EXP(-LN(2)/2)*AW28+(1-EXP(-LN(2)/2))/(LN(2)/2)*AQ29*AT29*VLOOKUP('Données projet'!$B$10,Paramètres!$A$1:$I$89,3,0)*0.475*44/12</f>
        <v>2.6494235762119311</v>
      </c>
      <c r="AX29" s="21">
        <f t="shared" si="6"/>
        <v>15.216229096051137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27.8</v>
      </c>
      <c r="BD29" s="12">
        <f>IF('Données projet'!$A$88&gt;35,BD28+BC29-BL28,IF(A29&lt;'Données projet'!$A$88,$BA$205^A29,IF(A29='Données projet'!$A$88,'Données projet'!$B$88,BD28+BC29-BL28)))</f>
        <v>300.80000000000007</v>
      </c>
      <c r="BE29" s="13">
        <f>BD29*VLOOKUP('Données projet'!$B$11,Paramètres!$A$1:$I$89,3,0)*VLOOKUP('Données projet'!$B$11,Paramètres!$A$1:$I$89,5,0)</f>
        <v>144.68480000000002</v>
      </c>
      <c r="BF29" s="13">
        <f t="shared" si="37"/>
        <v>37.36816282450549</v>
      </c>
      <c r="BG29" s="20">
        <f t="shared" si="7"/>
        <v>317.07557691934716</v>
      </c>
      <c r="BH29" s="59">
        <f t="shared" si="8"/>
        <v>610.40891025268047</v>
      </c>
      <c r="BI29" s="59">
        <f ca="1">AVERAGE(OFFSET($BH$3,0,0,'Données projet'!$E$11+1,1))-AVERAGE(OFFSET($H$3,0,0,'Données projet'!$E$11+1,1))</f>
        <v>402.22278907877927</v>
      </c>
      <c r="BJ29" s="59">
        <f t="shared" si="38"/>
        <v>393.06397734082458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3.2558789532592662</v>
      </c>
      <c r="BR29" s="21">
        <f>EXP(-LN(2)/2)*BR28+(1-EXP(-LN(2)/2))/(LN(2)/2)*BL29*BO29*VLOOKUP('Données projet'!$B$11,Paramètres!$A$1:$I$89,3,0)*0.475*44/12</f>
        <v>0.74883013577656687</v>
      </c>
      <c r="BS29" s="22">
        <f t="shared" si="9"/>
        <v>4.004709089035833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8.1999999999999993</v>
      </c>
      <c r="BY29" s="12">
        <f>IF('Données projet'!$A$114&gt;35,BY28+BX29-CG28,IF(A29&lt;'Données projet'!$A$114,$BV$205^A29,IF(A29='Données projet'!$A$114,'Données projet'!$B$114,BY28+BX29-CG28)))</f>
        <v>116.20000000000002</v>
      </c>
      <c r="BZ29" s="13">
        <f>BY29*VLOOKUP('Données projet'!$B$12,Paramètres!$A$1:$I$89,3,0)*VLOOKUP('Données projet'!$B$12,Paramètres!$A$1:$I$89,5,0)</f>
        <v>105.13776</v>
      </c>
      <c r="CA29" s="13">
        <f t="shared" si="39"/>
        <v>28.182406176030653</v>
      </c>
      <c r="CB29" s="20">
        <f t="shared" si="10"/>
        <v>232.19928942325339</v>
      </c>
      <c r="CC29" s="59">
        <f t="shared" si="11"/>
        <v>525.53262275658676</v>
      </c>
      <c r="CD29" s="59">
        <f ca="1">AVERAGE(OFFSET($CC$3,0,0,'Données projet'!$E$12+1,1))-AVERAGE(OFFSET($H$3,0,0,'Données projet'!$E$12+1,1))</f>
        <v>363.51171608224735</v>
      </c>
      <c r="CE29" s="59">
        <f t="shared" si="40"/>
        <v>257.9239334647138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0.54412522511248229</v>
      </c>
      <c r="CM29" s="21">
        <f>EXP(-LN(2)/2)*CM28+(1-EXP(-LN(2)/2))/(LN(2)/2)*CG29*CJ29*VLOOKUP('Données projet'!$B$12,Paramètres!$A$1:$I$89,3,0)*0.475*44/12</f>
        <v>0.16006934106280418</v>
      </c>
      <c r="CN29" s="22">
        <f t="shared" si="12"/>
        <v>0.70419456617528642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1">
        <f t="shared" si="32"/>
        <v>4.9669353357224146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67">
        <f t="shared" si="1"/>
        <v>327.65972904304982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27.5</v>
      </c>
      <c r="N30" s="13">
        <f>IF('Données projet'!$A$36&gt;35,N29+M30-V29,IF(A30&lt;'Données projet'!$A$36,$K$205^A30,IF(A30='Données projet'!$A$36,'Données projet'!$B$36,N29+M30-V29)))</f>
        <v>316.5</v>
      </c>
      <c r="O30" s="13">
        <f>N30*VLOOKUP('Données projet'!$B$9,Paramètres!$A$1:$I$89,3,0)*VLOOKUP('Données projet'!$B$9,Paramètres!$A$1:$I$89,5,0)</f>
        <v>176.92350000000002</v>
      </c>
      <c r="P30" s="13">
        <f t="shared" si="33"/>
        <v>44.637036366733298</v>
      </c>
      <c r="Q30" s="20">
        <f t="shared" si="2"/>
        <v>385.88460083872718</v>
      </c>
      <c r="R30" s="59">
        <f t="shared" si="0"/>
        <v>679.2179341720605</v>
      </c>
      <c r="S30" s="59">
        <f ca="1">AVERAGE(OFFSET($R$3,0,0,'Données projet'!$E$9+1,1))-AVERAGE(OFFSET($H$3,0,0,'Données projet'!$E$9+1,1))</f>
        <v>446.28010102877403</v>
      </c>
      <c r="T30" s="59">
        <f t="shared" si="34"/>
        <v>445.84011537290456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17.398204870597599</v>
      </c>
      <c r="AB30" s="21">
        <f>EXP(-LN(2)/2)*AB29+(1-EXP(-LN(2)/2))/(LN(2)/2)*V30*Y30*VLOOKUP('Données projet'!$B$9,Paramètres!$A$1:$I$89,3,0)*0.475*44/12</f>
        <v>2.9090132936916899</v>
      </c>
      <c r="AC30" s="22">
        <f t="shared" si="3"/>
        <v>20.307218164289289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16.5</v>
      </c>
      <c r="AI30" s="13">
        <f>IF('Données projet'!$A$62&gt;35,AI29+AH30-AQ29,IF(A30&lt;'Données projet'!$A$62,$AF$205^A30,IF(A30='Données projet'!$A$62,'Données projet'!$B$62,AI29+AH30-AQ29)))</f>
        <v>213.5</v>
      </c>
      <c r="AJ30" s="13">
        <f>AI30*VLOOKUP('Données projet'!$B$10,Paramètres!$A$1:$I$89,3,0)*VLOOKUP('Données projet'!$B$10,Paramètres!$A$1:$I$89,5,0)</f>
        <v>133.22399999999999</v>
      </c>
      <c r="AK30" s="13">
        <f t="shared" si="35"/>
        <v>34.740265606230608</v>
      </c>
      <c r="AL30" s="20">
        <f t="shared" si="4"/>
        <v>292.53776259751828</v>
      </c>
      <c r="AM30" s="59">
        <f t="shared" si="5"/>
        <v>585.87109593085165</v>
      </c>
      <c r="AN30" s="59">
        <f ca="1">AVERAGE(OFFSET($AM$3,0,0,'Données projet'!$E$10+1,1))-AVERAGE(OFFSET($H$3,0,0,'Données projet'!$E$10+1,1))</f>
        <v>285.77483300338548</v>
      </c>
      <c r="AO30" s="59">
        <f t="shared" si="36"/>
        <v>320.55212417690637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12.223165562039622</v>
      </c>
      <c r="AW30" s="21">
        <f>EXP(-LN(2)/2)*AW29+(1-EXP(-LN(2)/2))/(LN(2)/2)*AQ30*AT30*VLOOKUP('Données projet'!$B$10,Paramètres!$A$1:$I$89,3,0)*0.475*44/12</f>
        <v>1.8734253769749702</v>
      </c>
      <c r="AX30" s="21">
        <f t="shared" si="6"/>
        <v>14.096590939014591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27.8</v>
      </c>
      <c r="BD30" s="12">
        <f>IF('Données projet'!$A$88&gt;35,BD29+BC30-BL29,IF(A30&lt;'Données projet'!$A$88,$BA$205^A30,IF(A30='Données projet'!$A$88,'Données projet'!$B$88,BD29+BC30-BL29)))</f>
        <v>328.60000000000008</v>
      </c>
      <c r="BE30" s="13">
        <f>BD30*VLOOKUP('Données projet'!$B$11,Paramètres!$A$1:$I$89,3,0)*VLOOKUP('Données projet'!$B$11,Paramètres!$A$1:$I$89,5,0)</f>
        <v>158.05660000000003</v>
      </c>
      <c r="BF30" s="13">
        <f t="shared" si="37"/>
        <v>40.403864835143331</v>
      </c>
      <c r="BG30" s="20">
        <f t="shared" si="7"/>
        <v>345.65197625454135</v>
      </c>
      <c r="BH30" s="59">
        <f t="shared" si="8"/>
        <v>638.98530958787467</v>
      </c>
      <c r="BI30" s="59">
        <f ca="1">AVERAGE(OFFSET($BH$3,0,0,'Données projet'!$E$11+1,1))-AVERAGE(OFFSET($H$3,0,0,'Données projet'!$E$11+1,1))</f>
        <v>402.22278907877927</v>
      </c>
      <c r="BJ30" s="59">
        <f t="shared" si="38"/>
        <v>393.06397734082458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3.1668467720631588</v>
      </c>
      <c r="BR30" s="21">
        <f>EXP(-LN(2)/2)*BR29+(1-EXP(-LN(2)/2))/(LN(2)/2)*BL30*BO30*VLOOKUP('Données projet'!$B$11,Paramètres!$A$1:$I$89,3,0)*0.475*44/12</f>
        <v>0.52950286696445359</v>
      </c>
      <c r="BS30" s="22">
        <f t="shared" si="9"/>
        <v>3.6963496390276123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8.1999999999999993</v>
      </c>
      <c r="BY30" s="12">
        <f>IF('Données projet'!$A$114&gt;35,BY29+BX30-CG29,IF(A30&lt;'Données projet'!$A$114,$BV$205^A30,IF(A30='Données projet'!$A$114,'Données projet'!$B$114,BY29+BX30-CG29)))</f>
        <v>124.40000000000002</v>
      </c>
      <c r="BZ30" s="13">
        <f>BY30*VLOOKUP('Données projet'!$B$12,Paramètres!$A$1:$I$89,3,0)*VLOOKUP('Données projet'!$B$12,Paramètres!$A$1:$I$89,5,0)</f>
        <v>112.55712000000001</v>
      </c>
      <c r="CA30" s="13">
        <f t="shared" si="39"/>
        <v>29.932653834140599</v>
      </c>
      <c r="CB30" s="20">
        <f t="shared" si="10"/>
        <v>248.16968942779488</v>
      </c>
      <c r="CC30" s="59">
        <f t="shared" si="11"/>
        <v>541.50302276112825</v>
      </c>
      <c r="CD30" s="59">
        <f ca="1">AVERAGE(OFFSET($CC$3,0,0,'Données projet'!$E$12+1,1))-AVERAGE(OFFSET($H$3,0,0,'Données projet'!$E$12+1,1))</f>
        <v>363.51171608224735</v>
      </c>
      <c r="CE30" s="59">
        <f t="shared" si="40"/>
        <v>257.9239334647138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0.52924609221747954</v>
      </c>
      <c r="CM30" s="21">
        <f>EXP(-LN(2)/2)*CM29+(1-EXP(-LN(2)/2))/(LN(2)/2)*CG30*CJ30*VLOOKUP('Données projet'!$B$12,Paramètres!$A$1:$I$89,3,0)*0.475*44/12</f>
        <v>0.11318611652557113</v>
      </c>
      <c r="CN30" s="22">
        <f t="shared" si="12"/>
        <v>0.64243220874305063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1">
        <f t="shared" si="32"/>
        <v>5.1291372499950274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67">
        <f t="shared" si="1"/>
        <v>328.89318071040799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27.5</v>
      </c>
      <c r="N31" s="13">
        <f>IF('Données projet'!$A$36&gt;35,N30+M31-V30,IF(A31&lt;'Données projet'!$A$36,$K$205^A31,IF(A31='Données projet'!$A$36,'Données projet'!$B$36,N30+M31-V30)))</f>
        <v>344</v>
      </c>
      <c r="O31" s="13">
        <f>N31*VLOOKUP('Données projet'!$B$9,Paramètres!$A$1:$I$89,3,0)*VLOOKUP('Données projet'!$B$9,Paramètres!$A$1:$I$89,5,0)</f>
        <v>192.29599999999999</v>
      </c>
      <c r="P31" s="13">
        <f t="shared" si="33"/>
        <v>48.047210442610933</v>
      </c>
      <c r="Q31" s="20">
        <f t="shared" si="2"/>
        <v>418.59775818754741</v>
      </c>
      <c r="R31" s="59">
        <f t="shared" si="0"/>
        <v>711.93109152088073</v>
      </c>
      <c r="S31" s="59">
        <f ca="1">AVERAGE(OFFSET($R$3,0,0,'Données projet'!$E$9+1,1))-AVERAGE(OFFSET($H$3,0,0,'Données projet'!$E$9+1,1))</f>
        <v>446.28010102877403</v>
      </c>
      <c r="T31" s="59">
        <f t="shared" si="34"/>
        <v>445.84011537290456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16.922450043479277</v>
      </c>
      <c r="AB31" s="21">
        <f>EXP(-LN(2)/2)*AB30+(1-EXP(-LN(2)/2))/(LN(2)/2)*V31*Y31*VLOOKUP('Données projet'!$B$9,Paramètres!$A$1:$I$89,3,0)*0.475*44/12</f>
        <v>2.0569830265312077</v>
      </c>
      <c r="AC31" s="22">
        <f t="shared" si="3"/>
        <v>18.979433070010483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16.5</v>
      </c>
      <c r="AI31" s="13">
        <f>IF('Données projet'!$A$62&gt;35,AI30+AH31-AQ30,IF(A31&lt;'Données projet'!$A$62,$AF$205^A31,IF(A31='Données projet'!$A$62,'Données projet'!$B$62,AI30+AH31-AQ30)))</f>
        <v>230</v>
      </c>
      <c r="AJ31" s="13">
        <f>AI31*VLOOKUP('Données projet'!$B$10,Paramètres!$A$1:$I$89,3,0)*VLOOKUP('Données projet'!$B$10,Paramètres!$A$1:$I$89,5,0)</f>
        <v>143.51999999999998</v>
      </c>
      <c r="AK31" s="13">
        <f t="shared" si="35"/>
        <v>37.102218970378601</v>
      </c>
      <c r="AL31" s="20">
        <f t="shared" si="4"/>
        <v>314.583698040076</v>
      </c>
      <c r="AM31" s="59">
        <f t="shared" si="5"/>
        <v>607.91703137340937</v>
      </c>
      <c r="AN31" s="59">
        <f ca="1">AVERAGE(OFFSET($AM$3,0,0,'Données projet'!$E$10+1,1))-AVERAGE(OFFSET($H$3,0,0,'Données projet'!$E$10+1,1))</f>
        <v>285.77483300338548</v>
      </c>
      <c r="AO31" s="59">
        <f t="shared" si="36"/>
        <v>320.55212417690637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11.888922456957308</v>
      </c>
      <c r="AW31" s="21">
        <f>EXP(-LN(2)/2)*AW30+(1-EXP(-LN(2)/2))/(LN(2)/2)*AQ31*AT31*VLOOKUP('Données projet'!$B$10,Paramètres!$A$1:$I$89,3,0)*0.475*44/12</f>
        <v>1.3247117881059658</v>
      </c>
      <c r="AX31" s="21">
        <f t="shared" si="6"/>
        <v>13.213634245063274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27.8</v>
      </c>
      <c r="BD31" s="12">
        <f>IF('Données projet'!$A$88&gt;35,BD30+BC31-BL30,IF(A31&lt;'Données projet'!$A$88,$BA$205^A31,IF(A31='Données projet'!$A$88,'Données projet'!$B$88,BD30+BC31-BL30)))</f>
        <v>356.40000000000009</v>
      </c>
      <c r="BE31" s="13">
        <f>BD31*VLOOKUP('Données projet'!$B$11,Paramètres!$A$1:$I$89,3,0)*VLOOKUP('Données projet'!$B$11,Paramètres!$A$1:$I$89,5,0)</f>
        <v>171.42840000000004</v>
      </c>
      <c r="BF31" s="13">
        <f t="shared" si="37"/>
        <v>43.409781712258457</v>
      </c>
      <c r="BG31" s="20">
        <f t="shared" si="7"/>
        <v>374.17649981551682</v>
      </c>
      <c r="BH31" s="59">
        <f t="shared" si="8"/>
        <v>667.50983314885013</v>
      </c>
      <c r="BI31" s="59">
        <f ca="1">AVERAGE(OFFSET($BH$3,0,0,'Données projet'!$E$11+1,1))-AVERAGE(OFFSET($H$3,0,0,'Données projet'!$E$11+1,1))</f>
        <v>402.22278907877927</v>
      </c>
      <c r="BJ31" s="59">
        <f t="shared" si="38"/>
        <v>393.06397734082458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3.0802491805438579</v>
      </c>
      <c r="BR31" s="21">
        <f>EXP(-LN(2)/2)*BR30+(1-EXP(-LN(2)/2))/(LN(2)/2)*BL31*BO31*VLOOKUP('Données projet'!$B$11,Paramètres!$A$1:$I$89,3,0)*0.475*44/12</f>
        <v>0.37441506788828349</v>
      </c>
      <c r="BS31" s="22">
        <f t="shared" si="9"/>
        <v>3.4546642484321413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8.1999999999999993</v>
      </c>
      <c r="BY31" s="12">
        <f>IF('Données projet'!$A$114&gt;35,BY30+BX31-CG30,IF(A31&lt;'Données projet'!$A$114,$BV$205^A31,IF(A31='Données projet'!$A$114,'Données projet'!$B$114,BY30+BX31-CG30)))</f>
        <v>132.60000000000002</v>
      </c>
      <c r="BZ31" s="13">
        <f>BY31*VLOOKUP('Données projet'!$B$12,Paramètres!$A$1:$I$89,3,0)*VLOOKUP('Données projet'!$B$12,Paramètres!$A$1:$I$89,5,0)</f>
        <v>119.97648000000001</v>
      </c>
      <c r="CA31" s="13">
        <f t="shared" si="39"/>
        <v>31.669513577784763</v>
      </c>
      <c r="CB31" s="20">
        <f t="shared" si="10"/>
        <v>264.1167721479751</v>
      </c>
      <c r="CC31" s="59">
        <f t="shared" si="11"/>
        <v>557.45010548130836</v>
      </c>
      <c r="CD31" s="59">
        <f ca="1">AVERAGE(OFFSET($CC$3,0,0,'Données projet'!$E$12+1,1))-AVERAGE(OFFSET($H$3,0,0,'Données projet'!$E$12+1,1))</f>
        <v>363.51171608224735</v>
      </c>
      <c r="CE31" s="59">
        <f t="shared" si="40"/>
        <v>257.9239334647138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0.51477382999395016</v>
      </c>
      <c r="CM31" s="21">
        <f>EXP(-LN(2)/2)*CM30+(1-EXP(-LN(2)/2))/(LN(2)/2)*CG31*CJ31*VLOOKUP('Données projet'!$B$12,Paramètres!$A$1:$I$89,3,0)*0.475*44/12</f>
        <v>8.0034670531402105E-2</v>
      </c>
      <c r="CN31" s="22">
        <f t="shared" si="12"/>
        <v>0.59480850052535228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1">
        <f t="shared" si="32"/>
        <v>5.2906661162322051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67">
        <f t="shared" si="1"/>
        <v>330.12546015243771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27.5</v>
      </c>
      <c r="N32" s="13">
        <f>IF('Données projet'!$A$36&gt;35,N31+M32-V31,IF(A32&lt;'Données projet'!$A$36,$K$205^A32,IF(A32='Données projet'!$A$36,'Données projet'!$B$36,N31+M32-V31)))</f>
        <v>371.5</v>
      </c>
      <c r="O32" s="13">
        <f>N32*VLOOKUP('Données projet'!$B$9,Paramètres!$A$1:$I$89,3,0)*VLOOKUP('Données projet'!$B$9,Paramètres!$A$1:$I$89,5,0)</f>
        <v>207.66850000000002</v>
      </c>
      <c r="P32" s="13">
        <f t="shared" si="33"/>
        <v>51.4257637081664</v>
      </c>
      <c r="Q32" s="20">
        <f t="shared" si="2"/>
        <v>451.25584262505646</v>
      </c>
      <c r="R32" s="59">
        <f t="shared" si="0"/>
        <v>744.58917595838977</v>
      </c>
      <c r="S32" s="59">
        <f ca="1">AVERAGE(OFFSET($R$3,0,0,'Données projet'!$E$9+1,1))-AVERAGE(OFFSET($H$3,0,0,'Données projet'!$E$9+1,1))</f>
        <v>446.28010102877403</v>
      </c>
      <c r="T32" s="59">
        <f t="shared" si="34"/>
        <v>445.84011537290456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16.459704757127366</v>
      </c>
      <c r="AB32" s="21">
        <f>EXP(-LN(2)/2)*AB31+(1-EXP(-LN(2)/2))/(LN(2)/2)*V32*Y32*VLOOKUP('Données projet'!$B$9,Paramètres!$A$1:$I$89,3,0)*0.475*44/12</f>
        <v>1.454506646845845</v>
      </c>
      <c r="AC32" s="22">
        <f t="shared" si="3"/>
        <v>17.914211403973212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16.5</v>
      </c>
      <c r="AI32" s="13">
        <f>IF('Données projet'!$A$62&gt;35,AI31+AH32-AQ31,IF(A32&lt;'Données projet'!$A$62,$AF$205^A32,IF(A32='Données projet'!$A$62,'Données projet'!$B$62,AI31+AH32-AQ31)))</f>
        <v>246.5</v>
      </c>
      <c r="AJ32" s="13">
        <f>AI32*VLOOKUP('Données projet'!$B$10,Paramètres!$A$1:$I$89,3,0)*VLOOKUP('Données projet'!$B$10,Paramètres!$A$1:$I$89,5,0)</f>
        <v>153.816</v>
      </c>
      <c r="AK32" s="13">
        <f t="shared" si="35"/>
        <v>39.444513325737063</v>
      </c>
      <c r="AL32" s="20">
        <f t="shared" si="4"/>
        <v>336.59539404232538</v>
      </c>
      <c r="AM32" s="59">
        <f t="shared" si="5"/>
        <v>629.9287273756587</v>
      </c>
      <c r="AN32" s="59">
        <f ca="1">AVERAGE(OFFSET($AM$3,0,0,'Données projet'!$E$10+1,1))-AVERAGE(OFFSET($H$3,0,0,'Données projet'!$E$10+1,1))</f>
        <v>285.77483300338548</v>
      </c>
      <c r="AO32" s="59">
        <f t="shared" si="36"/>
        <v>320.55212417690637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11.563819247160552</v>
      </c>
      <c r="AW32" s="21">
        <f>EXP(-LN(2)/2)*AW31+(1-EXP(-LN(2)/2))/(LN(2)/2)*AQ32*AT32*VLOOKUP('Données projet'!$B$10,Paramètres!$A$1:$I$89,3,0)*0.475*44/12</f>
        <v>0.93671268848748535</v>
      </c>
      <c r="AX32" s="21">
        <f t="shared" si="6"/>
        <v>12.500531935648038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27.8</v>
      </c>
      <c r="BD32" s="12">
        <f>IF('Données projet'!$A$88&gt;35,BD31+BC32-BL31,IF(A32&lt;'Données projet'!$A$88,$BA$205^A32,IF(A32='Données projet'!$A$88,'Données projet'!$B$88,BD31+BC32-BL31)))</f>
        <v>384.2000000000001</v>
      </c>
      <c r="BE32" s="13">
        <f>BD32*VLOOKUP('Données projet'!$B$11,Paramètres!$A$1:$I$89,3,0)*VLOOKUP('Données projet'!$B$11,Paramètres!$A$1:$I$89,5,0)</f>
        <v>184.80020000000005</v>
      </c>
      <c r="BF32" s="13">
        <f t="shared" si="37"/>
        <v>46.388500912292088</v>
      </c>
      <c r="BG32" s="20">
        <f t="shared" si="7"/>
        <v>402.65365408890875</v>
      </c>
      <c r="BH32" s="59">
        <f t="shared" si="8"/>
        <v>695.98698742224201</v>
      </c>
      <c r="BI32" s="59">
        <f ca="1">AVERAGE(OFFSET($BH$3,0,0,'Données projet'!$E$11+1,1))-AVERAGE(OFFSET($H$3,0,0,'Données projet'!$E$11+1,1))</f>
        <v>402.22278907877927</v>
      </c>
      <c r="BJ32" s="59">
        <f t="shared" si="38"/>
        <v>393.06397734082458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2.9960196047186218</v>
      </c>
      <c r="BR32" s="21">
        <f>EXP(-LN(2)/2)*BR31+(1-EXP(-LN(2)/2))/(LN(2)/2)*BL32*BO32*VLOOKUP('Données projet'!$B$11,Paramètres!$A$1:$I$89,3,0)*0.475*44/12</f>
        <v>0.26475143348222685</v>
      </c>
      <c r="BS32" s="22">
        <f t="shared" si="9"/>
        <v>3.2607710382008488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8.1999999999999993</v>
      </c>
      <c r="BY32" s="12">
        <f>IF('Données projet'!$A$114&gt;35,BY31+BX32-CG31,IF(A32&lt;'Données projet'!$A$114,$BV$205^A32,IF(A32='Données projet'!$A$114,'Données projet'!$B$114,BY31+BX32-CG31)))</f>
        <v>140.80000000000001</v>
      </c>
      <c r="BZ32" s="13">
        <f>BY32*VLOOKUP('Données projet'!$B$12,Paramètres!$A$1:$I$89,3,0)*VLOOKUP('Données projet'!$B$12,Paramètres!$A$1:$I$89,5,0)</f>
        <v>127.39584000000001</v>
      </c>
      <c r="CA32" s="13">
        <f t="shared" si="39"/>
        <v>33.393907578695213</v>
      </c>
      <c r="CB32" s="20">
        <f t="shared" si="10"/>
        <v>280.04214369956082</v>
      </c>
      <c r="CC32" s="59">
        <f t="shared" si="11"/>
        <v>573.3754770328942</v>
      </c>
      <c r="CD32" s="59">
        <f ca="1">AVERAGE(OFFSET($CC$3,0,0,'Données projet'!$E$12+1,1))-AVERAGE(OFFSET($H$3,0,0,'Données projet'!$E$12+1,1))</f>
        <v>363.51171608224735</v>
      </c>
      <c r="CE32" s="59">
        <f t="shared" si="40"/>
        <v>257.9239334647138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0.50069731254198635</v>
      </c>
      <c r="CM32" s="21">
        <f>EXP(-LN(2)/2)*CM31+(1-EXP(-LN(2)/2))/(LN(2)/2)*CG32*CJ32*VLOOKUP('Données projet'!$B$12,Paramètres!$A$1:$I$89,3,0)*0.475*44/12</f>
        <v>5.6593058262785573E-2</v>
      </c>
      <c r="CN32" s="22">
        <f t="shared" si="12"/>
        <v>0.55729037080477195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1">
        <f t="shared" si="32"/>
        <v>5.4515478029518807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67">
        <f t="shared" si="1"/>
        <v>331.35661242347447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399</v>
      </c>
      <c r="L33" s="12">
        <f>VLOOKUP(A33,'Données projet'!$A$35:$I$55,9,0)</f>
        <v>27.5</v>
      </c>
      <c r="M33" s="12">
        <f t="array" ref="M33">INDEX(L:L,MIN(IF(ISNUMBER(L33:L229),ROW(L33:L229),"")))</f>
        <v>27.5</v>
      </c>
      <c r="N33" s="13">
        <f>IF('Données projet'!$A$36&gt;35,N32+M33-V32,IF(A33&lt;'Données projet'!$A$36,$K$205^A33,IF(A33='Données projet'!$A$36,'Données projet'!$B$36,N32+M33-V32)))</f>
        <v>399</v>
      </c>
      <c r="O33" s="13">
        <f>N33*VLOOKUP('Données projet'!$B$9,Paramètres!$A$1:$I$89,3,0)*VLOOKUP('Données projet'!$B$9,Paramètres!$A$1:$I$89,5,0)</f>
        <v>223.041</v>
      </c>
      <c r="P33" s="13">
        <f t="shared" si="33"/>
        <v>54.775303040983225</v>
      </c>
      <c r="Q33" s="20">
        <f t="shared" si="2"/>
        <v>483.86339446304572</v>
      </c>
      <c r="R33" s="59">
        <f t="shared" si="0"/>
        <v>777.19672779637904</v>
      </c>
      <c r="S33" s="59">
        <f ca="1">AVERAGE(OFFSET($R$3,0,0,'Données projet'!$E$9+1,1))-AVERAGE(OFFSET($H$3,0,0,'Données projet'!$E$9+1,1))</f>
        <v>446.28010102877403</v>
      </c>
      <c r="T33" s="59">
        <f t="shared" si="34"/>
        <v>445.84011537290456</v>
      </c>
      <c r="U33" s="15">
        <f>IF(ISNA(VLOOKUP(A33,'Données projet'!$A$35:$I$55,3,0)),0,VLOOKUP(A33,'Données projet'!$A$35:$I$55,3,0))</f>
        <v>2</v>
      </c>
      <c r="V33" s="15">
        <f>IF(ISNA(VLOOKUP(A33,'Données projet'!$A$35:$I$55,4,0)),0,VLOOKUP(A33,'Données projet'!$A$35:$I$55,4,0))</f>
        <v>140</v>
      </c>
      <c r="W33" s="16">
        <f>IF(ISNA(VLOOKUP(A33,'Données projet'!$A$35:$I$55,5,0)),0%,VLOOKUP(A33,'Données projet'!$A$35:$I$55,5,0)*VLOOKUP('Données projet'!$B$9,Paramètres!$A$1:$I$89,7,0))</f>
        <v>0.11000000000000001</v>
      </c>
      <c r="X33" s="16">
        <f>IF(ISNA(VLOOKUP(A33,'Données projet'!$A$35:$I$55,6,0)),0%,VLOOKUP(A33,'Données projet'!$A$35:$I$55,6,0)*VLOOKUP('Données projet'!$B$9,Paramètres!$A$1:$I$89,7,0))</f>
        <v>0.22000000000000003</v>
      </c>
      <c r="Y33" s="16">
        <f>IF(ISNA(VLOOKUP(A33,'Données projet'!$A$35:$I$55,7,0)),0%,VLOOKUP(A33,'Données projet'!$A$35:$I$55,7,0))</f>
        <v>0.4</v>
      </c>
      <c r="Z33" s="21">
        <f>EXP(-LN(2)/35)*Z32+(1-EXP(-LN(2)/35))/(LN(2)/35)*V33*W33*VLOOKUP('Données projet'!$B$9,Paramètres!$A$1:$I$89,3,0)*0.475*44/12</f>
        <v>11.419862771096829</v>
      </c>
      <c r="AA33" s="21">
        <f>EXP(-LN(2)/25)*AA32+(1-EXP(-LN(2)/25))/(LN(2)/25)*Calculateur!V33*Calculateur!X33*VLOOKUP('Données projet'!$B$9,Paramètres!$A$1:$I$89,3,0)*0.475*44/12</f>
        <v>38.759410105081791</v>
      </c>
      <c r="AB33" s="21">
        <f>EXP(-LN(2)/2)*AB32+(1-EXP(-LN(2)/2))/(LN(2)/2)*V33*Y33*VLOOKUP('Données projet'!$B$9,Paramètres!$A$1:$I$89,3,0)*0.475*44/12</f>
        <v>36.471891355034096</v>
      </c>
      <c r="AC33" s="22">
        <f t="shared" si="3"/>
        <v>86.651164231212718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263</v>
      </c>
      <c r="AG33" s="12">
        <f>VLOOKUP(A33,'Données projet'!$A$61:$I$81,9,0)</f>
        <v>16.5</v>
      </c>
      <c r="AH33" s="12">
        <f t="array" ref="AH33">INDEX(AG:AG,MIN(IF(ISNUMBER(AG33:AG229),ROW(AG33:AG229),"")))</f>
        <v>16.5</v>
      </c>
      <c r="AI33" s="13">
        <f>IF('Données projet'!$A$62&gt;35,AI32+AH33-AQ32,IF(A33&lt;'Données projet'!$A$62,$AF$205^A33,IF(A33='Données projet'!$A$62,'Données projet'!$B$62,AI32+AH33-AQ32)))</f>
        <v>263</v>
      </c>
      <c r="AJ33" s="13">
        <f>AI33*VLOOKUP('Données projet'!$B$10,Paramètres!$A$1:$I$89,3,0)*VLOOKUP('Données projet'!$B$10,Paramètres!$A$1:$I$89,5,0)</f>
        <v>164.11199999999999</v>
      </c>
      <c r="AK33" s="13">
        <f t="shared" si="35"/>
        <v>41.768614316008147</v>
      </c>
      <c r="AL33" s="20">
        <f t="shared" si="4"/>
        <v>358.57540326704753</v>
      </c>
      <c r="AM33" s="59">
        <f t="shared" si="5"/>
        <v>651.90873660038085</v>
      </c>
      <c r="AN33" s="59">
        <f ca="1">AVERAGE(OFFSET($AM$3,0,0,'Données projet'!$E$10+1,1))-AVERAGE(OFFSET($H$3,0,0,'Données projet'!$E$10+1,1))</f>
        <v>285.77483300338548</v>
      </c>
      <c r="AO33" s="59">
        <f t="shared" si="36"/>
        <v>320.55212417690637</v>
      </c>
      <c r="AP33" s="15">
        <f>IF(ISNA(VLOOKUP(A33,'Données projet'!$A$61:$I$81,3,0)),0,VLOOKUP(A33,'Données projet'!$A$61:$I$81,3,0))</f>
        <v>2</v>
      </c>
      <c r="AQ33" s="15">
        <f>IF(ISNA(VLOOKUP(A33,'Données projet'!$A$61:$I$81,4,0)),0,VLOOKUP(A33,'Données projet'!$A$61:$I$81,4,0))</f>
        <v>84</v>
      </c>
      <c r="AR33" s="16">
        <f>IF(ISNA(VLOOKUP(A33,'Données projet'!$A$61:$I$81,5,0)),0%,VLOOKUP(A33,'Données projet'!$A$61:$I$81,5,0)*VLOOKUP('Données projet'!$B$10,Paramètres!$A$1:$I$89,7,0))</f>
        <v>0.12</v>
      </c>
      <c r="AS33" s="16">
        <f>IF(ISNA(VLOOKUP(A33,'Données projet'!$A$61:$I$81,6,0)),0%,VLOOKUP(A33,'Données projet'!$A$61:$I$81,6,0)*VLOOKUP('Données projet'!$B$10,Paramètres!$A$1:$I$89,7,0))</f>
        <v>0.24</v>
      </c>
      <c r="AT33" s="16">
        <f>IF(ISNA(VLOOKUP(A33,'Données projet'!$A$61:$I$81,7,0)),0%,VLOOKUP(A33,'Données projet'!$A$61:$I$81,7,0))</f>
        <v>0.4</v>
      </c>
      <c r="AU33" s="21">
        <f>EXP(-LN(2)/35)*AU32+(1-EXP(-LN(2)/35))/(LN(2)/35)*AQ33*AR33*VLOOKUP('Données projet'!$B$10,Paramètres!$A$1:$I$89,3,0)*0.475*44/12</f>
        <v>8.3439842995582705</v>
      </c>
      <c r="AV33" s="21">
        <f>EXP(-LN(2)/25)*AV32+(1-EXP(-LN(2)/25))/(LN(2)/25)*Calculateur!AQ33*Calculateur!AS33*VLOOKUP('Données projet'!$B$10,Paramètres!$A$1:$I$89,3,0)*0.475*44/12</f>
        <v>27.869867709859399</v>
      </c>
      <c r="AW33" s="21">
        <f>EXP(-LN(2)/2)*AW32+(1-EXP(-LN(2)/2))/(LN(2)/2)*AQ33*AT33*VLOOKUP('Données projet'!$B$10,Paramètres!$A$1:$I$89,3,0)*0.475*44/12</f>
        <v>24.401191136911876</v>
      </c>
      <c r="AX33" s="21">
        <f t="shared" si="6"/>
        <v>60.615043146329548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412</v>
      </c>
      <c r="BB33" s="12">
        <f>VLOOKUP(A33,'Données projet'!$A$87:$I$107,9,0)</f>
        <v>27.8</v>
      </c>
      <c r="BC33" s="12">
        <f t="array" ref="BC33">INDEX(BB:BB,MIN(IF(ISNUMBER(BB33:BB229),ROW(BB33:BB229),"")))</f>
        <v>27.8</v>
      </c>
      <c r="BD33" s="12">
        <f>IF('Données projet'!$A$88&gt;35,BD32+BC33-BL32,IF(A33&lt;'Données projet'!$A$88,$BA$205^A33,IF(A33='Données projet'!$A$88,'Données projet'!$B$88,BD32+BC33-BL32)))</f>
        <v>412.00000000000011</v>
      </c>
      <c r="BE33" s="13">
        <f>BD33*VLOOKUP('Données projet'!$B$11,Paramètres!$A$1:$I$89,3,0)*VLOOKUP('Données projet'!$B$11,Paramètres!$A$1:$I$89,5,0)</f>
        <v>198.17200000000005</v>
      </c>
      <c r="BF33" s="13">
        <f t="shared" si="37"/>
        <v>49.342214218736267</v>
      </c>
      <c r="BG33" s="20">
        <f t="shared" si="7"/>
        <v>431.08725643096574</v>
      </c>
      <c r="BH33" s="59">
        <f t="shared" si="8"/>
        <v>724.42058976429905</v>
      </c>
      <c r="BI33" s="59">
        <f ca="1">AVERAGE(OFFSET($BH$3,0,0,'Données projet'!$E$11+1,1))-AVERAGE(OFFSET($H$3,0,0,'Données projet'!$E$11+1,1))</f>
        <v>402.22278907877927</v>
      </c>
      <c r="BJ33" s="59">
        <f t="shared" si="38"/>
        <v>393.06397734082458</v>
      </c>
      <c r="BK33" s="15">
        <f>IF(ISNA(VLOOKUP(A33,'Données projet'!$A$87:$I$107,3,0)),0,VLOOKUP(A33,'Données projet'!$A$87:$I$107,3,0))</f>
        <v>3</v>
      </c>
      <c r="BL33" s="15">
        <f>IF(ISNA(VLOOKUP(A33,'Données projet'!$A$87:$I$107,4,0)),0,VLOOKUP(A33,'Données projet'!$A$87:$I$107,4,0))</f>
        <v>140</v>
      </c>
      <c r="BM33" s="16">
        <f>IF(ISNA(VLOOKUP(A33,'Données projet'!$A$87:$I$107,5,0)),0%,VLOOKUP(A33,'Données projet'!$A$87:$I$107,5,0)*VLOOKUP('Données projet'!$B$11,Paramètres!$A$1:$I$89,7,0))</f>
        <v>0.11000000000000001</v>
      </c>
      <c r="BN33" s="16">
        <f>IF(ISNA(VLOOKUP(A33,'Données projet'!$A$87:$I$107,6,0)),0%,VLOOKUP(A33,'Données projet'!$A$87:$I$107,6,0)*VLOOKUP('Données projet'!$B$11,Paramètres!$A$1:$I$89,7,0))</f>
        <v>0.22000000000000003</v>
      </c>
      <c r="BO33" s="16">
        <f>IF(ISNA(VLOOKUP(A33,'Données projet'!$A$87:$I$107,7,0)),0%,VLOOKUP(A33,'Données projet'!$A$87:$I$107,7,0))</f>
        <v>0.4</v>
      </c>
      <c r="BP33" s="21">
        <f>EXP(-LN(2)/35)*BP32+(1-EXP(-LN(2)/35))/(LN(2)/35)*BL33*BM33*VLOOKUP('Données projet'!$B$11,Paramètres!$A$1:$I$89,3,0)*0.475*44/12</f>
        <v>9.8263935472228514</v>
      </c>
      <c r="BQ33" s="21">
        <f>EXP(-LN(2)/25)*BQ32+(1-EXP(-LN(2)/25))/(LN(2)/25)*Calculateur!BL33*Calculateur!BN33*VLOOKUP('Données projet'!$B$11,Paramètres!$A$1:$I$89,3,0)*0.475*44/12</f>
        <v>22.489499874429679</v>
      </c>
      <c r="BR33" s="21">
        <f>EXP(-LN(2)/2)*BR32+(1-EXP(-LN(2)/2))/(LN(2)/2)*BL33*BO33*VLOOKUP('Données projet'!$B$11,Paramètres!$A$1:$I$89,3,0)*0.475*44/12</f>
        <v>30.685016700117032</v>
      </c>
      <c r="BS33" s="22">
        <f t="shared" si="9"/>
        <v>63.000910121769564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149</v>
      </c>
      <c r="BW33" s="12">
        <f>VLOOKUP(A33,'Données projet'!$A$113:$I$133,9,0)</f>
        <v>8.1999999999999993</v>
      </c>
      <c r="BX33" s="12">
        <f t="array" ref="BX33">INDEX(BW:BW,MIN(IF(ISNUMBER(BW33:BW229),ROW(BW33:BW229),"")))</f>
        <v>8.1999999999999993</v>
      </c>
      <c r="BY33" s="12">
        <f>IF('Données projet'!$A$114&gt;35,BY32+BX33-CG32,IF(A33&lt;'Données projet'!$A$114,$BV$205^A33,IF(A33='Données projet'!$A$114,'Données projet'!$B$114,BY32+BX33-CG32)))</f>
        <v>149</v>
      </c>
      <c r="BZ33" s="13">
        <f>BY33*VLOOKUP('Données projet'!$B$12,Paramètres!$A$1:$I$89,3,0)*VLOOKUP('Données projet'!$B$12,Paramètres!$A$1:$I$89,5,0)</f>
        <v>134.81519999999998</v>
      </c>
      <c r="CA33" s="13">
        <f t="shared" si="39"/>
        <v>35.106644529103392</v>
      </c>
      <c r="CB33" s="20">
        <f t="shared" si="10"/>
        <v>295.94721255485501</v>
      </c>
      <c r="CC33" s="59">
        <f t="shared" si="11"/>
        <v>589.28054588818827</v>
      </c>
      <c r="CD33" s="59">
        <f ca="1">AVERAGE(OFFSET($CC$3,0,0,'Données projet'!$E$12+1,1))-AVERAGE(OFFSET($H$3,0,0,'Données projet'!$E$12+1,1))</f>
        <v>363.51171608224735</v>
      </c>
      <c r="CE33" s="59">
        <f t="shared" si="40"/>
        <v>257.9239334647138</v>
      </c>
      <c r="CF33" s="15">
        <f>IF(ISNA(VLOOKUP(A33,'Données projet'!$A$113:$I$133,3,0)),0,VLOOKUP(A33,'Données projet'!$A$113:$I$133,3,0))</f>
        <v>2</v>
      </c>
      <c r="CG33" s="15">
        <f>IF(ISNA(VLOOKUP(A33,'Données projet'!$A$113:$I$133,4,0)),0,VLOOKUP(A33,'Données projet'!$A$113:$I$133,4,0))</f>
        <v>56</v>
      </c>
      <c r="CH33" s="16">
        <f>IF(ISNA(VLOOKUP(A33,'Données projet'!$A$113:$I$133,5,0)),0%,VLOOKUP(A33,'Données projet'!$A$113:$I$133,5,0)*VLOOKUP('Données projet'!$B$12,Paramètres!$A$1:$I$89,7,0))</f>
        <v>4.3000000000000003E-2</v>
      </c>
      <c r="CI33" s="16">
        <f>IF(ISNA(VLOOKUP(A33,'Données projet'!$A$113:$I$133,6,0)),0%,VLOOKUP(A33,'Données projet'!$A$113:$I$133,6,0)*VLOOKUP('Données projet'!$B$12,Paramètres!$A$1:$I$89,7,0))</f>
        <v>0.19350000000000001</v>
      </c>
      <c r="CJ33" s="16">
        <f>IF(ISNA(VLOOKUP(A33,'Données projet'!$A$113:$I$133,7,0)),0%,VLOOKUP(A33,'Données projet'!$A$113:$I$133,7,0))</f>
        <v>0.45</v>
      </c>
      <c r="CK33" s="21">
        <f>EXP(-LN(2)/35)*CK32+(1-EXP(-LN(2)/35))/(LN(2)/35)*CG33*CH33*VLOOKUP('Données projet'!$B$12,Paramètres!$A$1:$I$89,3,0)*0.475*44/12</f>
        <v>2.4085528753586032</v>
      </c>
      <c r="CL33" s="21">
        <f>EXP(-LN(2)/25)*CL32+(1-EXP(-LN(2)/25))/(LN(2)/25)*Calculateur!CG33*Calculateur!CI33*VLOOKUP('Données projet'!$B$12,Paramètres!$A$1:$I$89,3,0)*0.475*44/12</f>
        <v>11.282818400509749</v>
      </c>
      <c r="CM33" s="21">
        <f>EXP(-LN(2)/2)*CM32+(1-EXP(-LN(2)/2))/(LN(2)/2)*CG33*CJ33*VLOOKUP('Données projet'!$B$12,Paramètres!$A$1:$I$89,3,0)*0.475*44/12</f>
        <v>21.553336774106572</v>
      </c>
      <c r="CN33" s="22">
        <f t="shared" si="12"/>
        <v>35.244708049974925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1">
        <f t="shared" si="32"/>
        <v>5.6118063562438518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67">
        <f t="shared" si="1"/>
        <v>332.58667940379132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26.8</v>
      </c>
      <c r="N34" s="13">
        <f>IF('Données projet'!$A$36&gt;35,N33+M34-V33,IF(A34&lt;'Données projet'!$A$36,$K$205^A34,IF(A34='Données projet'!$A$36,'Données projet'!$B$36,N33+M34-V33)))</f>
        <v>285.8</v>
      </c>
      <c r="O34" s="13">
        <f>N34*VLOOKUP('Données projet'!$B$9,Paramètres!$A$1:$I$89,3,0)*VLOOKUP('Données projet'!$B$9,Paramètres!$A$1:$I$89,5,0)</f>
        <v>159.76220000000001</v>
      </c>
      <c r="P34" s="13">
        <f t="shared" si="33"/>
        <v>40.788874310808829</v>
      </c>
      <c r="Q34" s="20">
        <f t="shared" si="2"/>
        <v>349.29312109132542</v>
      </c>
      <c r="R34" s="59">
        <f t="shared" si="0"/>
        <v>642.62645442465873</v>
      </c>
      <c r="S34" s="59">
        <f ca="1">AVERAGE(OFFSET($R$3,0,0,'Données projet'!$E$9+1,1))-AVERAGE(OFFSET($H$3,0,0,'Données projet'!$E$9+1,1))</f>
        <v>446.28010102877403</v>
      </c>
      <c r="T34" s="59">
        <f t="shared" si="34"/>
        <v>445.84011537290456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11.195926227584131</v>
      </c>
      <c r="AA34" s="21">
        <f>EXP(-LN(2)/25)*AA33+(1-EXP(-LN(2)/25))/(LN(2)/25)*Calculateur!V34*Calculateur!X34*VLOOKUP('Données projet'!$B$9,Paramètres!$A$1:$I$89,3,0)*0.475*44/12</f>
        <v>37.699531997489537</v>
      </c>
      <c r="AB34" s="21">
        <f>EXP(-LN(2)/2)*AB33+(1-EXP(-LN(2)/2))/(LN(2)/2)*V34*Y34*VLOOKUP('Données projet'!$B$9,Paramètres!$A$1:$I$89,3,0)*0.475*44/12</f>
        <v>25.789521699843629</v>
      </c>
      <c r="AC34" s="22">
        <f t="shared" si="3"/>
        <v>74.6849799249173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15.1</v>
      </c>
      <c r="AI34" s="13">
        <f>IF('Données projet'!$A$62&gt;35,AI33+AH34-AQ33,IF(A34&lt;'Données projet'!$A$62,$AF$205^A34,IF(A34='Données projet'!$A$62,'Données projet'!$B$62,AI33+AH34-AQ33)))</f>
        <v>194.10000000000002</v>
      </c>
      <c r="AJ34" s="13">
        <f>AI34*VLOOKUP('Données projet'!$B$10,Paramètres!$A$1:$I$89,3,0)*VLOOKUP('Données projet'!$B$10,Paramètres!$A$1:$I$89,5,0)</f>
        <v>121.11840000000001</v>
      </c>
      <c r="AK34" s="13">
        <f t="shared" si="35"/>
        <v>31.935706725782151</v>
      </c>
      <c r="AL34" s="20">
        <f t="shared" si="4"/>
        <v>266.56923588073727</v>
      </c>
      <c r="AM34" s="59">
        <f t="shared" si="5"/>
        <v>559.90256921407058</v>
      </c>
      <c r="AN34" s="59">
        <f ca="1">AVERAGE(OFFSET($AM$3,0,0,'Données projet'!$E$10+1,1))-AVERAGE(OFFSET($H$3,0,0,'Données projet'!$E$10+1,1))</f>
        <v>285.77483300338548</v>
      </c>
      <c r="AO34" s="59">
        <f t="shared" si="36"/>
        <v>320.55212417690637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8.1803638567718266</v>
      </c>
      <c r="AV34" s="21">
        <f>EXP(-LN(2)/25)*AV33+(1-EXP(-LN(2)/25))/(LN(2)/25)*Calculateur!AQ34*Calculateur!AS34*VLOOKUP('Données projet'!$B$10,Paramètres!$A$1:$I$89,3,0)*0.475*44/12</f>
        <v>27.107764711720648</v>
      </c>
      <c r="AW34" s="21">
        <f>EXP(-LN(2)/2)*AW33+(1-EXP(-LN(2)/2))/(LN(2)/2)*AQ34*AT34*VLOOKUP('Données projet'!$B$10,Paramètres!$A$1:$I$89,3,0)*0.475*44/12</f>
        <v>17.254247721939471</v>
      </c>
      <c r="AX34" s="21">
        <f t="shared" si="6"/>
        <v>52.542376290431946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27.8</v>
      </c>
      <c r="BD34" s="12">
        <f>IF('Données projet'!$A$88&gt;35,BD33+BC34-BL33,IF(A34&lt;'Données projet'!$A$88,$BA$205^A34,IF(A34='Données projet'!$A$88,'Données projet'!$B$88,BD33+BC34-BL33)))</f>
        <v>299.80000000000013</v>
      </c>
      <c r="BE34" s="13">
        <f>BD34*VLOOKUP('Données projet'!$B$11,Paramètres!$A$1:$I$89,3,0)*VLOOKUP('Données projet'!$B$11,Paramètres!$A$1:$I$89,5,0)</f>
        <v>144.20380000000006</v>
      </c>
      <c r="BF34" s="13">
        <f t="shared" si="37"/>
        <v>37.258372581341362</v>
      </c>
      <c r="BG34" s="20">
        <f t="shared" si="7"/>
        <v>316.04661724583633</v>
      </c>
      <c r="BH34" s="59">
        <f t="shared" si="8"/>
        <v>609.37995057916964</v>
      </c>
      <c r="BI34" s="59">
        <f ca="1">AVERAGE(OFFSET($BH$3,0,0,'Données projet'!$E$11+1,1))-AVERAGE(OFFSET($H$3,0,0,'Données projet'!$E$11+1,1))</f>
        <v>402.22278907877927</v>
      </c>
      <c r="BJ34" s="59">
        <f t="shared" si="38"/>
        <v>393.06397734082458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9.6337039632700652</v>
      </c>
      <c r="BQ34" s="21">
        <f>EXP(-LN(2)/25)*BQ33+(1-EXP(-LN(2)/25))/(LN(2)/25)*Calculateur!BL34*Calculateur!BN34*VLOOKUP('Données projet'!$B$11,Paramètres!$A$1:$I$89,3,0)*0.475*44/12</f>
        <v>21.874523317692002</v>
      </c>
      <c r="BR34" s="21">
        <f>EXP(-LN(2)/2)*BR33+(1-EXP(-LN(2)/2))/(LN(2)/2)*BL34*BO34*VLOOKUP('Données projet'!$B$11,Paramètres!$A$1:$I$89,3,0)*0.475*44/12</f>
        <v>21.697583389475213</v>
      </c>
      <c r="BS34" s="22">
        <f t="shared" si="9"/>
        <v>53.20581067043728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11</v>
      </c>
      <c r="BY34" s="12">
        <f>IF('Données projet'!$A$114&gt;35,BY33+BX34-CG33,IF(A34&lt;'Données projet'!$A$114,$BV$205^A34,IF(A34='Données projet'!$A$114,'Données projet'!$B$114,BY33+BX34-CG33)))</f>
        <v>104</v>
      </c>
      <c r="BZ34" s="13">
        <f>BY34*VLOOKUP('Données projet'!$B$12,Paramètres!$A$1:$I$89,3,0)*VLOOKUP('Données projet'!$B$12,Paramètres!$A$1:$I$89,5,0)</f>
        <v>94.099199999999996</v>
      </c>
      <c r="CA34" s="13">
        <f t="shared" si="39"/>
        <v>25.551276031514817</v>
      </c>
      <c r="CB34" s="20">
        <f t="shared" si="10"/>
        <v>208.39124575488827</v>
      </c>
      <c r="CC34" s="59">
        <f t="shared" si="11"/>
        <v>501.72457908822162</v>
      </c>
      <c r="CD34" s="59">
        <f ca="1">AVERAGE(OFFSET($CC$3,0,0,'Données projet'!$E$12+1,1))-AVERAGE(OFFSET($H$3,0,0,'Données projet'!$E$12+1,1))</f>
        <v>363.51171608224735</v>
      </c>
      <c r="CE34" s="59">
        <f t="shared" si="40"/>
        <v>257.9239334647138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2.3613226225450159</v>
      </c>
      <c r="CL34" s="21">
        <f>EXP(-LN(2)/25)*CL33+(1-EXP(-LN(2)/25))/(LN(2)/25)*Calculateur!CG34*Calculateur!CI34*VLOOKUP('Données projet'!$B$12,Paramètres!$A$1:$I$89,3,0)*0.475*44/12</f>
        <v>10.974289138010176</v>
      </c>
      <c r="CM34" s="21">
        <f>EXP(-LN(2)/2)*CM33+(1-EXP(-LN(2)/2))/(LN(2)/2)*CG34*CJ34*VLOOKUP('Données projet'!$B$12,Paramètres!$A$1:$I$89,3,0)*0.475*44/12</f>
        <v>15.240510590168146</v>
      </c>
      <c r="CN34" s="22">
        <f t="shared" si="12"/>
        <v>28.576122350723338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1">
        <f t="shared" si="32"/>
        <v>5.7714641827626956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67">
        <f t="shared" si="1"/>
        <v>333.81570011831167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26.8</v>
      </c>
      <c r="N35" s="13">
        <f>IF('Données projet'!$A$36&gt;35,N34+M35-V34,IF(A35&lt;'Données projet'!$A$36,$K$205^A35,IF(A35='Données projet'!$A$36,'Données projet'!$B$36,N34+M35-V34)))</f>
        <v>312.60000000000002</v>
      </c>
      <c r="O35" s="13">
        <f>N35*VLOOKUP('Données projet'!$B$9,Paramètres!$A$1:$I$89,3,0)*VLOOKUP('Données projet'!$B$9,Paramètres!$A$1:$I$89,5,0)</f>
        <v>174.74340000000001</v>
      </c>
      <c r="P35" s="13">
        <f t="shared" si="33"/>
        <v>44.150679855848523</v>
      </c>
      <c r="Q35" s="20">
        <f t="shared" ref="Q35:Q66" si="53">(O35+P35)*0.475*44/12</f>
        <v>381.24052241560281</v>
      </c>
      <c r="R35" s="59">
        <f t="shared" si="0"/>
        <v>674.57385574893613</v>
      </c>
      <c r="S35" s="59">
        <f ca="1">AVERAGE(OFFSET($R$3,0,0,'Données projet'!$E$9+1,1))-AVERAGE(OFFSET($H$3,0,0,'Données projet'!$E$9+1,1))</f>
        <v>446.28010102877403</v>
      </c>
      <c r="T35" s="59">
        <f t="shared" si="34"/>
        <v>445.84011537290456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10.976380943101914</v>
      </c>
      <c r="AA35" s="21">
        <f>EXP(-LN(2)/25)*AA34+(1-EXP(-LN(2)/25))/(LN(2)/25)*Calculateur!V35*Calculateur!X35*VLOOKUP('Données projet'!$B$9,Paramètres!$A$1:$I$89,3,0)*0.475*44/12</f>
        <v>36.668636312485958</v>
      </c>
      <c r="AB35" s="21">
        <f>EXP(-LN(2)/2)*AB34+(1-EXP(-LN(2)/2))/(LN(2)/2)*V35*Y35*VLOOKUP('Données projet'!$B$9,Paramètres!$A$1:$I$89,3,0)*0.475*44/12</f>
        <v>18.235945677517048</v>
      </c>
      <c r="AC35" s="22">
        <f t="shared" si="3"/>
        <v>65.880962933104925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15.1</v>
      </c>
      <c r="AI35" s="13">
        <f>IF('Données projet'!$A$62&gt;35,AI34+AH35-AQ34,IF(A35&lt;'Données projet'!$A$62,$AF$205^A35,IF(A35='Données projet'!$A$62,'Données projet'!$B$62,AI34+AH35-AQ34)))</f>
        <v>209.20000000000002</v>
      </c>
      <c r="AJ35" s="13">
        <f>AI35*VLOOKUP('Données projet'!$B$10,Paramètres!$A$1:$I$89,3,0)*VLOOKUP('Données projet'!$B$10,Paramètres!$A$1:$I$89,5,0)</f>
        <v>130.54080000000002</v>
      </c>
      <c r="AK35" s="13">
        <f t="shared" si="35"/>
        <v>34.121292125762963</v>
      </c>
      <c r="AL35" s="20">
        <f t="shared" si="4"/>
        <v>286.78647711903716</v>
      </c>
      <c r="AM35" s="59">
        <f t="shared" si="5"/>
        <v>580.11981045237053</v>
      </c>
      <c r="AN35" s="59">
        <f ca="1">AVERAGE(OFFSET($AM$3,0,0,'Données projet'!$E$10+1,1))-AVERAGE(OFFSET($H$3,0,0,'Données projet'!$E$10+1,1))</f>
        <v>285.77483300338548</v>
      </c>
      <c r="AO35" s="59">
        <f t="shared" si="36"/>
        <v>320.55212417690637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8.0199519110698088</v>
      </c>
      <c r="AV35" s="21">
        <f>EXP(-LN(2)/25)*AV34+(1-EXP(-LN(2)/25))/(LN(2)/25)*Calculateur!AQ35*Calculateur!AS35*VLOOKUP('Données projet'!$B$10,Paramètres!$A$1:$I$89,3,0)*0.475*44/12</f>
        <v>26.366501460143258</v>
      </c>
      <c r="AW35" s="21">
        <f>EXP(-LN(2)/2)*AW34+(1-EXP(-LN(2)/2))/(LN(2)/2)*AQ35*AT35*VLOOKUP('Données projet'!$B$10,Paramètres!$A$1:$I$89,3,0)*0.475*44/12</f>
        <v>12.20059556845594</v>
      </c>
      <c r="AX35" s="21">
        <f t="shared" si="6"/>
        <v>46.587048939669003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27.8</v>
      </c>
      <c r="BD35" s="12">
        <f>IF('Données projet'!$A$88&gt;35,BD34+BC35-BL34,IF(A35&lt;'Données projet'!$A$88,$BA$205^A35,IF(A35='Données projet'!$A$88,'Données projet'!$B$88,BD34+BC35-BL34)))</f>
        <v>327.60000000000014</v>
      </c>
      <c r="BE35" s="13">
        <f>BD35*VLOOKUP('Données projet'!$B$11,Paramètres!$A$1:$I$89,3,0)*VLOOKUP('Données projet'!$B$11,Paramètres!$A$1:$I$89,5,0)</f>
        <v>157.57560000000007</v>
      </c>
      <c r="BF35" s="13">
        <f t="shared" si="37"/>
        <v>40.295200242024428</v>
      </c>
      <c r="BG35" s="20">
        <f t="shared" si="7"/>
        <v>344.62497708819268</v>
      </c>
      <c r="BH35" s="59">
        <f t="shared" si="8"/>
        <v>637.95831042152599</v>
      </c>
      <c r="BI35" s="59">
        <f ca="1">AVERAGE(OFFSET($BH$3,0,0,'Données projet'!$E$11+1,1))-AVERAGE(OFFSET($H$3,0,0,'Données projet'!$E$11+1,1))</f>
        <v>402.22278907877927</v>
      </c>
      <c r="BJ35" s="59">
        <f t="shared" si="38"/>
        <v>393.06397734082458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9.4447929045295513</v>
      </c>
      <c r="BQ35" s="21">
        <f>EXP(-LN(2)/25)*BQ34+(1-EXP(-LN(2)/25))/(LN(2)/25)*Calculateur!BL35*Calculateur!BN35*VLOOKUP('Données projet'!$B$11,Paramètres!$A$1:$I$89,3,0)*0.475*44/12</f>
        <v>21.276363327238528</v>
      </c>
      <c r="BR35" s="21">
        <f>EXP(-LN(2)/2)*BR34+(1-EXP(-LN(2)/2))/(LN(2)/2)*BL35*BO35*VLOOKUP('Données projet'!$B$11,Paramètres!$A$1:$I$89,3,0)*0.475*44/12</f>
        <v>15.342508350058518</v>
      </c>
      <c r="BS35" s="22">
        <f t="shared" si="9"/>
        <v>46.063664581826593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11</v>
      </c>
      <c r="BY35" s="12">
        <f>IF('Données projet'!$A$114&gt;35,BY34+BX35-CG34,IF(A35&lt;'Données projet'!$A$114,$BV$205^A35,IF(A35='Données projet'!$A$114,'Données projet'!$B$114,BY34+BX35-CG34)))</f>
        <v>115</v>
      </c>
      <c r="BZ35" s="13">
        <f>BY35*VLOOKUP('Données projet'!$B$12,Paramètres!$A$1:$I$89,3,0)*VLOOKUP('Données projet'!$B$12,Paramètres!$A$1:$I$89,5,0)</f>
        <v>104.05199999999999</v>
      </c>
      <c r="CA35" s="13">
        <f t="shared" si="39"/>
        <v>27.925087771564417</v>
      </c>
      <c r="CB35" s="20">
        <f t="shared" si="10"/>
        <v>229.86009453547467</v>
      </c>
      <c r="CC35" s="59">
        <f t="shared" si="11"/>
        <v>523.19342786880793</v>
      </c>
      <c r="CD35" s="59">
        <f ca="1">AVERAGE(OFFSET($CC$3,0,0,'Données projet'!$E$12+1,1))-AVERAGE(OFFSET($H$3,0,0,'Données projet'!$E$12+1,1))</f>
        <v>363.51171608224735</v>
      </c>
      <c r="CE35" s="59">
        <f t="shared" si="40"/>
        <v>257.9239334647138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2.3150185261814937</v>
      </c>
      <c r="CL35" s="21">
        <f>EXP(-LN(2)/25)*CL34+(1-EXP(-LN(2)/25))/(LN(2)/25)*Calculateur!CG35*Calculateur!CI35*VLOOKUP('Données projet'!$B$12,Paramètres!$A$1:$I$89,3,0)*0.475*44/12</f>
        <v>10.674196624418505</v>
      </c>
      <c r="CM35" s="21">
        <f>EXP(-LN(2)/2)*CM34+(1-EXP(-LN(2)/2))/(LN(2)/2)*CG35*CJ35*VLOOKUP('Données projet'!$B$12,Paramètres!$A$1:$I$89,3,0)*0.475*44/12</f>
        <v>10.776668387053288</v>
      </c>
      <c r="CN35" s="22">
        <f t="shared" si="12"/>
        <v>23.765883537653288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1">
        <f t="shared" si="32"/>
        <v>5.9305422092039777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67">
        <f t="shared" si="1"/>
        <v>335.04371101436357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26.8</v>
      </c>
      <c r="N36" s="13">
        <f>IF('Données projet'!$A$36&gt;35,N35+M36-V35,IF(A36&lt;'Données projet'!$A$36,$K$205^A36,IF(A36='Données projet'!$A$36,'Données projet'!$B$36,N35+M36-V35)))</f>
        <v>339.40000000000003</v>
      </c>
      <c r="O36" s="13">
        <f>N36*VLOOKUP('Données projet'!$B$9,Paramètres!$A$1:$I$89,3,0)*VLOOKUP('Données projet'!$B$9,Paramètres!$A$1:$I$89,5,0)</f>
        <v>189.72460000000001</v>
      </c>
      <c r="P36" s="13">
        <f t="shared" si="33"/>
        <v>47.479060682252133</v>
      </c>
      <c r="Q36" s="20">
        <f t="shared" si="53"/>
        <v>413.12970902158912</v>
      </c>
      <c r="R36" s="59">
        <f t="shared" si="0"/>
        <v>706.46304235492244</v>
      </c>
      <c r="S36" s="59">
        <f ca="1">AVERAGE(OFFSET($R$3,0,0,'Données projet'!$E$9+1,1))-AVERAGE(OFFSET($H$3,0,0,'Données projet'!$E$9+1,1))</f>
        <v>446.28010102877403</v>
      </c>
      <c r="T36" s="59">
        <f t="shared" si="34"/>
        <v>445.84011537290456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10.761140807738991</v>
      </c>
      <c r="AA36" s="21">
        <f>EXP(-LN(2)/25)*AA35+(1-EXP(-LN(2)/25))/(LN(2)/25)*Calculateur!V36*Calculateur!X36*VLOOKUP('Données projet'!$B$9,Paramètres!$A$1:$I$89,3,0)*0.475*44/12</f>
        <v>35.665930524201251</v>
      </c>
      <c r="AB36" s="21">
        <f>EXP(-LN(2)/2)*AB35+(1-EXP(-LN(2)/2))/(LN(2)/2)*V36*Y36*VLOOKUP('Données projet'!$B$9,Paramètres!$A$1:$I$89,3,0)*0.475*44/12</f>
        <v>12.894760849921814</v>
      </c>
      <c r="AC36" s="22">
        <f t="shared" si="3"/>
        <v>59.321832181862057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15.1</v>
      </c>
      <c r="AI36" s="13">
        <f>IF('Données projet'!$A$62&gt;35,AI35+AH36-AQ35,IF(A36&lt;'Données projet'!$A$62,$AF$205^A36,IF(A36='Données projet'!$A$62,'Données projet'!$B$62,AI35+AH36-AQ35)))</f>
        <v>224.3</v>
      </c>
      <c r="AJ36" s="13">
        <f>AI36*VLOOKUP('Données projet'!$B$10,Paramètres!$A$1:$I$89,3,0)*VLOOKUP('Données projet'!$B$10,Paramètres!$A$1:$I$89,5,0)</f>
        <v>139.9632</v>
      </c>
      <c r="AK36" s="13">
        <f t="shared" si="35"/>
        <v>36.288575002787859</v>
      </c>
      <c r="AL36" s="20">
        <f t="shared" si="4"/>
        <v>306.97184146318881</v>
      </c>
      <c r="AM36" s="59">
        <f t="shared" si="5"/>
        <v>600.30517479652212</v>
      </c>
      <c r="AN36" s="59">
        <f ca="1">AVERAGE(OFFSET($AM$3,0,0,'Données projet'!$E$10+1,1))-AVERAGE(OFFSET($H$3,0,0,'Données projet'!$E$10+1,1))</f>
        <v>285.77483300338548</v>
      </c>
      <c r="AO36" s="59">
        <f t="shared" si="36"/>
        <v>320.55212417690637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7.8626855457813818</v>
      </c>
      <c r="AV36" s="21">
        <f>EXP(-LN(2)/25)*AV35+(1-EXP(-LN(2)/25))/(LN(2)/25)*Calculateur!AQ36*Calculateur!AS36*VLOOKUP('Données projet'!$B$10,Paramètres!$A$1:$I$89,3,0)*0.475*44/12</f>
        <v>25.645508091161592</v>
      </c>
      <c r="AW36" s="21">
        <f>EXP(-LN(2)/2)*AW35+(1-EXP(-LN(2)/2))/(LN(2)/2)*AQ36*AT36*VLOOKUP('Données projet'!$B$10,Paramètres!$A$1:$I$89,3,0)*0.475*44/12</f>
        <v>8.6271238609697356</v>
      </c>
      <c r="AX36" s="21">
        <f t="shared" si="6"/>
        <v>42.135317497912709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27.8</v>
      </c>
      <c r="BD36" s="12">
        <f>IF('Données projet'!$A$88&gt;35,BD35+BC36-BL35,IF(A36&lt;'Données projet'!$A$88,$BA$205^A36,IF(A36='Données projet'!$A$88,'Données projet'!$B$88,BD35+BC36-BL35)))</f>
        <v>355.40000000000015</v>
      </c>
      <c r="BE36" s="13">
        <f>BD36*VLOOKUP('Données projet'!$B$11,Paramètres!$A$1:$I$89,3,0)*VLOOKUP('Données projet'!$B$11,Paramètres!$A$1:$I$89,5,0)</f>
        <v>170.94740000000007</v>
      </c>
      <c r="BF36" s="13">
        <f t="shared" si="37"/>
        <v>43.302140990213147</v>
      </c>
      <c r="BG36" s="20">
        <f t="shared" si="7"/>
        <v>373.15128389128796</v>
      </c>
      <c r="BH36" s="59">
        <f t="shared" si="8"/>
        <v>666.48461722462127</v>
      </c>
      <c r="BI36" s="59">
        <f ca="1">AVERAGE(OFFSET($BH$3,0,0,'Données projet'!$E$11+1,1))-AVERAGE(OFFSET($H$3,0,0,'Données projet'!$E$11+1,1))</f>
        <v>402.22278907877927</v>
      </c>
      <c r="BJ36" s="59">
        <f t="shared" si="38"/>
        <v>393.06397734082458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9.2595862764265711</v>
      </c>
      <c r="BQ36" s="21">
        <f>EXP(-LN(2)/25)*BQ35+(1-EXP(-LN(2)/25))/(LN(2)/25)*Calculateur!BL36*Calculateur!BN36*VLOOKUP('Données projet'!$B$11,Paramètres!$A$1:$I$89,3,0)*0.475*44/12</f>
        <v>20.69456005317987</v>
      </c>
      <c r="BR36" s="21">
        <f>EXP(-LN(2)/2)*BR35+(1-EXP(-LN(2)/2))/(LN(2)/2)*BL36*BO36*VLOOKUP('Données projet'!$B$11,Paramètres!$A$1:$I$89,3,0)*0.475*44/12</f>
        <v>10.848791694737608</v>
      </c>
      <c r="BS36" s="22">
        <f t="shared" si="9"/>
        <v>40.802938024344051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11</v>
      </c>
      <c r="BY36" s="12">
        <f>IF('Données projet'!$A$114&gt;35,BY35+BX36-CG35,IF(A36&lt;'Données projet'!$A$114,$BV$205^A36,IF(A36='Données projet'!$A$114,'Données projet'!$B$114,BY35+BX36-CG35)))</f>
        <v>126</v>
      </c>
      <c r="BZ36" s="13">
        <f>BY36*VLOOKUP('Données projet'!$B$12,Paramètres!$A$1:$I$89,3,0)*VLOOKUP('Données projet'!$B$12,Paramètres!$A$1:$I$89,5,0)</f>
        <v>114.0048</v>
      </c>
      <c r="CA36" s="13">
        <f t="shared" si="39"/>
        <v>30.272573949217303</v>
      </c>
      <c r="CB36" s="20">
        <f t="shared" si="10"/>
        <v>251.28309296155342</v>
      </c>
      <c r="CC36" s="59">
        <f t="shared" si="11"/>
        <v>544.61642629488676</v>
      </c>
      <c r="CD36" s="59">
        <f ca="1">AVERAGE(OFFSET($CC$3,0,0,'Données projet'!$E$12+1,1))-AVERAGE(OFFSET($H$3,0,0,'Données projet'!$E$12+1,1))</f>
        <v>363.51171608224735</v>
      </c>
      <c r="CE36" s="59">
        <f t="shared" si="40"/>
        <v>257.9239334647138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2.2696224249049499</v>
      </c>
      <c r="CL36" s="21">
        <f>EXP(-LN(2)/25)*CL35+(1-EXP(-LN(2)/25))/(LN(2)/25)*Calculateur!CG36*Calculateur!CI36*VLOOKUP('Données projet'!$B$12,Paramètres!$A$1:$I$89,3,0)*0.475*44/12</f>
        <v>10.382310156392176</v>
      </c>
      <c r="CM36" s="21">
        <f>EXP(-LN(2)/2)*CM35+(1-EXP(-LN(2)/2))/(LN(2)/2)*CG36*CJ36*VLOOKUP('Données projet'!$B$12,Paramètres!$A$1:$I$89,3,0)*0.475*44/12</f>
        <v>7.6202552950840738</v>
      </c>
      <c r="CN36" s="22">
        <f t="shared" si="12"/>
        <v>20.272187876381199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1">
        <f t="shared" si="32"/>
        <v>6.0890600219069135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67">
        <f t="shared" si="1"/>
        <v>336.27074620482119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26.8</v>
      </c>
      <c r="N37" s="13">
        <f>IF('Données projet'!$A$36&gt;35,N36+M37-V36,IF(A37&lt;'Données projet'!$A$36,$K$205^A37,IF(A37='Données projet'!$A$36,'Données projet'!$B$36,N36+M37-V36)))</f>
        <v>366.20000000000005</v>
      </c>
      <c r="O37" s="13">
        <f>N37*VLOOKUP('Données projet'!$B$9,Paramètres!$A$1:$I$89,3,0)*VLOOKUP('Données projet'!$B$9,Paramètres!$A$1:$I$89,5,0)</f>
        <v>204.70580000000001</v>
      </c>
      <c r="P37" s="13">
        <f t="shared" si="33"/>
        <v>50.776956172604578</v>
      </c>
      <c r="Q37" s="20">
        <f t="shared" si="53"/>
        <v>444.96580033395298</v>
      </c>
      <c r="R37" s="59">
        <f t="shared" si="0"/>
        <v>738.29913366728624</v>
      </c>
      <c r="S37" s="59">
        <f ca="1">AVERAGE(OFFSET($R$3,0,0,'Données projet'!$E$9+1,1))-AVERAGE(OFFSET($H$3,0,0,'Données projet'!$E$9+1,1))</f>
        <v>446.28010102877403</v>
      </c>
      <c r="T37" s="59">
        <f t="shared" si="34"/>
        <v>445.84011537290456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10.550121400147017</v>
      </c>
      <c r="AA37" s="21">
        <f>EXP(-LN(2)/25)*AA36+(1-EXP(-LN(2)/25))/(LN(2)/25)*Calculateur!V37*Calculateur!X37*VLOOKUP('Données projet'!$B$9,Paramètres!$A$1:$I$89,3,0)*0.475*44/12</f>
        <v>34.690643778427194</v>
      </c>
      <c r="AB37" s="21">
        <f>EXP(-LN(2)/2)*AB36+(1-EXP(-LN(2)/2))/(LN(2)/2)*V37*Y37*VLOOKUP('Données projet'!$B$9,Paramètres!$A$1:$I$89,3,0)*0.475*44/12</f>
        <v>9.1179728387585239</v>
      </c>
      <c r="AC37" s="22">
        <f t="shared" si="3"/>
        <v>54.358738017332733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15.1</v>
      </c>
      <c r="AI37" s="13">
        <f>IF('Données projet'!$A$62&gt;35,AI36+AH37-AQ36,IF(A37&lt;'Données projet'!$A$62,$AF$205^A37,IF(A37='Données projet'!$A$62,'Données projet'!$B$62,AI36+AH37-AQ36)))</f>
        <v>239.4</v>
      </c>
      <c r="AJ37" s="13">
        <f>AI37*VLOOKUP('Données projet'!$B$10,Paramètres!$A$1:$I$89,3,0)*VLOOKUP('Données projet'!$B$10,Paramètres!$A$1:$I$89,5,0)</f>
        <v>149.38559999999998</v>
      </c>
      <c r="AK37" s="13">
        <f t="shared" si="35"/>
        <v>38.438927680599591</v>
      </c>
      <c r="AL37" s="20">
        <f t="shared" si="4"/>
        <v>327.1277190437109</v>
      </c>
      <c r="AM37" s="59">
        <f t="shared" si="5"/>
        <v>620.46105237704421</v>
      </c>
      <c r="AN37" s="59">
        <f ca="1">AVERAGE(OFFSET($AM$3,0,0,'Données projet'!$E$10+1,1))-AVERAGE(OFFSET($H$3,0,0,'Données projet'!$E$10+1,1))</f>
        <v>285.77483300338548</v>
      </c>
      <c r="AO37" s="59">
        <f t="shared" si="36"/>
        <v>320.55212417690637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7.7085030779932495</v>
      </c>
      <c r="AV37" s="21">
        <f>EXP(-LN(2)/25)*AV36+(1-EXP(-LN(2)/25))/(LN(2)/25)*Calculateur!AQ37*Calculateur!AS37*VLOOKUP('Données projet'!$B$10,Paramètres!$A$1:$I$89,3,0)*0.475*44/12</f>
        <v>24.944230323770121</v>
      </c>
      <c r="AW37" s="21">
        <f>EXP(-LN(2)/2)*AW36+(1-EXP(-LN(2)/2))/(LN(2)/2)*AQ37*AT37*VLOOKUP('Données projet'!$B$10,Paramètres!$A$1:$I$89,3,0)*0.475*44/12</f>
        <v>6.10029778422797</v>
      </c>
      <c r="AX37" s="21">
        <f t="shared" si="6"/>
        <v>38.75303118599134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27.8</v>
      </c>
      <c r="BD37" s="12">
        <f>IF('Données projet'!$A$88&gt;35,BD36+BC37-BL36,IF(A37&lt;'Données projet'!$A$88,$BA$205^A37,IF(A37='Données projet'!$A$88,'Données projet'!$B$88,BD36+BC37-BL36)))</f>
        <v>383.20000000000016</v>
      </c>
      <c r="BE37" s="13">
        <f>BD37*VLOOKUP('Données projet'!$B$11,Paramètres!$A$1:$I$89,3,0)*VLOOKUP('Données projet'!$B$11,Paramètres!$A$1:$I$89,5,0)</f>
        <v>184.31920000000008</v>
      </c>
      <c r="BF37" s="13">
        <f t="shared" si="37"/>
        <v>46.281798427722528</v>
      </c>
      <c r="BG37" s="20">
        <f t="shared" si="7"/>
        <v>401.63007226161682</v>
      </c>
      <c r="BH37" s="59">
        <f t="shared" si="8"/>
        <v>694.96340559495013</v>
      </c>
      <c r="BI37" s="59">
        <f ca="1">AVERAGE(OFFSET($BH$3,0,0,'Données projet'!$E$11+1,1))-AVERAGE(OFFSET($H$3,0,0,'Données projet'!$E$11+1,1))</f>
        <v>402.22278907877927</v>
      </c>
      <c r="BJ37" s="59">
        <f t="shared" si="38"/>
        <v>393.06397734082458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9.0780114373358014</v>
      </c>
      <c r="BQ37" s="21">
        <f>EXP(-LN(2)/25)*BQ36+(1-EXP(-LN(2)/25))/(LN(2)/25)*Calculateur!BL37*Calculateur!BN37*VLOOKUP('Données projet'!$B$11,Paramètres!$A$1:$I$89,3,0)*0.475*44/12</f>
        <v>20.128666220246053</v>
      </c>
      <c r="BR37" s="21">
        <f>EXP(-LN(2)/2)*BR36+(1-EXP(-LN(2)/2))/(LN(2)/2)*BL37*BO37*VLOOKUP('Données projet'!$B$11,Paramètres!$A$1:$I$89,3,0)*0.475*44/12</f>
        <v>7.6712541750292607</v>
      </c>
      <c r="BS37" s="22">
        <f t="shared" si="9"/>
        <v>36.877931832611118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11</v>
      </c>
      <c r="BY37" s="12">
        <f>IF('Données projet'!$A$114&gt;35,BY36+BX37-CG36,IF(A37&lt;'Données projet'!$A$114,$BV$205^A37,IF(A37='Données projet'!$A$114,'Données projet'!$B$114,BY36+BX37-CG36)))</f>
        <v>137</v>
      </c>
      <c r="BZ37" s="13">
        <f>BY37*VLOOKUP('Données projet'!$B$12,Paramètres!$A$1:$I$89,3,0)*VLOOKUP('Données projet'!$B$12,Paramètres!$A$1:$I$89,5,0)</f>
        <v>123.9576</v>
      </c>
      <c r="CA37" s="13">
        <f t="shared" si="39"/>
        <v>32.59629414926458</v>
      </c>
      <c r="CB37" s="20">
        <f t="shared" si="10"/>
        <v>272.6646989766358</v>
      </c>
      <c r="CC37" s="59">
        <f t="shared" si="11"/>
        <v>565.99803230996918</v>
      </c>
      <c r="CD37" s="59">
        <f ca="1">AVERAGE(OFFSET($CC$3,0,0,'Données projet'!$E$12+1,1))-AVERAGE(OFFSET($H$3,0,0,'Données projet'!$E$12+1,1))</f>
        <v>363.51171608224735</v>
      </c>
      <c r="CE37" s="59">
        <f t="shared" si="40"/>
        <v>257.9239334647138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2.2251165134855517</v>
      </c>
      <c r="CL37" s="21">
        <f>EXP(-LN(2)/25)*CL36+(1-EXP(-LN(2)/25))/(LN(2)/25)*Calculateur!CG37*Calculateur!CI37*VLOOKUP('Données projet'!$B$12,Paramètres!$A$1:$I$89,3,0)*0.475*44/12</f>
        <v>10.098405339183669</v>
      </c>
      <c r="CM37" s="21">
        <f>EXP(-LN(2)/2)*CM36+(1-EXP(-LN(2)/2))/(LN(2)/2)*CG37*CJ37*VLOOKUP('Données projet'!$B$12,Paramètres!$A$1:$I$89,3,0)*0.475*44/12</f>
        <v>5.3883341935266449</v>
      </c>
      <c r="CN37" s="22">
        <f t="shared" si="12"/>
        <v>17.711856046195866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1">
        <f t="shared" si="32"/>
        <v>6.2470359895716463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67">
        <f t="shared" si="1"/>
        <v>337.49683768183723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26.8</v>
      </c>
      <c r="N38" s="13">
        <f>IF('Données projet'!$A$36&gt;35,N37+M38-V37,IF(A38&lt;'Données projet'!$A$36,$K$205^A38,IF(A38='Données projet'!$A$36,'Données projet'!$B$36,N37+M38-V37)))</f>
        <v>393.00000000000006</v>
      </c>
      <c r="O38" s="13">
        <f>N38*VLOOKUP('Données projet'!$B$9,Paramètres!$A$1:$I$89,3,0)*VLOOKUP('Données projet'!$B$9,Paramètres!$A$1:$I$89,5,0)</f>
        <v>219.68700000000001</v>
      </c>
      <c r="P38" s="13">
        <f t="shared" si="33"/>
        <v>54.046851081096591</v>
      </c>
      <c r="Q38" s="20">
        <f t="shared" si="53"/>
        <v>476.75312396624321</v>
      </c>
      <c r="R38" s="59">
        <f t="shared" si="0"/>
        <v>770.08645729957652</v>
      </c>
      <c r="S38" s="59">
        <f ca="1">AVERAGE(OFFSET($R$3,0,0,'Données projet'!$E$9+1,1))-AVERAGE(OFFSET($H$3,0,0,'Données projet'!$E$9+1,1))</f>
        <v>446.28010102877403</v>
      </c>
      <c r="T38" s="59">
        <f t="shared" si="34"/>
        <v>445.84011537290456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10.343239954428791</v>
      </c>
      <c r="AA38" s="21">
        <f>EXP(-LN(2)/25)*AA37+(1-EXP(-LN(2)/25))/(LN(2)/25)*Calculateur!V38*Calculateur!X38*VLOOKUP('Données projet'!$B$9,Paramètres!$A$1:$I$89,3,0)*0.475*44/12</f>
        <v>33.742026300004433</v>
      </c>
      <c r="AB38" s="21">
        <f>EXP(-LN(2)/2)*AB37+(1-EXP(-LN(2)/2))/(LN(2)/2)*V38*Y38*VLOOKUP('Données projet'!$B$9,Paramètres!$A$1:$I$89,3,0)*0.475*44/12</f>
        <v>6.4473804249609072</v>
      </c>
      <c r="AC38" s="22">
        <f t="shared" si="3"/>
        <v>50.532646679394126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15.1</v>
      </c>
      <c r="AI38" s="13">
        <f>IF('Données projet'!$A$62&gt;35,AI37+AH38-AQ37,IF(A38&lt;'Données projet'!$A$62,$AF$205^A38,IF(A38='Données projet'!$A$62,'Données projet'!$B$62,AI37+AH38-AQ37)))</f>
        <v>254.5</v>
      </c>
      <c r="AJ38" s="13">
        <f>AI38*VLOOKUP('Données projet'!$B$10,Paramètres!$A$1:$I$89,3,0)*VLOOKUP('Données projet'!$B$10,Paramètres!$A$1:$I$89,5,0)</f>
        <v>158.80799999999999</v>
      </c>
      <c r="AK38" s="13">
        <f t="shared" si="35"/>
        <v>40.573539580413687</v>
      </c>
      <c r="AL38" s="20">
        <f t="shared" si="4"/>
        <v>347.25618143588719</v>
      </c>
      <c r="AM38" s="59">
        <f t="shared" si="5"/>
        <v>640.5895147692205</v>
      </c>
      <c r="AN38" s="59">
        <f ca="1">AVERAGE(OFFSET($AM$3,0,0,'Données projet'!$E$10+1,1))-AVERAGE(OFFSET($H$3,0,0,'Données projet'!$E$10+1,1))</f>
        <v>285.77483300338548</v>
      </c>
      <c r="AO38" s="59">
        <f t="shared" si="36"/>
        <v>320.55212417690637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7.5573440343564231</v>
      </c>
      <c r="AV38" s="21">
        <f>EXP(-LN(2)/25)*AV37+(1-EXP(-LN(2)/25))/(LN(2)/25)*Calculateur!AQ38*Calculateur!AS38*VLOOKUP('Données projet'!$B$10,Paramètres!$A$1:$I$89,3,0)*0.475*44/12</f>
        <v>24.262129033806566</v>
      </c>
      <c r="AW38" s="21">
        <f>EXP(-LN(2)/2)*AW37+(1-EXP(-LN(2)/2))/(LN(2)/2)*AQ38*AT38*VLOOKUP('Données projet'!$B$10,Paramètres!$A$1:$I$89,3,0)*0.475*44/12</f>
        <v>4.3135619304848678</v>
      </c>
      <c r="AX38" s="21">
        <f t="shared" si="6"/>
        <v>36.133034998647858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27.8</v>
      </c>
      <c r="BD38" s="12">
        <f>IF('Données projet'!$A$88&gt;35,BD37+BC38-BL37,IF(A38&lt;'Données projet'!$A$88,$BA$205^A38,IF(A38='Données projet'!$A$88,'Données projet'!$B$88,BD37+BC38-BL37)))</f>
        <v>411.00000000000017</v>
      </c>
      <c r="BE38" s="13">
        <f>BD38*VLOOKUP('Données projet'!$B$11,Paramètres!$A$1:$I$89,3,0)*VLOOKUP('Données projet'!$B$11,Paramètres!$A$1:$I$89,5,0)</f>
        <v>197.69100000000006</v>
      </c>
      <c r="BF38" s="13">
        <f t="shared" si="37"/>
        <v>49.236376973807687</v>
      </c>
      <c r="BG38" s="20">
        <f t="shared" si="7"/>
        <v>430.06518156271517</v>
      </c>
      <c r="BH38" s="59">
        <f t="shared" si="8"/>
        <v>723.39851489604848</v>
      </c>
      <c r="BI38" s="59">
        <f ca="1">AVERAGE(OFFSET($BH$3,0,0,'Données projet'!$E$11+1,1))-AVERAGE(OFFSET($H$3,0,0,'Données projet'!$E$11+1,1))</f>
        <v>402.22278907877927</v>
      </c>
      <c r="BJ38" s="59">
        <f t="shared" si="38"/>
        <v>393.06397734082458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8.8999971700898861</v>
      </c>
      <c r="BQ38" s="21">
        <f>EXP(-LN(2)/25)*BQ37+(1-EXP(-LN(2)/25))/(LN(2)/25)*Calculateur!BL38*Calculateur!BN38*VLOOKUP('Données projet'!$B$11,Paramètres!$A$1:$I$89,3,0)*0.475*44/12</f>
        <v>19.578246783932872</v>
      </c>
      <c r="BR38" s="21">
        <f>EXP(-LN(2)/2)*BR37+(1-EXP(-LN(2)/2))/(LN(2)/2)*BL38*BO38*VLOOKUP('Données projet'!$B$11,Paramètres!$A$1:$I$89,3,0)*0.475*44/12</f>
        <v>5.424395847368805</v>
      </c>
      <c r="BS38" s="22">
        <f t="shared" si="9"/>
        <v>33.902639801391565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11</v>
      </c>
      <c r="BY38" s="12">
        <f>IF('Données projet'!$A$114&gt;35,BY37+BX38-CG37,IF(A38&lt;'Données projet'!$A$114,$BV$205^A38,IF(A38='Données projet'!$A$114,'Données projet'!$B$114,BY37+BX38-CG37)))</f>
        <v>148</v>
      </c>
      <c r="BZ38" s="13">
        <f>BY38*VLOOKUP('Données projet'!$B$12,Paramètres!$A$1:$I$89,3,0)*VLOOKUP('Données projet'!$B$12,Paramètres!$A$1:$I$89,5,0)</f>
        <v>133.91039999999998</v>
      </c>
      <c r="CA38" s="13">
        <f t="shared" si="39"/>
        <v>34.898373535125089</v>
      </c>
      <c r="CB38" s="20">
        <f t="shared" si="10"/>
        <v>294.00861390700948</v>
      </c>
      <c r="CC38" s="59">
        <f t="shared" si="11"/>
        <v>587.34194724034273</v>
      </c>
      <c r="CD38" s="59">
        <f ca="1">AVERAGE(OFFSET($CC$3,0,0,'Données projet'!$E$12+1,1))-AVERAGE(OFFSET($H$3,0,0,'Données projet'!$E$12+1,1))</f>
        <v>363.51171608224735</v>
      </c>
      <c r="CE38" s="59">
        <f t="shared" si="40"/>
        <v>257.9239334647138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2.1814833358431622</v>
      </c>
      <c r="CL38" s="21">
        <f>EXP(-LN(2)/25)*CL37+(1-EXP(-LN(2)/25))/(LN(2)/25)*Calculateur!CG38*Calculateur!CI38*VLOOKUP('Données projet'!$B$12,Paramètres!$A$1:$I$89,3,0)*0.475*44/12</f>
        <v>9.8222639141316357</v>
      </c>
      <c r="CM38" s="21">
        <f>EXP(-LN(2)/2)*CM37+(1-EXP(-LN(2)/2))/(LN(2)/2)*CG38*CJ38*VLOOKUP('Données projet'!$B$12,Paramètres!$A$1:$I$89,3,0)*0.475*44/12</f>
        <v>3.8101276475420374</v>
      </c>
      <c r="CN38" s="22">
        <f t="shared" si="12"/>
        <v>15.813874897516834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1">
        <f t="shared" si="32"/>
        <v>6.4044873715575248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67">
        <f t="shared" si="1"/>
        <v>338.72201550546265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26.8</v>
      </c>
      <c r="N39" s="13">
        <f>IF('Données projet'!$A$36&gt;35,N38+M39-V38,IF(A39&lt;'Données projet'!$A$36,$K$205^A39,IF(A39='Données projet'!$A$36,'Données projet'!$B$36,N38+M39-V38)))</f>
        <v>419.80000000000007</v>
      </c>
      <c r="O39" s="13">
        <f>N39*VLOOKUP('Données projet'!$B$9,Paramètres!$A$1:$I$89,3,0)*VLOOKUP('Données projet'!$B$9,Paramètres!$A$1:$I$89,5,0)</f>
        <v>234.66820000000007</v>
      </c>
      <c r="P39" s="13">
        <f t="shared" si="33"/>
        <v>57.290872093206247</v>
      </c>
      <c r="Q39" s="20">
        <f t="shared" si="53"/>
        <v>508.4953838956676</v>
      </c>
      <c r="R39" s="59">
        <f t="shared" si="0"/>
        <v>801.82871722900086</v>
      </c>
      <c r="S39" s="59">
        <f ca="1">AVERAGE(OFFSET($R$3,0,0,'Données projet'!$E$9+1,1))-AVERAGE(OFFSET($H$3,0,0,'Données projet'!$E$9+1,1))</f>
        <v>446.28010102877403</v>
      </c>
      <c r="T39" s="59">
        <f t="shared" si="34"/>
        <v>445.84011537290456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10.140415327675877</v>
      </c>
      <c r="AA39" s="21">
        <f>EXP(-LN(2)/25)*AA38+(1-EXP(-LN(2)/25))/(LN(2)/25)*Calculateur!V39*Calculateur!X39*VLOOKUP('Données projet'!$B$9,Paramètres!$A$1:$I$89,3,0)*0.475*44/12</f>
        <v>32.819348816414767</v>
      </c>
      <c r="AB39" s="21">
        <f>EXP(-LN(2)/2)*AB38+(1-EXP(-LN(2)/2))/(LN(2)/2)*V39*Y39*VLOOKUP('Données projet'!$B$9,Paramètres!$A$1:$I$89,3,0)*0.475*44/12</f>
        <v>4.558986419379262</v>
      </c>
      <c r="AC39" s="22">
        <f t="shared" si="3"/>
        <v>47.518750563469901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15.1</v>
      </c>
      <c r="AI39" s="13">
        <f>IF('Données projet'!$A$62&gt;35,AI38+AH39-AQ38,IF(A39&lt;'Données projet'!$A$62,$AF$205^A39,IF(A39='Données projet'!$A$62,'Données projet'!$B$62,AI38+AH39-AQ38)))</f>
        <v>269.60000000000002</v>
      </c>
      <c r="AJ39" s="13">
        <f>AI39*VLOOKUP('Données projet'!$B$10,Paramètres!$A$1:$I$89,3,0)*VLOOKUP('Données projet'!$B$10,Paramètres!$A$1:$I$89,5,0)</f>
        <v>168.23040000000003</v>
      </c>
      <c r="AK39" s="13">
        <f t="shared" si="35"/>
        <v>42.693451008292193</v>
      </c>
      <c r="AL39" s="20">
        <f t="shared" si="4"/>
        <v>367.3590405061089</v>
      </c>
      <c r="AM39" s="59">
        <f t="shared" si="5"/>
        <v>660.69237383944221</v>
      </c>
      <c r="AN39" s="59">
        <f ca="1">AVERAGE(OFFSET($AM$3,0,0,'Données projet'!$E$10+1,1))-AVERAGE(OFFSET($H$3,0,0,'Données projet'!$E$10+1,1))</f>
        <v>285.77483300338548</v>
      </c>
      <c r="AO39" s="59">
        <f t="shared" si="36"/>
        <v>320.55212417690637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7.4091491273674022</v>
      </c>
      <c r="AV39" s="21">
        <f>EXP(-LN(2)/25)*AV38+(1-EXP(-LN(2)/25))/(LN(2)/25)*Calculateur!AQ39*Calculateur!AS39*VLOOKUP('Données projet'!$B$10,Paramètres!$A$1:$I$89,3,0)*0.475*44/12</f>
        <v>23.598679839487211</v>
      </c>
      <c r="AW39" s="21">
        <f>EXP(-LN(2)/2)*AW38+(1-EXP(-LN(2)/2))/(LN(2)/2)*AQ39*AT39*VLOOKUP('Données projet'!$B$10,Paramètres!$A$1:$I$89,3,0)*0.475*44/12</f>
        <v>3.050148892113985</v>
      </c>
      <c r="AX39" s="21">
        <f t="shared" si="6"/>
        <v>34.057977858968599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27.8</v>
      </c>
      <c r="BD39" s="12">
        <f>IF('Données projet'!$A$88&gt;35,BD38+BC39-BL38,IF(A39&lt;'Données projet'!$A$88,$BA$205^A39,IF(A39='Données projet'!$A$88,'Données projet'!$B$88,BD38+BC39-BL38)))</f>
        <v>438.80000000000018</v>
      </c>
      <c r="BE39" s="13">
        <f>BD39*VLOOKUP('Données projet'!$B$11,Paramètres!$A$1:$I$89,3,0)*VLOOKUP('Données projet'!$B$11,Paramètres!$A$1:$I$89,5,0)</f>
        <v>211.06280000000007</v>
      </c>
      <c r="BF39" s="13">
        <f t="shared" si="37"/>
        <v>52.167765958241851</v>
      </c>
      <c r="BG39" s="20">
        <f t="shared" si="7"/>
        <v>458.45990237727136</v>
      </c>
      <c r="BH39" s="59">
        <f t="shared" si="8"/>
        <v>751.79323571060468</v>
      </c>
      <c r="BI39" s="59">
        <f ca="1">AVERAGE(OFFSET($BH$3,0,0,'Données projet'!$E$11+1,1))-AVERAGE(OFFSET($H$3,0,0,'Données projet'!$E$11+1,1))</f>
        <v>402.22278907877927</v>
      </c>
      <c r="BJ39" s="59">
        <f t="shared" si="38"/>
        <v>393.06397734082458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8.7254736540466808</v>
      </c>
      <c r="BQ39" s="21">
        <f>EXP(-LN(2)/25)*BQ38+(1-EXP(-LN(2)/25))/(LN(2)/25)*Calculateur!BL39*Calculateur!BN39*VLOOKUP('Données projet'!$B$11,Paramètres!$A$1:$I$89,3,0)*0.475*44/12</f>
        <v>19.042878596050976</v>
      </c>
      <c r="BR39" s="21">
        <f>EXP(-LN(2)/2)*BR38+(1-EXP(-LN(2)/2))/(LN(2)/2)*BL39*BO39*VLOOKUP('Données projet'!$B$11,Paramètres!$A$1:$I$89,3,0)*0.475*44/12</f>
        <v>3.8356270875146308</v>
      </c>
      <c r="BS39" s="22">
        <f t="shared" si="9"/>
        <v>31.603979337612287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11</v>
      </c>
      <c r="BY39" s="12">
        <f>IF('Données projet'!$A$114&gt;35,BY38+BX39-CG38,IF(A39&lt;'Données projet'!$A$114,$BV$205^A39,IF(A39='Données projet'!$A$114,'Données projet'!$B$114,BY38+BX39-CG38)))</f>
        <v>159</v>
      </c>
      <c r="BZ39" s="13">
        <f>BY39*VLOOKUP('Données projet'!$B$12,Paramètres!$A$1:$I$89,3,0)*VLOOKUP('Données projet'!$B$12,Paramètres!$A$1:$I$89,5,0)</f>
        <v>143.86320000000001</v>
      </c>
      <c r="CA39" s="13">
        <f t="shared" si="39"/>
        <v>37.180603445028773</v>
      </c>
      <c r="CB39" s="20">
        <f t="shared" si="10"/>
        <v>315.31795766675845</v>
      </c>
      <c r="CC39" s="59">
        <f t="shared" si="11"/>
        <v>608.65129100009176</v>
      </c>
      <c r="CD39" s="59">
        <f ca="1">AVERAGE(OFFSET($CC$3,0,0,'Données projet'!$E$12+1,1))-AVERAGE(OFFSET($H$3,0,0,'Données projet'!$E$12+1,1))</f>
        <v>363.51171608224735</v>
      </c>
      <c r="CE39" s="59">
        <f t="shared" si="40"/>
        <v>257.9239334647138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2.1387057782007295</v>
      </c>
      <c r="CL39" s="21">
        <f>EXP(-LN(2)/25)*CL38+(1-EXP(-LN(2)/25))/(LN(2)/25)*Calculateur!CG39*Calculateur!CI39*VLOOKUP('Données projet'!$B$12,Paramètres!$A$1:$I$89,3,0)*0.475*44/12</f>
        <v>9.5536735908692965</v>
      </c>
      <c r="CM39" s="21">
        <f>EXP(-LN(2)/2)*CM38+(1-EXP(-LN(2)/2))/(LN(2)/2)*CG39*CJ39*VLOOKUP('Données projet'!$B$12,Paramètres!$A$1:$I$89,3,0)*0.475*44/12</f>
        <v>2.6941670967633229</v>
      </c>
      <c r="CN39" s="22">
        <f t="shared" si="12"/>
        <v>14.386546465833348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1">
        <f t="shared" si="32"/>
        <v>6.5614304138099282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67">
        <f t="shared" si="1"/>
        <v>339.94630797071892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26.8</v>
      </c>
      <c r="N40" s="13">
        <f>IF('Données projet'!$A$36&gt;35,N39+M40-V39,IF(A40&lt;'Données projet'!$A$36,$K$205^A40,IF(A40='Données projet'!$A$36,'Données projet'!$B$36,N39+M40-V39)))</f>
        <v>446.60000000000008</v>
      </c>
      <c r="O40" s="13">
        <f>N40*VLOOKUP('Données projet'!$B$9,Paramètres!$A$1:$I$89,3,0)*VLOOKUP('Données projet'!$B$9,Paramètres!$A$1:$I$89,5,0)</f>
        <v>249.64940000000007</v>
      </c>
      <c r="P40" s="13">
        <f t="shared" si="33"/>
        <v>60.510859008247188</v>
      </c>
      <c r="Q40" s="20">
        <f t="shared" si="53"/>
        <v>540.19578443936393</v>
      </c>
      <c r="R40" s="59">
        <f t="shared" si="0"/>
        <v>833.52911777269719</v>
      </c>
      <c r="S40" s="59">
        <f ca="1">AVERAGE(OFFSET($R$3,0,0,'Données projet'!$E$9+1,1))-AVERAGE(OFFSET($H$3,0,0,'Données projet'!$E$9+1,1))</f>
        <v>446.28010102877403</v>
      </c>
      <c r="T40" s="59">
        <f t="shared" si="34"/>
        <v>445.84011537290456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9.9415679681427811</v>
      </c>
      <c r="AA40" s="21">
        <f>EXP(-LN(2)/25)*AA39+(1-EXP(-LN(2)/25))/(LN(2)/25)*Calculateur!V40*Calculateur!X40*VLOOKUP('Données projet'!$B$9,Paramètres!$A$1:$I$89,3,0)*0.475*44/12</f>
        <v>31.921901997135361</v>
      </c>
      <c r="AB40" s="21">
        <f>EXP(-LN(2)/2)*AB39+(1-EXP(-LN(2)/2))/(LN(2)/2)*V40*Y40*VLOOKUP('Données projet'!$B$9,Paramètres!$A$1:$I$89,3,0)*0.475*44/12</f>
        <v>3.2236902124804536</v>
      </c>
      <c r="AC40" s="22">
        <f t="shared" si="3"/>
        <v>45.087160177758598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15.1</v>
      </c>
      <c r="AI40" s="13">
        <f>IF('Données projet'!$A$62&gt;35,AI39+AH40-AQ39,IF(A40&lt;'Données projet'!$A$62,$AF$205^A40,IF(A40='Données projet'!$A$62,'Données projet'!$B$62,AI39+AH40-AQ39)))</f>
        <v>284.70000000000005</v>
      </c>
      <c r="AJ40" s="13">
        <f>AI40*VLOOKUP('Données projet'!$B$10,Paramètres!$A$1:$I$89,3,0)*VLOOKUP('Données projet'!$B$10,Paramètres!$A$1:$I$89,5,0)</f>
        <v>177.65280000000001</v>
      </c>
      <c r="AK40" s="13">
        <f t="shared" si="35"/>
        <v>44.799579155749747</v>
      </c>
      <c r="AL40" s="20">
        <f t="shared" si="4"/>
        <v>387.43789369626415</v>
      </c>
      <c r="AM40" s="59">
        <f t="shared" si="5"/>
        <v>680.77122702959741</v>
      </c>
      <c r="AN40" s="59">
        <f ca="1">AVERAGE(OFFSET($AM$3,0,0,'Données projet'!$E$10+1,1))-AVERAGE(OFFSET($H$3,0,0,'Données projet'!$E$10+1,1))</f>
        <v>285.77483300338548</v>
      </c>
      <c r="AO40" s="59">
        <f t="shared" si="36"/>
        <v>320.55212417690637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7.2638602321144674</v>
      </c>
      <c r="AV40" s="21">
        <f>EXP(-LN(2)/25)*AV39+(1-EXP(-LN(2)/25))/(LN(2)/25)*Calculateur!AQ40*Calculateur!AS40*VLOOKUP('Données projet'!$B$10,Paramètres!$A$1:$I$89,3,0)*0.475*44/12</f>
        <v>22.953372698275796</v>
      </c>
      <c r="AW40" s="21">
        <f>EXP(-LN(2)/2)*AW39+(1-EXP(-LN(2)/2))/(LN(2)/2)*AQ40*AT40*VLOOKUP('Données projet'!$B$10,Paramètres!$A$1:$I$89,3,0)*0.475*44/12</f>
        <v>2.1567809652424339</v>
      </c>
      <c r="AX40" s="21">
        <f t="shared" si="6"/>
        <v>32.3740138956327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27.8</v>
      </c>
      <c r="BD40" s="12">
        <f>IF('Données projet'!$A$88&gt;35,BD39+BC40-BL39,IF(A40&lt;'Données projet'!$A$88,$BA$205^A40,IF(A40='Données projet'!$A$88,'Données projet'!$B$88,BD39+BC40-BL39)))</f>
        <v>466.60000000000019</v>
      </c>
      <c r="BE40" s="13">
        <f>BD40*VLOOKUP('Données projet'!$B$11,Paramètres!$A$1:$I$89,3,0)*VLOOKUP('Données projet'!$B$11,Paramètres!$A$1:$I$89,5,0)</f>
        <v>224.4346000000001</v>
      </c>
      <c r="BF40" s="13">
        <f t="shared" si="37"/>
        <v>55.077601782411648</v>
      </c>
      <c r="BG40" s="20">
        <f t="shared" si="7"/>
        <v>486.81708477103376</v>
      </c>
      <c r="BH40" s="59">
        <f t="shared" si="8"/>
        <v>780.15041810436708</v>
      </c>
      <c r="BI40" s="59">
        <f ca="1">AVERAGE(OFFSET($BH$3,0,0,'Données projet'!$E$11+1,1))-AVERAGE(OFFSET($H$3,0,0,'Données projet'!$E$11+1,1))</f>
        <v>402.22278907877927</v>
      </c>
      <c r="BJ40" s="59">
        <f t="shared" si="38"/>
        <v>393.06397734082458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8.5543724377042487</v>
      </c>
      <c r="BQ40" s="21">
        <f>EXP(-LN(2)/25)*BQ39+(1-EXP(-LN(2)/25))/(LN(2)/25)*Calculateur!BL40*Calculateur!BN40*VLOOKUP('Données projet'!$B$11,Paramètres!$A$1:$I$89,3,0)*0.475*44/12</f>
        <v>18.522150079420499</v>
      </c>
      <c r="BR40" s="21">
        <f>EXP(-LN(2)/2)*BR39+(1-EXP(-LN(2)/2))/(LN(2)/2)*BL40*BO40*VLOOKUP('Données projet'!$B$11,Paramètres!$A$1:$I$89,3,0)*0.475*44/12</f>
        <v>2.7121979236844029</v>
      </c>
      <c r="BS40" s="22">
        <f t="shared" si="9"/>
        <v>29.788720440809151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11</v>
      </c>
      <c r="BY40" s="12">
        <f>IF('Données projet'!$A$114&gt;35,BY39+BX40-CG39,IF(A40&lt;'Données projet'!$A$114,$BV$205^A40,IF(A40='Données projet'!$A$114,'Données projet'!$B$114,BY39+BX40-CG39)))</f>
        <v>170</v>
      </c>
      <c r="BZ40" s="13">
        <f>BY40*VLOOKUP('Données projet'!$B$12,Paramètres!$A$1:$I$89,3,0)*VLOOKUP('Données projet'!$B$12,Paramètres!$A$1:$I$89,5,0)</f>
        <v>153.816</v>
      </c>
      <c r="CA40" s="13">
        <f t="shared" si="39"/>
        <v>39.444513325737063</v>
      </c>
      <c r="CB40" s="20">
        <f t="shared" si="10"/>
        <v>336.59539404232538</v>
      </c>
      <c r="CC40" s="59">
        <f t="shared" si="11"/>
        <v>629.9287273756587</v>
      </c>
      <c r="CD40" s="59">
        <f ca="1">AVERAGE(OFFSET($CC$3,0,0,'Données projet'!$E$12+1,1))-AVERAGE(OFFSET($H$3,0,0,'Données projet'!$E$12+1,1))</f>
        <v>363.51171608224735</v>
      </c>
      <c r="CE40" s="59">
        <f t="shared" si="40"/>
        <v>257.9239334647138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2.096767062371931</v>
      </c>
      <c r="CL40" s="21">
        <f>EXP(-LN(2)/25)*CL39+(1-EXP(-LN(2)/25))/(LN(2)/25)*Calculateur!CG40*Calculateur!CI40*VLOOKUP('Données projet'!$B$12,Paramètres!$A$1:$I$89,3,0)*0.475*44/12</f>
        <v>9.2924278841211159</v>
      </c>
      <c r="CM40" s="21">
        <f>EXP(-LN(2)/2)*CM39+(1-EXP(-LN(2)/2))/(LN(2)/2)*CG40*CJ40*VLOOKUP('Données projet'!$B$12,Paramètres!$A$1:$I$89,3,0)*0.475*44/12</f>
        <v>1.9050638237710191</v>
      </c>
      <c r="CN40" s="22">
        <f t="shared" si="12"/>
        <v>13.294258770264067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1">
        <f t="shared" si="32"/>
        <v>6.717880434124976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67">
        <f t="shared" si="1"/>
        <v>341.16974175610096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26.8</v>
      </c>
      <c r="N41" s="13">
        <f>IF('Données projet'!$A$36&gt;35,N40+M41-V40,IF(A41&lt;'Données projet'!$A$36,$K$205^A41,IF(A41='Données projet'!$A$36,'Données projet'!$B$36,N40+M41-V40)))</f>
        <v>473.40000000000009</v>
      </c>
      <c r="O41" s="13">
        <f>N41*VLOOKUP('Données projet'!$B$9,Paramètres!$A$1:$I$89,3,0)*VLOOKUP('Données projet'!$B$9,Paramètres!$A$1:$I$89,5,0)</f>
        <v>264.63060000000007</v>
      </c>
      <c r="P41" s="13">
        <f t="shared" si="33"/>
        <v>63.708418341323984</v>
      </c>
      <c r="Q41" s="20">
        <f t="shared" si="53"/>
        <v>571.8571236111394</v>
      </c>
      <c r="R41" s="59">
        <f t="shared" si="0"/>
        <v>865.19045694447277</v>
      </c>
      <c r="S41" s="59">
        <f ca="1">AVERAGE(OFFSET($R$3,0,0,'Données projet'!$E$9+1,1))-AVERAGE(OFFSET($H$3,0,0,'Données projet'!$E$9+1,1))</f>
        <v>446.28010102877403</v>
      </c>
      <c r="T41" s="59">
        <f t="shared" si="34"/>
        <v>445.84011537290456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9.7466198840452147</v>
      </c>
      <c r="AA41" s="21">
        <f>EXP(-LN(2)/25)*AA40+(1-EXP(-LN(2)/25))/(LN(2)/25)*Calculateur!V41*Calculateur!X41*VLOOKUP('Données projet'!$B$9,Paramètres!$A$1:$I$89,3,0)*0.475*44/12</f>
        <v>31.048995908323828</v>
      </c>
      <c r="AB41" s="21">
        <f>EXP(-LN(2)/2)*AB40+(1-EXP(-LN(2)/2))/(LN(2)/2)*V41*Y41*VLOOKUP('Données projet'!$B$9,Paramètres!$A$1:$I$89,3,0)*0.475*44/12</f>
        <v>2.279493209689631</v>
      </c>
      <c r="AC41" s="22">
        <f t="shared" si="3"/>
        <v>43.075109002058674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15.1</v>
      </c>
      <c r="AI41" s="13">
        <f>IF('Données projet'!$A$62&gt;35,AI40+AH41-AQ40,IF(A41&lt;'Données projet'!$A$62,$AF$205^A41,IF(A41='Données projet'!$A$62,'Données projet'!$B$62,AI40+AH41-AQ40)))</f>
        <v>299.80000000000007</v>
      </c>
      <c r="AJ41" s="13">
        <f>AI41*VLOOKUP('Données projet'!$B$10,Paramètres!$A$1:$I$89,3,0)*VLOOKUP('Données projet'!$B$10,Paramètres!$A$1:$I$89,5,0)</f>
        <v>187.07520000000005</v>
      </c>
      <c r="AK41" s="13">
        <f t="shared" si="35"/>
        <v>46.892738426785456</v>
      </c>
      <c r="AL41" s="20">
        <f t="shared" si="4"/>
        <v>407.49415942665138</v>
      </c>
      <c r="AM41" s="59">
        <f t="shared" si="5"/>
        <v>700.82749275998469</v>
      </c>
      <c r="AN41" s="59">
        <f ca="1">AVERAGE(OFFSET($AM$3,0,0,'Données projet'!$E$10+1,1))-AVERAGE(OFFSET($H$3,0,0,'Données projet'!$E$10+1,1))</f>
        <v>285.77483300338548</v>
      </c>
      <c r="AO41" s="59">
        <f t="shared" si="36"/>
        <v>320.55212417690637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7.1214203634799667</v>
      </c>
      <c r="AV41" s="21">
        <f>EXP(-LN(2)/25)*AV40+(1-EXP(-LN(2)/25))/(LN(2)/25)*Calculateur!AQ41*Calculateur!AS41*VLOOKUP('Données projet'!$B$10,Paramètres!$A$1:$I$89,3,0)*0.475*44/12</f>
        <v>22.325711514776035</v>
      </c>
      <c r="AW41" s="21">
        <f>EXP(-LN(2)/2)*AW40+(1-EXP(-LN(2)/2))/(LN(2)/2)*AQ41*AT41*VLOOKUP('Données projet'!$B$10,Paramètres!$A$1:$I$89,3,0)*0.475*44/12</f>
        <v>1.5250744460569925</v>
      </c>
      <c r="AX41" s="21">
        <f t="shared" si="6"/>
        <v>30.972206324312996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27.8</v>
      </c>
      <c r="BD41" s="12">
        <f>IF('Données projet'!$A$88&gt;35,BD40+BC41-BL40,IF(A41&lt;'Données projet'!$A$88,$BA$205^A41,IF(A41='Données projet'!$A$88,'Données projet'!$B$88,BD40+BC41-BL40)))</f>
        <v>494.4000000000002</v>
      </c>
      <c r="BE41" s="13">
        <f>BD41*VLOOKUP('Données projet'!$B$11,Paramètres!$A$1:$I$89,3,0)*VLOOKUP('Données projet'!$B$11,Paramètres!$A$1:$I$89,5,0)</f>
        <v>237.80640000000011</v>
      </c>
      <c r="BF41" s="13">
        <f t="shared" si="37"/>
        <v>57.967314838085144</v>
      </c>
      <c r="BG41" s="20">
        <f t="shared" si="7"/>
        <v>515.13922000966511</v>
      </c>
      <c r="BH41" s="59">
        <f t="shared" si="8"/>
        <v>808.47255334299848</v>
      </c>
      <c r="BI41" s="59">
        <f ca="1">AVERAGE(OFFSET($BH$3,0,0,'Données projet'!$E$11+1,1))-AVERAGE(OFFSET($H$3,0,0,'Données projet'!$E$11+1,1))</f>
        <v>402.22278907877927</v>
      </c>
      <c r="BJ41" s="59">
        <f t="shared" si="38"/>
        <v>393.06397734082458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8.3866264118528555</v>
      </c>
      <c r="BQ41" s="21">
        <f>EXP(-LN(2)/25)*BQ40+(1-EXP(-LN(2)/25))/(LN(2)/25)*Calculateur!BL41*Calculateur!BN41*VLOOKUP('Données projet'!$B$11,Paramètres!$A$1:$I$89,3,0)*0.475*44/12</f>
        <v>18.015660911461204</v>
      </c>
      <c r="BR41" s="21">
        <f>EXP(-LN(2)/2)*BR40+(1-EXP(-LN(2)/2))/(LN(2)/2)*BL41*BO41*VLOOKUP('Données projet'!$B$11,Paramètres!$A$1:$I$89,3,0)*0.475*44/12</f>
        <v>1.9178135437573158</v>
      </c>
      <c r="BS41" s="22">
        <f t="shared" si="9"/>
        <v>28.320100867071375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11</v>
      </c>
      <c r="BY41" s="12">
        <f>IF('Données projet'!$A$114&gt;35,BY40+BX41-CG40,IF(A41&lt;'Données projet'!$A$114,$BV$205^A41,IF(A41='Données projet'!$A$114,'Données projet'!$B$114,BY40+BX41-CG40)))</f>
        <v>181</v>
      </c>
      <c r="BZ41" s="13">
        <f>BY41*VLOOKUP('Données projet'!$B$12,Paramètres!$A$1:$I$89,3,0)*VLOOKUP('Données projet'!$B$12,Paramètres!$A$1:$I$89,5,0)</f>
        <v>163.7688</v>
      </c>
      <c r="CA41" s="13">
        <f t="shared" si="39"/>
        <v>41.691423503509803</v>
      </c>
      <c r="CB41" s="20">
        <f t="shared" si="10"/>
        <v>357.84322260194625</v>
      </c>
      <c r="CC41" s="59">
        <f t="shared" si="11"/>
        <v>651.17655593527957</v>
      </c>
      <c r="CD41" s="59">
        <f ca="1">AVERAGE(OFFSET($CC$3,0,0,'Données projet'!$E$12+1,1))-AVERAGE(OFFSET($H$3,0,0,'Données projet'!$E$12+1,1))</f>
        <v>363.51171608224735</v>
      </c>
      <c r="CE41" s="59">
        <f t="shared" si="40"/>
        <v>257.9239334647138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2.0556507391804444</v>
      </c>
      <c r="CL41" s="21">
        <f>EXP(-LN(2)/25)*CL40+(1-EXP(-LN(2)/25))/(LN(2)/25)*Calculateur!CG41*Calculateur!CI41*VLOOKUP('Données projet'!$B$12,Paramètres!$A$1:$I$89,3,0)*0.475*44/12</f>
        <v>9.0383259549622803</v>
      </c>
      <c r="CM41" s="21">
        <f>EXP(-LN(2)/2)*CM40+(1-EXP(-LN(2)/2))/(LN(2)/2)*CG41*CJ41*VLOOKUP('Données projet'!$B$12,Paramètres!$A$1:$I$89,3,0)*0.475*44/12</f>
        <v>1.3470835483816617</v>
      </c>
      <c r="CN41" s="22">
        <f t="shared" si="12"/>
        <v>12.441060242524387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1">
        <f t="shared" si="32"/>
        <v>6.8738518981865644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67">
        <f t="shared" si="1"/>
        <v>342.3923420560082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26.8</v>
      </c>
      <c r="N42" s="13">
        <f>IF('Données projet'!$A$36&gt;35,N41+M42-V41,IF(A42&lt;'Données projet'!$A$36,$K$205^A42,IF(A42='Données projet'!$A$36,'Données projet'!$B$36,N41+M42-V41)))</f>
        <v>500.2000000000001</v>
      </c>
      <c r="O42" s="13">
        <f>N42*VLOOKUP('Données projet'!$B$9,Paramètres!$A$1:$I$89,3,0)*VLOOKUP('Données projet'!$B$9,Paramètres!$A$1:$I$89,5,0)</f>
        <v>279.61180000000007</v>
      </c>
      <c r="P42" s="13">
        <f t="shared" si="33"/>
        <v>66.884964438617615</v>
      </c>
      <c r="Q42" s="20">
        <f t="shared" si="53"/>
        <v>603.48186473059241</v>
      </c>
      <c r="R42" s="59">
        <f t="shared" si="0"/>
        <v>896.81519806392566</v>
      </c>
      <c r="S42" s="59">
        <f ca="1">AVERAGE(OFFSET($R$3,0,0,'Données projet'!$E$9+1,1))-AVERAGE(OFFSET($H$3,0,0,'Données projet'!$E$9+1,1))</f>
        <v>446.28010102877403</v>
      </c>
      <c r="T42" s="59">
        <f t="shared" si="34"/>
        <v>445.84011537290456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9.5554946129702127</v>
      </c>
      <c r="AA42" s="21">
        <f>EXP(-LN(2)/25)*AA41+(1-EXP(-LN(2)/25))/(LN(2)/25)*Calculateur!V42*Calculateur!X42*VLOOKUP('Données projet'!$B$9,Paramètres!$A$1:$I$89,3,0)*0.475*44/12</f>
        <v>30.199959482414982</v>
      </c>
      <c r="AB42" s="21">
        <f>EXP(-LN(2)/2)*AB41+(1-EXP(-LN(2)/2))/(LN(2)/2)*V42*Y42*VLOOKUP('Données projet'!$B$9,Paramètres!$A$1:$I$89,3,0)*0.475*44/12</f>
        <v>1.6118451062402268</v>
      </c>
      <c r="AC42" s="22">
        <f t="shared" si="3"/>
        <v>41.367299201625421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15.1</v>
      </c>
      <c r="AI42" s="13">
        <f>IF('Données projet'!$A$62&gt;35,AI41+AH42-AQ41,IF(A42&lt;'Données projet'!$A$62,$AF$205^A42,IF(A42='Données projet'!$A$62,'Données projet'!$B$62,AI41+AH42-AQ41)))</f>
        <v>314.90000000000009</v>
      </c>
      <c r="AJ42" s="13">
        <f>AI42*VLOOKUP('Données projet'!$B$10,Paramètres!$A$1:$I$89,3,0)*VLOOKUP('Données projet'!$B$10,Paramètres!$A$1:$I$89,5,0)</f>
        <v>196.49760000000006</v>
      </c>
      <c r="AK42" s="13">
        <f t="shared" si="35"/>
        <v>48.973656553237205</v>
      </c>
      <c r="AL42" s="20">
        <f t="shared" si="4"/>
        <v>427.5291051635549</v>
      </c>
      <c r="AM42" s="59">
        <f t="shared" si="5"/>
        <v>720.86243849688822</v>
      </c>
      <c r="AN42" s="59">
        <f ca="1">AVERAGE(OFFSET($AM$3,0,0,'Données projet'!$E$10+1,1))-AVERAGE(OFFSET($H$3,0,0,'Données projet'!$E$10+1,1))</f>
        <v>285.77483300338548</v>
      </c>
      <c r="AO42" s="59">
        <f t="shared" si="36"/>
        <v>320.55212417690637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6.9817736537896478</v>
      </c>
      <c r="AV42" s="21">
        <f>EXP(-LN(2)/25)*AV41+(1-EXP(-LN(2)/25))/(LN(2)/25)*Calculateur!AQ42*Calculateur!AS42*VLOOKUP('Données projet'!$B$10,Paramètres!$A$1:$I$89,3,0)*0.475*44/12</f>
        <v>21.715213759346341</v>
      </c>
      <c r="AW42" s="21">
        <f>EXP(-LN(2)/2)*AW41+(1-EXP(-LN(2)/2))/(LN(2)/2)*AQ42*AT42*VLOOKUP('Données projet'!$B$10,Paramètres!$A$1:$I$89,3,0)*0.475*44/12</f>
        <v>1.078390482621217</v>
      </c>
      <c r="AX42" s="21">
        <f t="shared" si="6"/>
        <v>29.775377895757206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27.8</v>
      </c>
      <c r="BD42" s="12">
        <f>IF('Données projet'!$A$88&gt;35,BD41+BC42-BL41,IF(A42&lt;'Données projet'!$A$88,$BA$205^A42,IF(A42='Données projet'!$A$88,'Données projet'!$B$88,BD41+BC42-BL41)))</f>
        <v>522.20000000000016</v>
      </c>
      <c r="BE42" s="13">
        <f>BD42*VLOOKUP('Données projet'!$B$11,Paramètres!$A$1:$I$89,3,0)*VLOOKUP('Données projet'!$B$11,Paramètres!$A$1:$I$89,5,0)</f>
        <v>251.17820000000009</v>
      </c>
      <c r="BF42" s="13">
        <f t="shared" si="37"/>
        <v>60.83816557033434</v>
      </c>
      <c r="BG42" s="20">
        <f t="shared" si="7"/>
        <v>543.42850336833237</v>
      </c>
      <c r="BH42" s="59">
        <f t="shared" si="8"/>
        <v>836.76183670166574</v>
      </c>
      <c r="BI42" s="59">
        <f ca="1">AVERAGE(OFFSET($BH$3,0,0,'Données projet'!$E$11+1,1))-AVERAGE(OFFSET($H$3,0,0,'Données projet'!$E$11+1,1))</f>
        <v>402.22278907877927</v>
      </c>
      <c r="BJ42" s="59">
        <f t="shared" si="38"/>
        <v>393.06397734082458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8.2221697832534346</v>
      </c>
      <c r="BQ42" s="21">
        <f>EXP(-LN(2)/25)*BQ41+(1-EXP(-LN(2)/25))/(LN(2)/25)*Calculateur!BL42*Calculateur!BN42*VLOOKUP('Données projet'!$B$11,Paramètres!$A$1:$I$89,3,0)*0.475*44/12</f>
        <v>17.523021716434865</v>
      </c>
      <c r="BR42" s="21">
        <f>EXP(-LN(2)/2)*BR41+(1-EXP(-LN(2)/2))/(LN(2)/2)*BL42*BO42*VLOOKUP('Données projet'!$B$11,Paramètres!$A$1:$I$89,3,0)*0.475*44/12</f>
        <v>1.3560989618422017</v>
      </c>
      <c r="BS42" s="22">
        <f t="shared" si="9"/>
        <v>27.101290461530503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11</v>
      </c>
      <c r="BY42" s="12">
        <f>IF('Données projet'!$A$114&gt;35,BY41+BX42-CG41,IF(A42&lt;'Données projet'!$A$114,$BV$205^A42,IF(A42='Données projet'!$A$114,'Données projet'!$B$114,BY41+BX42-CG41)))</f>
        <v>192</v>
      </c>
      <c r="BZ42" s="13">
        <f>BY42*VLOOKUP('Données projet'!$B$12,Paramètres!$A$1:$I$89,3,0)*VLOOKUP('Données projet'!$B$12,Paramètres!$A$1:$I$89,5,0)</f>
        <v>173.7216</v>
      </c>
      <c r="CA42" s="13">
        <f t="shared" si="39"/>
        <v>43.922484755075111</v>
      </c>
      <c r="CB42" s="20">
        <f t="shared" si="10"/>
        <v>379.06344761508916</v>
      </c>
      <c r="CC42" s="59">
        <f t="shared" si="11"/>
        <v>672.39678094842247</v>
      </c>
      <c r="CD42" s="59">
        <f ca="1">AVERAGE(OFFSET($CC$3,0,0,'Données projet'!$E$12+1,1))-AVERAGE(OFFSET($H$3,0,0,'Données projet'!$E$12+1,1))</f>
        <v>363.51171608224735</v>
      </c>
      <c r="CE42" s="59">
        <f t="shared" si="40"/>
        <v>257.9239334647138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2.015340682008262</v>
      </c>
      <c r="CL42" s="21">
        <f>EXP(-LN(2)/25)*CL41+(1-EXP(-LN(2)/25))/(LN(2)/25)*Calculateur!CG42*Calculateur!CI42*VLOOKUP('Données projet'!$B$12,Paramètres!$A$1:$I$89,3,0)*0.475*44/12</f>
        <v>8.7911724564189324</v>
      </c>
      <c r="CM42" s="21">
        <f>EXP(-LN(2)/2)*CM41+(1-EXP(-LN(2)/2))/(LN(2)/2)*CG42*CJ42*VLOOKUP('Données projet'!$B$12,Paramètres!$A$1:$I$89,3,0)*0.475*44/12</f>
        <v>0.95253191188550967</v>
      </c>
      <c r="CN42" s="22">
        <f t="shared" si="12"/>
        <v>11.759045050312704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1">
        <f t="shared" si="32"/>
        <v>7.0293584875852577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67">
        <f t="shared" si="1"/>
        <v>343.61413269921093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527</v>
      </c>
      <c r="L43" s="12">
        <f>VLOOKUP(A43,'Données projet'!$A$35:$I$55,9,0)</f>
        <v>26.8</v>
      </c>
      <c r="M43" s="12">
        <f t="array" ref="M43">INDEX(L:L,MIN(IF(ISNUMBER(L43:L239),ROW(L43:L239),"")))</f>
        <v>26.8</v>
      </c>
      <c r="N43" s="13">
        <f>IF('Données projet'!$A$36&gt;35,N42+M43-V42,IF(A43&lt;'Données projet'!$A$36,$K$205^A43,IF(A43='Données projet'!$A$36,'Données projet'!$B$36,N42+M43-V42)))</f>
        <v>527.00000000000011</v>
      </c>
      <c r="O43" s="13">
        <f>N43*VLOOKUP('Données projet'!$B$9,Paramètres!$A$1:$I$89,3,0)*VLOOKUP('Données projet'!$B$9,Paramètres!$A$1:$I$89,5,0)</f>
        <v>294.59300000000007</v>
      </c>
      <c r="P43" s="13">
        <f t="shared" si="33"/>
        <v>70.041751529321004</v>
      </c>
      <c r="Q43" s="20">
        <f t="shared" si="53"/>
        <v>635.07219224690084</v>
      </c>
      <c r="R43" s="59">
        <f t="shared" si="0"/>
        <v>928.4055255802341</v>
      </c>
      <c r="S43" s="59">
        <f ca="1">AVERAGE(OFFSET($R$3,0,0,'Données projet'!$E$9+1,1))-AVERAGE(OFFSET($H$3,0,0,'Données projet'!$E$9+1,1))</f>
        <v>446.28010102877403</v>
      </c>
      <c r="T43" s="59">
        <f t="shared" si="34"/>
        <v>445.84011537290456</v>
      </c>
      <c r="U43" s="15">
        <f>IF(ISNA(VLOOKUP(A43,'Données projet'!$A$35:$I$55,3,0)),0,VLOOKUP(A43,'Données projet'!$A$35:$I$55,3,0))</f>
        <v>3</v>
      </c>
      <c r="V43" s="15">
        <f>IF(ISNA(VLOOKUP(A43,'Données projet'!$A$35:$I$55,4,0)),0,VLOOKUP(A43,'Données projet'!$A$35:$I$55,4,0))</f>
        <v>140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9.3681171918860855</v>
      </c>
      <c r="AA43" s="21">
        <f>EXP(-LN(2)/25)*AA42+(1-EXP(-LN(2)/25))/(LN(2)/25)*Calculateur!V43*Calculateur!X43*VLOOKUP('Données projet'!$B$9,Paramètres!$A$1:$I$89,3,0)*0.475*44/12</f>
        <v>29.374140002221498</v>
      </c>
      <c r="AB43" s="21">
        <f>EXP(-LN(2)/2)*AB42+(1-EXP(-LN(2)/2))/(LN(2)/2)*V43*Y43*VLOOKUP('Données projet'!$B$9,Paramètres!$A$1:$I$89,3,0)*0.475*44/12</f>
        <v>1.1397466048448155</v>
      </c>
      <c r="AC43" s="22">
        <f t="shared" si="3"/>
        <v>39.882003798952397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330</v>
      </c>
      <c r="AG43" s="12">
        <f>VLOOKUP(A43,'Données projet'!$A$61:$I$81,9,0)</f>
        <v>15.1</v>
      </c>
      <c r="AH43" s="12">
        <f t="array" ref="AH43">INDEX(AG:AG,MIN(IF(ISNUMBER(AG43:AG239),ROW(AG43:AG239),"")))</f>
        <v>15.1</v>
      </c>
      <c r="AI43" s="13">
        <f>IF('Données projet'!$A$62&gt;35,AI42+AH43-AQ42,IF(A43&lt;'Données projet'!$A$62,$AF$205^A43,IF(A43='Données projet'!$A$62,'Données projet'!$B$62,AI42+AH43-AQ42)))</f>
        <v>330.00000000000011</v>
      </c>
      <c r="AJ43" s="13">
        <f>AI43*VLOOKUP('Données projet'!$B$10,Paramètres!$A$1:$I$89,3,0)*VLOOKUP('Données projet'!$B$10,Paramètres!$A$1:$I$89,5,0)</f>
        <v>205.9200000000001</v>
      </c>
      <c r="AK43" s="13">
        <f t="shared" si="35"/>
        <v>51.042987531485686</v>
      </c>
      <c r="AL43" s="20">
        <f t="shared" si="4"/>
        <v>447.54386995067108</v>
      </c>
      <c r="AM43" s="59">
        <f t="shared" si="5"/>
        <v>740.87720328400439</v>
      </c>
      <c r="AN43" s="59">
        <f ca="1">AVERAGE(OFFSET($AM$3,0,0,'Données projet'!$E$10+1,1))-AVERAGE(OFFSET($H$3,0,0,'Données projet'!$E$10+1,1))</f>
        <v>285.77483300338548</v>
      </c>
      <c r="AO43" s="59">
        <f t="shared" si="36"/>
        <v>320.55212417690637</v>
      </c>
      <c r="AP43" s="15">
        <f>IF(ISNA(VLOOKUP(A43,'Données projet'!$A$61:$I$81,3,0)),0,VLOOKUP(A43,'Données projet'!$A$61:$I$81,3,0))</f>
        <v>3</v>
      </c>
      <c r="AQ43" s="15">
        <f>IF(ISNA(VLOOKUP(A43,'Données projet'!$A$61:$I$81,4,0)),0,VLOOKUP(A43,'Données projet'!$A$61:$I$81,4,0))</f>
        <v>82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6.8448653309002738</v>
      </c>
      <c r="AV43" s="21">
        <f>EXP(-LN(2)/25)*AV42+(1-EXP(-LN(2)/25))/(LN(2)/25)*Calculateur!AQ43*Calculateur!AS43*VLOOKUP('Données projet'!$B$10,Paramètres!$A$1:$I$89,3,0)*0.475*44/12</f>
        <v>21.121410097143553</v>
      </c>
      <c r="AW43" s="21">
        <f>EXP(-LN(2)/2)*AW42+(1-EXP(-LN(2)/2))/(LN(2)/2)*AQ43*AT43*VLOOKUP('Données projet'!$B$10,Paramètres!$A$1:$I$89,3,0)*0.475*44/12</f>
        <v>0.76253722302849625</v>
      </c>
      <c r="AX43" s="21">
        <f t="shared" si="6"/>
        <v>28.728812651072321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550</v>
      </c>
      <c r="BB43" s="12">
        <f>VLOOKUP(A43,'Données projet'!$A$87:$I$107,9,0)</f>
        <v>27.8</v>
      </c>
      <c r="BC43" s="12">
        <f t="array" ref="BC43">INDEX(BB:BB,MIN(IF(ISNUMBER(BB43:BB239),ROW(BB43:BB239),"")))</f>
        <v>27.8</v>
      </c>
      <c r="BD43" s="12">
        <f>IF('Données projet'!$A$88&gt;35,BD42+BC43-BL42,IF(A43&lt;'Données projet'!$A$88,$BA$205^A43,IF(A43='Données projet'!$A$88,'Données projet'!$B$88,BD42+BC43-BL42)))</f>
        <v>550.00000000000011</v>
      </c>
      <c r="BE43" s="13">
        <f>BD43*VLOOKUP('Données projet'!$B$11,Paramètres!$A$1:$I$89,3,0)*VLOOKUP('Données projet'!$B$11,Paramètres!$A$1:$I$89,5,0)</f>
        <v>264.55000000000007</v>
      </c>
      <c r="BF43" s="13">
        <f t="shared" si="37"/>
        <v>63.691272641742856</v>
      </c>
      <c r="BG43" s="20">
        <f t="shared" si="7"/>
        <v>571.68688318436887</v>
      </c>
      <c r="BH43" s="59">
        <f t="shared" si="8"/>
        <v>865.02021651770224</v>
      </c>
      <c r="BI43" s="59">
        <f ca="1">AVERAGE(OFFSET($BH$3,0,0,'Données projet'!$E$11+1,1))-AVERAGE(OFFSET($H$3,0,0,'Données projet'!$E$11+1,1))</f>
        <v>402.22278907877927</v>
      </c>
      <c r="BJ43" s="59">
        <f t="shared" si="38"/>
        <v>393.06397734082458</v>
      </c>
      <c r="BK43" s="15">
        <f>IF(ISNA(VLOOKUP(A43,'Données projet'!$A$87:$I$107,3,0)),0,VLOOKUP(A43,'Données projet'!$A$87:$I$107,3,0))</f>
        <v>4</v>
      </c>
      <c r="BL43" s="15">
        <f>IF(ISNA(VLOOKUP(A43,'Données projet'!$A$87:$I$107,4,0)),0,VLOOKUP(A43,'Données projet'!$A$87:$I$107,4,0))</f>
        <v>140</v>
      </c>
      <c r="BM43" s="16">
        <f>IF(ISNA(VLOOKUP(A43,'Données projet'!$A$87:$I$107,5,0)),0%,VLOOKUP(A43,'Données projet'!$A$87:$I$107,5,0)*VLOOKUP('Données projet'!$B$11,Paramètres!$A$1:$I$89,7,0))</f>
        <v>0.16500000000000001</v>
      </c>
      <c r="BN43" s="16">
        <f>IF(ISNA(VLOOKUP(A43,'Données projet'!$A$87:$I$107,6,0)),0%,VLOOKUP(A43,'Données projet'!$A$87:$I$107,6,0)*VLOOKUP('Données projet'!$B$11,Paramètres!$A$1:$I$89,7,0))</f>
        <v>0.1925</v>
      </c>
      <c r="BO43" s="16">
        <f>IF(ISNA(VLOOKUP(A43,'Données projet'!$A$87:$I$107,7,0)),0%,VLOOKUP(A43,'Données projet'!$A$87:$I$107,7,0))</f>
        <v>0.35</v>
      </c>
      <c r="BP43" s="21">
        <f>EXP(-LN(2)/35)*BP42+(1-EXP(-LN(2)/35))/(LN(2)/35)*BL43*BM43*VLOOKUP('Données projet'!$B$11,Paramètres!$A$1:$I$89,3,0)*0.475*44/12</f>
        <v>22.800528369666484</v>
      </c>
      <c r="BQ43" s="21">
        <f>EXP(-LN(2)/25)*BQ42+(1-EXP(-LN(2)/25))/(LN(2)/25)*Calculateur!BL43*Calculateur!BN43*VLOOKUP('Données projet'!$B$11,Paramètres!$A$1:$I$89,3,0)*0.475*44/12</f>
        <v>34.172334526539714</v>
      </c>
      <c r="BR43" s="21">
        <f>EXP(-LN(2)/2)*BR42+(1-EXP(-LN(2)/2))/(LN(2)/2)*BL43*BO43*VLOOKUP('Données projet'!$B$11,Paramètres!$A$1:$I$89,3,0)*0.475*44/12</f>
        <v>27.644489792279931</v>
      </c>
      <c r="BS43" s="22">
        <f t="shared" si="9"/>
        <v>84.617352688486122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203</v>
      </c>
      <c r="BW43" s="12">
        <f>VLOOKUP(A43,'Données projet'!$A$113:$I$133,9,0)</f>
        <v>11</v>
      </c>
      <c r="BX43" s="12">
        <f t="array" ref="BX43">INDEX(BW:BW,MIN(IF(ISNUMBER(BW43:BW239),ROW(BW43:BW239),"")))</f>
        <v>11</v>
      </c>
      <c r="BY43" s="12">
        <f>IF('Données projet'!$A$114&gt;35,BY42+BX43-CG42,IF(A43&lt;'Données projet'!$A$114,$BV$205^A43,IF(A43='Données projet'!$A$114,'Données projet'!$B$114,BY42+BX43-CG42)))</f>
        <v>203</v>
      </c>
      <c r="BZ43" s="13">
        <f>BY43*VLOOKUP('Données projet'!$B$12,Paramètres!$A$1:$I$89,3,0)*VLOOKUP('Données projet'!$B$12,Paramètres!$A$1:$I$89,5,0)</f>
        <v>183.67439999999999</v>
      </c>
      <c r="CA43" s="13">
        <f t="shared" si="39"/>
        <v>46.138708549418673</v>
      </c>
      <c r="CB43" s="20">
        <f t="shared" si="10"/>
        <v>400.25783072357081</v>
      </c>
      <c r="CC43" s="59">
        <f t="shared" si="11"/>
        <v>693.59116405690406</v>
      </c>
      <c r="CD43" s="59">
        <f ca="1">AVERAGE(OFFSET($CC$3,0,0,'Données projet'!$E$12+1,1))-AVERAGE(OFFSET($H$3,0,0,'Données projet'!$E$12+1,1))</f>
        <v>363.51171608224735</v>
      </c>
      <c r="CE43" s="59">
        <f t="shared" si="40"/>
        <v>257.9239334647138</v>
      </c>
      <c r="CF43" s="15">
        <f>IF(ISNA(VLOOKUP(A43,'Données projet'!$A$113:$I$133,3,0)),0,VLOOKUP(A43,'Données projet'!$A$113:$I$133,3,0))</f>
        <v>3</v>
      </c>
      <c r="CG43" s="15">
        <f>IF(ISNA(VLOOKUP(A43,'Données projet'!$A$113:$I$133,4,0)),0,VLOOKUP(A43,'Données projet'!$A$113:$I$133,4,0))</f>
        <v>56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1.975821080470519</v>
      </c>
      <c r="CL43" s="21">
        <f>EXP(-LN(2)/25)*CL42+(1-EXP(-LN(2)/25))/(LN(2)/25)*Calculateur!CG43*Calculateur!CI43*VLOOKUP('Données projet'!$B$12,Paramètres!$A$1:$I$89,3,0)*0.475*44/12</f>
        <v>8.5507773832904892</v>
      </c>
      <c r="CM43" s="21">
        <f>EXP(-LN(2)/2)*CM42+(1-EXP(-LN(2)/2))/(LN(2)/2)*CG43*CJ43*VLOOKUP('Données projet'!$B$12,Paramètres!$A$1:$I$89,3,0)*0.475*44/12</f>
        <v>0.67354177419083094</v>
      </c>
      <c r="CN43" s="22">
        <f t="shared" si="12"/>
        <v>11.200140237951839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1">
        <f t="shared" si="32"/>
        <v>7.1844131608438397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67">
        <f t="shared" si="1"/>
        <v>344.83513625513632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22.8</v>
      </c>
      <c r="N44" s="13">
        <f>IF('Données projet'!$A$36&gt;35,N43+M44-V43,IF(A44&lt;'Données projet'!$A$36,$K$205^A44,IF(A44='Données projet'!$A$36,'Données projet'!$B$36,N43+M44-V43)))</f>
        <v>409.80000000000007</v>
      </c>
      <c r="O44" s="13">
        <f>N44*VLOOKUP('Données projet'!$B$9,Paramètres!$A$1:$I$89,3,0)*VLOOKUP('Données projet'!$B$9,Paramètres!$A$1:$I$89,5,0)</f>
        <v>229.07820000000004</v>
      </c>
      <c r="P44" s="13">
        <f t="shared" si="33"/>
        <v>56.083320258718402</v>
      </c>
      <c r="Q44" s="20">
        <f t="shared" si="53"/>
        <v>496.65631445060126</v>
      </c>
      <c r="R44" s="59">
        <f t="shared" si="0"/>
        <v>789.98964778393452</v>
      </c>
      <c r="S44" s="59">
        <f ca="1">AVERAGE(OFFSET($R$3,0,0,'Données projet'!$E$9+1,1))-AVERAGE(OFFSET($H$3,0,0,'Données projet'!$E$9+1,1))</f>
        <v>446.28010102877403</v>
      </c>
      <c r="T44" s="59">
        <f t="shared" si="34"/>
        <v>445.84011537290456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9.1844141277404763</v>
      </c>
      <c r="AA44" s="21">
        <f>EXP(-LN(2)/25)*AA43+(1-EXP(-LN(2)/25))/(LN(2)/25)*Calculateur!V44*Calculateur!X44*VLOOKUP('Données projet'!$B$9,Paramètres!$A$1:$I$89,3,0)*0.475*44/12</f>
        <v>28.570902599141863</v>
      </c>
      <c r="AB44" s="21">
        <f>EXP(-LN(2)/2)*AB43+(1-EXP(-LN(2)/2))/(LN(2)/2)*V44*Y44*VLOOKUP('Données projet'!$B$9,Paramètres!$A$1:$I$89,3,0)*0.475*44/12</f>
        <v>0.80592255312011341</v>
      </c>
      <c r="AC44" s="22">
        <f t="shared" si="3"/>
        <v>38.561239280002454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12.4</v>
      </c>
      <c r="AI44" s="13">
        <f>IF('Données projet'!$A$62&gt;35,AI43+AH44-AQ43,IF(A44&lt;'Données projet'!$A$62,$AF$205^A44,IF(A44='Données projet'!$A$62,'Données projet'!$B$62,AI43+AH44-AQ43)))</f>
        <v>260.40000000000009</v>
      </c>
      <c r="AJ44" s="13">
        <f>AI44*VLOOKUP('Données projet'!$B$10,Paramètres!$A$1:$I$89,3,0)*VLOOKUP('Données projet'!$B$10,Paramètres!$A$1:$I$89,5,0)</f>
        <v>162.48960000000005</v>
      </c>
      <c r="AK44" s="13">
        <f t="shared" si="35"/>
        <v>41.403546033820696</v>
      </c>
      <c r="AL44" s="20">
        <f t="shared" si="4"/>
        <v>355.11389600890448</v>
      </c>
      <c r="AM44" s="59">
        <f t="shared" si="5"/>
        <v>648.44722934223773</v>
      </c>
      <c r="AN44" s="59">
        <f ca="1">AVERAGE(OFFSET($AM$3,0,0,'Données projet'!$E$10+1,1))-AVERAGE(OFFSET($H$3,0,0,'Données projet'!$E$10+1,1))</f>
        <v>285.77483300338548</v>
      </c>
      <c r="AO44" s="59">
        <f t="shared" si="36"/>
        <v>320.55212417690637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6.7106416967169285</v>
      </c>
      <c r="AV44" s="21">
        <f>EXP(-LN(2)/25)*AV43+(1-EXP(-LN(2)/25))/(LN(2)/25)*Calculateur!AQ44*Calculateur!AS44*VLOOKUP('Données projet'!$B$10,Paramètres!$A$1:$I$89,3,0)*0.475*44/12</f>
        <v>20.543844027310477</v>
      </c>
      <c r="AW44" s="21">
        <f>EXP(-LN(2)/2)*AW43+(1-EXP(-LN(2)/2))/(LN(2)/2)*AQ44*AT44*VLOOKUP('Données projet'!$B$10,Paramètres!$A$1:$I$89,3,0)*0.475*44/12</f>
        <v>0.53919524131060848</v>
      </c>
      <c r="AX44" s="21">
        <f t="shared" si="6"/>
        <v>27.793680965338012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25.3</v>
      </c>
      <c r="BD44" s="12">
        <f>IF('Données projet'!$A$88&gt;35,BD43+BC44-BL43,IF(A44&lt;'Données projet'!$A$88,$BA$205^A44,IF(A44='Données projet'!$A$88,'Données projet'!$B$88,BD43+BC44-BL43)))</f>
        <v>435.30000000000007</v>
      </c>
      <c r="BE44" s="13">
        <f>BD44*VLOOKUP('Données projet'!$B$11,Paramètres!$A$1:$I$89,3,0)*VLOOKUP('Données projet'!$B$11,Paramètres!$A$1:$I$89,5,0)</f>
        <v>209.37930000000006</v>
      </c>
      <c r="BF44" s="13">
        <f t="shared" si="37"/>
        <v>51.79992377311698</v>
      </c>
      <c r="BG44" s="20">
        <f t="shared" si="7"/>
        <v>454.88714807151217</v>
      </c>
      <c r="BH44" s="59">
        <f t="shared" si="8"/>
        <v>748.22048140484549</v>
      </c>
      <c r="BI44" s="59">
        <f ca="1">AVERAGE(OFFSET($BH$3,0,0,'Données projet'!$E$11+1,1))-AVERAGE(OFFSET($H$3,0,0,'Données projet'!$E$11+1,1))</f>
        <v>402.22278907877927</v>
      </c>
      <c r="BJ44" s="59">
        <f t="shared" si="38"/>
        <v>393.06397734082458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22.353423915286431</v>
      </c>
      <c r="BQ44" s="21">
        <f>EXP(-LN(2)/25)*BQ43+(1-EXP(-LN(2)/25))/(LN(2)/25)*Calculateur!BL44*Calculateur!BN44*VLOOKUP('Données projet'!$B$11,Paramètres!$A$1:$I$89,3,0)*0.475*44/12</f>
        <v>33.237890241866516</v>
      </c>
      <c r="BR44" s="21">
        <f>EXP(-LN(2)/2)*BR43+(1-EXP(-LN(2)/2))/(LN(2)/2)*BL44*BO44*VLOOKUP('Données projet'!$B$11,Paramètres!$A$1:$I$89,3,0)*0.475*44/12</f>
        <v>19.547606194563432</v>
      </c>
      <c r="BS44" s="22">
        <f t="shared" si="9"/>
        <v>75.138920351716379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11.2</v>
      </c>
      <c r="BY44" s="12">
        <f>IF('Données projet'!$A$114&gt;35,BY43+BX44-CG43,IF(A44&lt;'Données projet'!$A$114,$BV$205^A44,IF(A44='Données projet'!$A$114,'Données projet'!$B$114,BY43+BX44-CG43)))</f>
        <v>158.19999999999999</v>
      </c>
      <c r="BZ44" s="13">
        <f>BY44*VLOOKUP('Données projet'!$B$12,Paramètres!$A$1:$I$89,3,0)*VLOOKUP('Données projet'!$B$12,Paramètres!$A$1:$I$89,5,0)</f>
        <v>143.13935999999998</v>
      </c>
      <c r="CA44" s="13">
        <f t="shared" si="39"/>
        <v>37.015257937854066</v>
      </c>
      <c r="CB44" s="20">
        <f t="shared" si="10"/>
        <v>313.76929290842912</v>
      </c>
      <c r="CC44" s="59">
        <f t="shared" si="11"/>
        <v>607.10262624176244</v>
      </c>
      <c r="CD44" s="59">
        <f ca="1">AVERAGE(OFFSET($CC$3,0,0,'Données projet'!$E$12+1,1))-AVERAGE(OFFSET($H$3,0,0,'Données projet'!$E$12+1,1))</f>
        <v>363.51171608224735</v>
      </c>
      <c r="CE44" s="59">
        <f t="shared" si="40"/>
        <v>257.9239334647138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1.9370764342143543</v>
      </c>
      <c r="CL44" s="21">
        <f>EXP(-LN(2)/25)*CL43+(1-EXP(-LN(2)/25))/(LN(2)/25)*Calculateur!CG44*Calculateur!CI44*VLOOKUP('Données projet'!$B$12,Paramètres!$A$1:$I$89,3,0)*0.475*44/12</f>
        <v>8.3169559260785704</v>
      </c>
      <c r="CM44" s="21">
        <f>EXP(-LN(2)/2)*CM43+(1-EXP(-LN(2)/2))/(LN(2)/2)*CG44*CJ44*VLOOKUP('Données projet'!$B$12,Paramètres!$A$1:$I$89,3,0)*0.475*44/12</f>
        <v>0.47626595594275495</v>
      </c>
      <c r="CN44" s="22">
        <f t="shared" si="12"/>
        <v>10.730298316235681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1">
        <f t="shared" si="32"/>
        <v>7.3390282083215048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67">
        <f t="shared" si="1"/>
        <v>346.05537412949326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22.8</v>
      </c>
      <c r="N45" s="13">
        <f>IF('Données projet'!$A$36&gt;35,N44+M45-V44,IF(A45&lt;'Données projet'!$A$36,$K$205^A45,IF(A45='Données projet'!$A$36,'Données projet'!$B$36,N44+M45-V44)))</f>
        <v>432.60000000000008</v>
      </c>
      <c r="O45" s="13">
        <f>N45*VLOOKUP('Données projet'!$B$9,Paramètres!$A$1:$I$89,3,0)*VLOOKUP('Données projet'!$B$9,Paramètres!$A$1:$I$89,5,0)</f>
        <v>241.82340000000005</v>
      </c>
      <c r="P45" s="13">
        <f t="shared" si="33"/>
        <v>58.831670892221915</v>
      </c>
      <c r="Q45" s="20">
        <f t="shared" si="53"/>
        <v>523.64091513728647</v>
      </c>
      <c r="R45" s="59">
        <f t="shared" si="0"/>
        <v>816.97424847061984</v>
      </c>
      <c r="S45" s="59">
        <f ca="1">AVERAGE(OFFSET($R$3,0,0,'Données projet'!$E$9+1,1))-AVERAGE(OFFSET($H$3,0,0,'Données projet'!$E$9+1,1))</f>
        <v>446.28010102877403</v>
      </c>
      <c r="T45" s="59">
        <f t="shared" si="34"/>
        <v>445.84011537290456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9.004313368634957</v>
      </c>
      <c r="AA45" s="21">
        <f>EXP(-LN(2)/25)*AA44+(1-EXP(-LN(2)/25))/(LN(2)/25)*Calculateur!V45*Calculateur!X45*VLOOKUP('Données projet'!$B$9,Paramètres!$A$1:$I$89,3,0)*0.475*44/12</f>
        <v>27.78962976508986</v>
      </c>
      <c r="AB45" s="21">
        <f>EXP(-LN(2)/2)*AB44+(1-EXP(-LN(2)/2))/(LN(2)/2)*V45*Y45*VLOOKUP('Données projet'!$B$9,Paramètres!$A$1:$I$89,3,0)*0.475*44/12</f>
        <v>0.56987330242240775</v>
      </c>
      <c r="AC45" s="22">
        <f t="shared" si="3"/>
        <v>37.363816436147225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12.4</v>
      </c>
      <c r="AI45" s="13">
        <f>IF('Données projet'!$A$62&gt;35,AI44+AH45-AQ44,IF(A45&lt;'Données projet'!$A$62,$AF$205^A45,IF(A45='Données projet'!$A$62,'Données projet'!$B$62,AI44+AH45-AQ44)))</f>
        <v>272.80000000000007</v>
      </c>
      <c r="AJ45" s="13">
        <f>AI45*VLOOKUP('Données projet'!$B$10,Paramètres!$A$1:$I$89,3,0)*VLOOKUP('Données projet'!$B$10,Paramètres!$A$1:$I$89,5,0)</f>
        <v>170.22720000000004</v>
      </c>
      <c r="AK45" s="13">
        <f t="shared" si="35"/>
        <v>43.140904871338378</v>
      </c>
      <c r="AL45" s="20">
        <f t="shared" si="4"/>
        <v>371.6161159842477</v>
      </c>
      <c r="AM45" s="59">
        <f t="shared" si="5"/>
        <v>664.94944931758096</v>
      </c>
      <c r="AN45" s="59">
        <f ca="1">AVERAGE(OFFSET($AM$3,0,0,'Données projet'!$E$10+1,1))-AVERAGE(OFFSET($H$3,0,0,'Données projet'!$E$10+1,1))</f>
        <v>285.77483300338548</v>
      </c>
      <c r="AO45" s="59">
        <f t="shared" si="36"/>
        <v>320.55212417690637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6.5790501061315858</v>
      </c>
      <c r="AV45" s="21">
        <f>EXP(-LN(2)/25)*AV44+(1-EXP(-LN(2)/25))/(LN(2)/25)*Calculateur!AQ45*Calculateur!AS45*VLOOKUP('Données projet'!$B$10,Paramètres!$A$1:$I$89,3,0)*0.475*44/12</f>
        <v>19.98207153202987</v>
      </c>
      <c r="AW45" s="21">
        <f>EXP(-LN(2)/2)*AW44+(1-EXP(-LN(2)/2))/(LN(2)/2)*AQ45*AT45*VLOOKUP('Données projet'!$B$10,Paramètres!$A$1:$I$89,3,0)*0.475*44/12</f>
        <v>0.38126861151424812</v>
      </c>
      <c r="AX45" s="21">
        <f t="shared" si="6"/>
        <v>26.942390249675704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25.3</v>
      </c>
      <c r="BD45" s="12">
        <f>IF('Données projet'!$A$88&gt;35,BD44+BC45-BL44,IF(A45&lt;'Données projet'!$A$88,$BA$205^A45,IF(A45='Données projet'!$A$88,'Données projet'!$B$88,BD44+BC45-BL44)))</f>
        <v>460.60000000000008</v>
      </c>
      <c r="BE45" s="13">
        <f>BD45*VLOOKUP('Données projet'!$B$11,Paramètres!$A$1:$I$89,3,0)*VLOOKUP('Données projet'!$B$11,Paramètres!$A$1:$I$89,5,0)</f>
        <v>221.54860000000005</v>
      </c>
      <c r="BF45" s="13">
        <f t="shared" si="37"/>
        <v>54.451328750450429</v>
      </c>
      <c r="BG45" s="20">
        <f t="shared" si="7"/>
        <v>480.6998759070346</v>
      </c>
      <c r="BH45" s="59">
        <f t="shared" si="8"/>
        <v>774.03320924036791</v>
      </c>
      <c r="BI45" s="59">
        <f ca="1">AVERAGE(OFFSET($BH$3,0,0,'Données projet'!$E$11+1,1))-AVERAGE(OFFSET($H$3,0,0,'Données projet'!$E$11+1,1))</f>
        <v>402.22278907877927</v>
      </c>
      <c r="BJ45" s="59">
        <f t="shared" si="38"/>
        <v>393.06397734082458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21.915086906549984</v>
      </c>
      <c r="BQ45" s="21">
        <f>EXP(-LN(2)/25)*BQ44+(1-EXP(-LN(2)/25))/(LN(2)/25)*Calculateur!BL45*Calculateur!BN45*VLOOKUP('Données projet'!$B$11,Paramètres!$A$1:$I$89,3,0)*0.475*44/12</f>
        <v>32.328998385297993</v>
      </c>
      <c r="BR45" s="21">
        <f>EXP(-LN(2)/2)*BR44+(1-EXP(-LN(2)/2))/(LN(2)/2)*BL45*BO45*VLOOKUP('Données projet'!$B$11,Paramètres!$A$1:$I$89,3,0)*0.475*44/12</f>
        <v>13.822244896139967</v>
      </c>
      <c r="BS45" s="22">
        <f t="shared" si="9"/>
        <v>68.066330187987944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11.2</v>
      </c>
      <c r="BY45" s="12">
        <f>IF('Données projet'!$A$114&gt;35,BY44+BX45-CG44,IF(A45&lt;'Données projet'!$A$114,$BV$205^A45,IF(A45='Données projet'!$A$114,'Données projet'!$B$114,BY44+BX45-CG44)))</f>
        <v>169.39999999999998</v>
      </c>
      <c r="BZ45" s="13">
        <f>BY45*VLOOKUP('Données projet'!$B$12,Paramètres!$A$1:$I$89,3,0)*VLOOKUP('Données projet'!$B$12,Paramètres!$A$1:$I$89,5,0)</f>
        <v>153.27311999999998</v>
      </c>
      <c r="CA45" s="13">
        <f t="shared" si="39"/>
        <v>39.321476829336504</v>
      </c>
      <c r="CB45" s="20">
        <f t="shared" si="10"/>
        <v>335.43558947776097</v>
      </c>
      <c r="CC45" s="59">
        <f t="shared" si="11"/>
        <v>628.76892281109428</v>
      </c>
      <c r="CD45" s="59">
        <f ca="1">AVERAGE(OFFSET($CC$3,0,0,'Données projet'!$E$12+1,1))-AVERAGE(OFFSET($H$3,0,0,'Données projet'!$E$12+1,1))</f>
        <v>363.51171608224735</v>
      </c>
      <c r="CE45" s="59">
        <f t="shared" si="40"/>
        <v>257.9239334647138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1.8990915468393723</v>
      </c>
      <c r="CL45" s="21">
        <f>EXP(-LN(2)/25)*CL44+(1-EXP(-LN(2)/25))/(LN(2)/25)*Calculateur!CG45*Calculateur!CI45*VLOOKUP('Données projet'!$B$12,Paramètres!$A$1:$I$89,3,0)*0.475*44/12</f>
        <v>8.089528328910248</v>
      </c>
      <c r="CM45" s="21">
        <f>EXP(-LN(2)/2)*CM44+(1-EXP(-LN(2)/2))/(LN(2)/2)*CG45*CJ45*VLOOKUP('Données projet'!$B$12,Paramètres!$A$1:$I$89,3,0)*0.475*44/12</f>
        <v>0.33677088709541553</v>
      </c>
      <c r="CN45" s="22">
        <f t="shared" si="12"/>
        <v>10.325390762845036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1">
        <f t="shared" si="32"/>
        <v>7.4932153017418166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67">
        <f t="shared" si="1"/>
        <v>347.27486665053362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22.8</v>
      </c>
      <c r="N46" s="13">
        <f>IF('Données projet'!$A$36&gt;35,N45+M46-V45,IF(A46&lt;'Données projet'!$A$36,$K$205^A46,IF(A46='Données projet'!$A$36,'Données projet'!$B$36,N45+M46-V45)))</f>
        <v>455.40000000000009</v>
      </c>
      <c r="O46" s="13">
        <f>N46*VLOOKUP('Données projet'!$B$9,Paramètres!$A$1:$I$89,3,0)*VLOOKUP('Données projet'!$B$9,Paramètres!$A$1:$I$89,5,0)</f>
        <v>254.56860000000006</v>
      </c>
      <c r="P46" s="13">
        <f t="shared" si="33"/>
        <v>61.563204302796244</v>
      </c>
      <c r="Q46" s="20">
        <f t="shared" si="53"/>
        <v>550.59622582737018</v>
      </c>
      <c r="R46" s="59">
        <f t="shared" si="0"/>
        <v>843.92955916070355</v>
      </c>
      <c r="S46" s="59">
        <f ca="1">AVERAGE(OFFSET($R$3,0,0,'Données projet'!$E$9+1,1))-AVERAGE(OFFSET($H$3,0,0,'Données projet'!$E$9+1,1))</f>
        <v>446.28010102877403</v>
      </c>
      <c r="T46" s="59">
        <f t="shared" si="34"/>
        <v>445.84011537290456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8.8277442755648821</v>
      </c>
      <c r="AA46" s="21">
        <f>EXP(-LN(2)/25)*AA45+(1-EXP(-LN(2)/25))/(LN(2)/25)*Calculateur!V46*Calculateur!X46*VLOOKUP('Données projet'!$B$9,Paramètres!$A$1:$I$89,3,0)*0.475*44/12</f>
        <v>27.029720877770362</v>
      </c>
      <c r="AB46" s="21">
        <f>EXP(-LN(2)/2)*AB45+(1-EXP(-LN(2)/2))/(LN(2)/2)*V46*Y46*VLOOKUP('Données projet'!$B$9,Paramètres!$A$1:$I$89,3,0)*0.475*44/12</f>
        <v>0.4029612765600567</v>
      </c>
      <c r="AC46" s="22">
        <f t="shared" si="3"/>
        <v>36.260426429895297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12.4</v>
      </c>
      <c r="AI46" s="13">
        <f>IF('Données projet'!$A$62&gt;35,AI45+AH46-AQ45,IF(A46&lt;'Données projet'!$A$62,$AF$205^A46,IF(A46='Données projet'!$A$62,'Données projet'!$B$62,AI45+AH46-AQ45)))</f>
        <v>285.20000000000005</v>
      </c>
      <c r="AJ46" s="13">
        <f>AI46*VLOOKUP('Données projet'!$B$10,Paramètres!$A$1:$I$89,3,0)*VLOOKUP('Données projet'!$B$10,Paramètres!$A$1:$I$89,5,0)</f>
        <v>177.96480000000003</v>
      </c>
      <c r="AK46" s="13">
        <f t="shared" si="35"/>
        <v>44.869092441133326</v>
      </c>
      <c r="AL46" s="20">
        <f t="shared" si="4"/>
        <v>388.10236266830719</v>
      </c>
      <c r="AM46" s="59">
        <f t="shared" si="5"/>
        <v>681.43569600164051</v>
      </c>
      <c r="AN46" s="59">
        <f ca="1">AVERAGE(OFFSET($AM$3,0,0,'Données projet'!$E$10+1,1))-AVERAGE(OFFSET($H$3,0,0,'Données projet'!$E$10+1,1))</f>
        <v>285.77483300338548</v>
      </c>
      <c r="AO46" s="59">
        <f t="shared" si="36"/>
        <v>320.55212417690637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6.4500389463746766</v>
      </c>
      <c r="AV46" s="21">
        <f>EXP(-LN(2)/25)*AV45+(1-EXP(-LN(2)/25))/(LN(2)/25)*Calculateur!AQ46*Calculateur!AS46*VLOOKUP('Données projet'!$B$10,Paramètres!$A$1:$I$89,3,0)*0.475*44/12</f>
        <v>19.435660735175041</v>
      </c>
      <c r="AW46" s="21">
        <f>EXP(-LN(2)/2)*AW45+(1-EXP(-LN(2)/2))/(LN(2)/2)*AQ46*AT46*VLOOKUP('Données projet'!$B$10,Paramètres!$A$1:$I$89,3,0)*0.475*44/12</f>
        <v>0.26959762065530424</v>
      </c>
      <c r="AX46" s="21">
        <f t="shared" si="6"/>
        <v>26.155297302205021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25.3</v>
      </c>
      <c r="BD46" s="12">
        <f>IF('Données projet'!$A$88&gt;35,BD45+BC46-BL45,IF(A46&lt;'Données projet'!$A$88,$BA$205^A46,IF(A46='Données projet'!$A$88,'Données projet'!$B$88,BD45+BC46-BL45)))</f>
        <v>485.90000000000009</v>
      </c>
      <c r="BE46" s="13">
        <f>BD46*VLOOKUP('Données projet'!$B$11,Paramètres!$A$1:$I$89,3,0)*VLOOKUP('Données projet'!$B$11,Paramètres!$A$1:$I$89,5,0)</f>
        <v>233.71790000000007</v>
      </c>
      <c r="BF46" s="13">
        <f t="shared" si="37"/>
        <v>57.085826648165302</v>
      </c>
      <c r="BG46" s="20">
        <f t="shared" si="7"/>
        <v>506.48315724555465</v>
      </c>
      <c r="BH46" s="59">
        <f t="shared" si="8"/>
        <v>799.81649057888797</v>
      </c>
      <c r="BI46" s="59">
        <f ca="1">AVERAGE(OFFSET($BH$3,0,0,'Données projet'!$E$11+1,1))-AVERAGE(OFFSET($H$3,0,0,'Données projet'!$E$11+1,1))</f>
        <v>402.22278907877927</v>
      </c>
      <c r="BJ46" s="59">
        <f t="shared" si="38"/>
        <v>393.06397734082458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21.485345419195681</v>
      </c>
      <c r="BQ46" s="21">
        <f>EXP(-LN(2)/25)*BQ45+(1-EXP(-LN(2)/25))/(LN(2)/25)*Calculateur!BL46*Calculateur!BN46*VLOOKUP('Données projet'!$B$11,Paramètres!$A$1:$I$89,3,0)*0.475*44/12</f>
        <v>31.444960224343884</v>
      </c>
      <c r="BR46" s="21">
        <f>EXP(-LN(2)/2)*BR45+(1-EXP(-LN(2)/2))/(LN(2)/2)*BL46*BO46*VLOOKUP('Données projet'!$B$11,Paramètres!$A$1:$I$89,3,0)*0.475*44/12</f>
        <v>9.7738030972817178</v>
      </c>
      <c r="BS46" s="22">
        <f t="shared" si="9"/>
        <v>62.704108740821283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11.2</v>
      </c>
      <c r="BY46" s="12">
        <f>IF('Données projet'!$A$114&gt;35,BY45+BX46-CG45,IF(A46&lt;'Données projet'!$A$114,$BV$205^A46,IF(A46='Données projet'!$A$114,'Données projet'!$B$114,BY45+BX46-CG45)))</f>
        <v>180.59999999999997</v>
      </c>
      <c r="BZ46" s="13">
        <f>BY46*VLOOKUP('Données projet'!$B$12,Paramètres!$A$1:$I$89,3,0)*VLOOKUP('Données projet'!$B$12,Paramètres!$A$1:$I$89,5,0)</f>
        <v>163.40687999999997</v>
      </c>
      <c r="CA46" s="13">
        <f t="shared" si="39"/>
        <v>41.610001881769797</v>
      </c>
      <c r="CB46" s="20">
        <f t="shared" si="10"/>
        <v>357.07106927741569</v>
      </c>
      <c r="CC46" s="59">
        <f t="shared" si="11"/>
        <v>650.404402610749</v>
      </c>
      <c r="CD46" s="59">
        <f ca="1">AVERAGE(OFFSET($CC$3,0,0,'Données projet'!$E$12+1,1))-AVERAGE(OFFSET($H$3,0,0,'Données projet'!$E$12+1,1))</f>
        <v>363.51171608224735</v>
      </c>
      <c r="CE46" s="59">
        <f t="shared" si="40"/>
        <v>257.9239334647138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1.86185151993732</v>
      </c>
      <c r="CL46" s="21">
        <f>EXP(-LN(2)/25)*CL45+(1-EXP(-LN(2)/25))/(LN(2)/25)*Calculateur!CG46*Calculateur!CI46*VLOOKUP('Données projet'!$B$12,Paramètres!$A$1:$I$89,3,0)*0.475*44/12</f>
        <v>7.8683197513463909</v>
      </c>
      <c r="CM46" s="21">
        <f>EXP(-LN(2)/2)*CM45+(1-EXP(-LN(2)/2))/(LN(2)/2)*CG46*CJ46*VLOOKUP('Données projet'!$B$12,Paramètres!$A$1:$I$89,3,0)*0.475*44/12</f>
        <v>0.2381329779713775</v>
      </c>
      <c r="CN46" s="22">
        <f t="shared" si="12"/>
        <v>9.9683042492550875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1">
        <f t="shared" si="32"/>
        <v>7.6469855389835546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67">
        <f t="shared" si="1"/>
        <v>348.49363314706295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22.8</v>
      </c>
      <c r="N47" s="13">
        <f>IF('Données projet'!$A$36&gt;35,N46+M47-V46,IF(A47&lt;'Données projet'!$A$36,$K$205^A47,IF(A47='Données projet'!$A$36,'Données projet'!$B$36,N46+M47-V46)))</f>
        <v>478.2000000000001</v>
      </c>
      <c r="O47" s="13">
        <f>N47*VLOOKUP('Données projet'!$B$9,Paramètres!$A$1:$I$89,3,0)*VLOOKUP('Données projet'!$B$9,Paramètres!$A$1:$I$89,5,0)</f>
        <v>267.31380000000007</v>
      </c>
      <c r="P47" s="13">
        <f t="shared" si="33"/>
        <v>64.278858533693665</v>
      </c>
      <c r="Q47" s="20">
        <f t="shared" si="53"/>
        <v>577.52388027951656</v>
      </c>
      <c r="R47" s="59">
        <f t="shared" si="0"/>
        <v>870.85721361284982</v>
      </c>
      <c r="S47" s="59">
        <f ca="1">AVERAGE(OFFSET($R$3,0,0,'Données projet'!$E$9+1,1))-AVERAGE(OFFSET($H$3,0,0,'Données projet'!$E$9+1,1))</f>
        <v>446.28010102877403</v>
      </c>
      <c r="T47" s="59">
        <f t="shared" si="34"/>
        <v>445.84011537290456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8.6546375947133978</v>
      </c>
      <c r="AA47" s="21">
        <f>EXP(-LN(2)/25)*AA46+(1-EXP(-LN(2)/25))/(LN(2)/25)*Calculateur!V47*Calculateur!X47*VLOOKUP('Données projet'!$B$9,Paramètres!$A$1:$I$89,3,0)*0.475*44/12</f>
        <v>26.290591738936488</v>
      </c>
      <c r="AB47" s="21">
        <f>EXP(-LN(2)/2)*AB46+(1-EXP(-LN(2)/2))/(LN(2)/2)*V47*Y47*VLOOKUP('Données projet'!$B$9,Paramètres!$A$1:$I$89,3,0)*0.475*44/12</f>
        <v>0.28493665121120387</v>
      </c>
      <c r="AC47" s="22">
        <f t="shared" si="3"/>
        <v>35.230165984861088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12.4</v>
      </c>
      <c r="AI47" s="13">
        <f>IF('Données projet'!$A$62&gt;35,AI46+AH47-AQ46,IF(A47&lt;'Données projet'!$A$62,$AF$205^A47,IF(A47='Données projet'!$A$62,'Données projet'!$B$62,AI46+AH47-AQ46)))</f>
        <v>297.60000000000002</v>
      </c>
      <c r="AJ47" s="13">
        <f>AI47*VLOOKUP('Données projet'!$B$10,Paramètres!$A$1:$I$89,3,0)*VLOOKUP('Données projet'!$B$10,Paramètres!$A$1:$I$89,5,0)</f>
        <v>185.70240000000001</v>
      </c>
      <c r="AK47" s="13">
        <f t="shared" si="35"/>
        <v>46.588553069776829</v>
      </c>
      <c r="AL47" s="20">
        <f t="shared" si="4"/>
        <v>404.57340992986133</v>
      </c>
      <c r="AM47" s="59">
        <f t="shared" si="5"/>
        <v>697.90674326319458</v>
      </c>
      <c r="AN47" s="59">
        <f ca="1">AVERAGE(OFFSET($AM$3,0,0,'Données projet'!$E$10+1,1))-AVERAGE(OFFSET($H$3,0,0,'Données projet'!$E$10+1,1))</f>
        <v>285.77483300338548</v>
      </c>
      <c r="AO47" s="59">
        <f t="shared" si="36"/>
        <v>320.55212417690637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6.3235576167715628</v>
      </c>
      <c r="AV47" s="21">
        <f>EXP(-LN(2)/25)*AV46+(1-EXP(-LN(2)/25))/(LN(2)/25)*Calculateur!AQ47*Calculateur!AS47*VLOOKUP('Données projet'!$B$10,Paramètres!$A$1:$I$89,3,0)*0.475*44/12</f>
        <v>18.904191570294703</v>
      </c>
      <c r="AW47" s="21">
        <f>EXP(-LN(2)/2)*AW46+(1-EXP(-LN(2)/2))/(LN(2)/2)*AQ47*AT47*VLOOKUP('Données projet'!$B$10,Paramètres!$A$1:$I$89,3,0)*0.475*44/12</f>
        <v>0.19063430575712406</v>
      </c>
      <c r="AX47" s="21">
        <f t="shared" si="6"/>
        <v>25.418383492823391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25.3</v>
      </c>
      <c r="BD47" s="12">
        <f>IF('Données projet'!$A$88&gt;35,BD46+BC47-BL46,IF(A47&lt;'Données projet'!$A$88,$BA$205^A47,IF(A47='Données projet'!$A$88,'Données projet'!$B$88,BD46+BC47-BL46)))</f>
        <v>511.2000000000001</v>
      </c>
      <c r="BE47" s="13">
        <f>BD47*VLOOKUP('Données projet'!$B$11,Paramètres!$A$1:$I$89,3,0)*VLOOKUP('Données projet'!$B$11,Paramètres!$A$1:$I$89,5,0)</f>
        <v>245.88720000000006</v>
      </c>
      <c r="BF47" s="13">
        <f t="shared" si="37"/>
        <v>59.704398195633559</v>
      </c>
      <c r="BG47" s="20">
        <f t="shared" si="7"/>
        <v>532.23870019072854</v>
      </c>
      <c r="BH47" s="59">
        <f t="shared" si="8"/>
        <v>825.57203352406191</v>
      </c>
      <c r="BI47" s="59">
        <f ca="1">AVERAGE(OFFSET($BH$3,0,0,'Données projet'!$E$11+1,1))-AVERAGE(OFFSET($H$3,0,0,'Données projet'!$E$11+1,1))</f>
        <v>402.22278907877927</v>
      </c>
      <c r="BJ47" s="59">
        <f t="shared" si="38"/>
        <v>393.06397734082458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21.064030900291971</v>
      </c>
      <c r="BQ47" s="21">
        <f>EXP(-LN(2)/25)*BQ46+(1-EXP(-LN(2)/25))/(LN(2)/25)*Calculateur!BL47*Calculateur!BN47*VLOOKUP('Données projet'!$B$11,Paramètres!$A$1:$I$89,3,0)*0.475*44/12</f>
        <v>30.585096133390611</v>
      </c>
      <c r="BR47" s="21">
        <f>EXP(-LN(2)/2)*BR46+(1-EXP(-LN(2)/2))/(LN(2)/2)*BL47*BO47*VLOOKUP('Données projet'!$B$11,Paramètres!$A$1:$I$89,3,0)*0.475*44/12</f>
        <v>6.9111224480699844</v>
      </c>
      <c r="BS47" s="22">
        <f t="shared" si="9"/>
        <v>58.560249481752564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11.2</v>
      </c>
      <c r="BY47" s="12">
        <f>IF('Données projet'!$A$114&gt;35,BY46+BX47-CG46,IF(A47&lt;'Données projet'!$A$114,$BV$205^A47,IF(A47='Données projet'!$A$114,'Données projet'!$B$114,BY46+BX47-CG46)))</f>
        <v>191.79999999999995</v>
      </c>
      <c r="BZ47" s="13">
        <f>BY47*VLOOKUP('Données projet'!$B$12,Paramètres!$A$1:$I$89,3,0)*VLOOKUP('Données projet'!$B$12,Paramètres!$A$1:$I$89,5,0)</f>
        <v>173.54063999999997</v>
      </c>
      <c r="CA47" s="13">
        <f t="shared" si="39"/>
        <v>43.882055316228445</v>
      </c>
      <c r="CB47" s="20">
        <f t="shared" si="10"/>
        <v>378.6778610090978</v>
      </c>
      <c r="CC47" s="59">
        <f t="shared" si="11"/>
        <v>672.01119434243105</v>
      </c>
      <c r="CD47" s="59">
        <f ca="1">AVERAGE(OFFSET($CC$3,0,0,'Données projet'!$E$12+1,1))-AVERAGE(OFFSET($H$3,0,0,'Données projet'!$E$12+1,1))</f>
        <v>363.51171608224735</v>
      </c>
      <c r="CE47" s="59">
        <f t="shared" si="40"/>
        <v>257.9239334647138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1.8253417472486435</v>
      </c>
      <c r="CL47" s="21">
        <f>EXP(-LN(2)/25)*CL46+(1-EXP(-LN(2)/25))/(LN(2)/25)*Calculateur!CG47*Calculateur!CI47*VLOOKUP('Données projet'!$B$12,Paramètres!$A$1:$I$89,3,0)*0.475*44/12</f>
        <v>7.6531601339688713</v>
      </c>
      <c r="CM47" s="21">
        <f>EXP(-LN(2)/2)*CM46+(1-EXP(-LN(2)/2))/(LN(2)/2)*CG47*CJ47*VLOOKUP('Données projet'!$B$12,Paramètres!$A$1:$I$89,3,0)*0.475*44/12</f>
        <v>0.16838544354770779</v>
      </c>
      <c r="CN47" s="22">
        <f t="shared" si="12"/>
        <v>9.6468873247652223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1">
        <f t="shared" si="32"/>
        <v>7.8003494846849248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67">
        <f t="shared" si="1"/>
        <v>349.7116920191595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22.8</v>
      </c>
      <c r="N48" s="13">
        <f>IF('Données projet'!$A$36&gt;35,N47+M48-V47,IF(A48&lt;'Données projet'!$A$36,$K$205^A48,IF(A48='Données projet'!$A$36,'Données projet'!$B$36,N47+M48-V47)))</f>
        <v>501.00000000000011</v>
      </c>
      <c r="O48" s="13">
        <f>N48*VLOOKUP('Données projet'!$B$9,Paramètres!$A$1:$I$89,3,0)*VLOOKUP('Données projet'!$B$9,Paramètres!$A$1:$I$89,5,0)</f>
        <v>280.05900000000008</v>
      </c>
      <c r="P48" s="13">
        <f t="shared" si="33"/>
        <v>66.979477124262175</v>
      </c>
      <c r="Q48" s="20">
        <f t="shared" si="53"/>
        <v>604.42534765809012</v>
      </c>
      <c r="R48" s="59">
        <f t="shared" si="0"/>
        <v>897.75868099142349</v>
      </c>
      <c r="S48" s="59">
        <f ca="1">AVERAGE(OFFSET($R$3,0,0,'Données projet'!$E$9+1,1))-AVERAGE(OFFSET($H$3,0,0,'Données projet'!$E$9+1,1))</f>
        <v>446.28010102877403</v>
      </c>
      <c r="T48" s="59">
        <f t="shared" si="34"/>
        <v>445.84011537290456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8.4849254302887616</v>
      </c>
      <c r="AA48" s="21">
        <f>EXP(-LN(2)/25)*AA47+(1-EXP(-LN(2)/25))/(LN(2)/25)*Calculateur!V48*Calculateur!X48*VLOOKUP('Données projet'!$B$9,Paramètres!$A$1:$I$89,3,0)*0.475*44/12</f>
        <v>25.571674125273137</v>
      </c>
      <c r="AB48" s="21">
        <f>EXP(-LN(2)/2)*AB47+(1-EXP(-LN(2)/2))/(LN(2)/2)*V48*Y48*VLOOKUP('Données projet'!$B$9,Paramètres!$A$1:$I$89,3,0)*0.475*44/12</f>
        <v>0.20148063828002835</v>
      </c>
      <c r="AC48" s="22">
        <f t="shared" si="3"/>
        <v>34.258080193841934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12.4</v>
      </c>
      <c r="AI48" s="13">
        <f>IF('Données projet'!$A$62&gt;35,AI47+AH48-AQ47,IF(A48&lt;'Données projet'!$A$62,$AF$205^A48,IF(A48='Données projet'!$A$62,'Données projet'!$B$62,AI47+AH48-AQ47)))</f>
        <v>310</v>
      </c>
      <c r="AJ48" s="13">
        <f>AI48*VLOOKUP('Données projet'!$B$10,Paramètres!$A$1:$I$89,3,0)*VLOOKUP('Données projet'!$B$10,Paramètres!$A$1:$I$89,5,0)</f>
        <v>193.44</v>
      </c>
      <c r="AK48" s="13">
        <f t="shared" si="35"/>
        <v>48.299691961776745</v>
      </c>
      <c r="AL48" s="20">
        <f t="shared" si="4"/>
        <v>421.02996350009448</v>
      </c>
      <c r="AM48" s="59">
        <f t="shared" si="5"/>
        <v>714.36329683342774</v>
      </c>
      <c r="AN48" s="59">
        <f ca="1">AVERAGE(OFFSET($AM$3,0,0,'Données projet'!$E$10+1,1))-AVERAGE(OFFSET($H$3,0,0,'Données projet'!$E$10+1,1))</f>
        <v>285.77483300338548</v>
      </c>
      <c r="AO48" s="59">
        <f t="shared" si="36"/>
        <v>320.55212417690637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6.1995565088959728</v>
      </c>
      <c r="AV48" s="21">
        <f>EXP(-LN(2)/25)*AV47+(1-EXP(-LN(2)/25))/(LN(2)/25)*Calculateur!AQ48*Calculateur!AS48*VLOOKUP('Données projet'!$B$10,Paramètres!$A$1:$I$89,3,0)*0.475*44/12</f>
        <v>18.387255457676766</v>
      </c>
      <c r="AW48" s="21">
        <f>EXP(-LN(2)/2)*AW47+(1-EXP(-LN(2)/2))/(LN(2)/2)*AQ48*AT48*VLOOKUP('Données projet'!$B$10,Paramètres!$A$1:$I$89,3,0)*0.475*44/12</f>
        <v>0.13479881032765212</v>
      </c>
      <c r="AX48" s="21">
        <f t="shared" si="6"/>
        <v>24.721610776900391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25.3</v>
      </c>
      <c r="BD48" s="12">
        <f>IF('Données projet'!$A$88&gt;35,BD47+BC48-BL47,IF(A48&lt;'Données projet'!$A$88,$BA$205^A48,IF(A48='Données projet'!$A$88,'Données projet'!$B$88,BD47+BC48-BL47)))</f>
        <v>536.50000000000011</v>
      </c>
      <c r="BE48" s="13">
        <f>BD48*VLOOKUP('Données projet'!$B$11,Paramètres!$A$1:$I$89,3,0)*VLOOKUP('Données projet'!$B$11,Paramètres!$A$1:$I$89,5,0)</f>
        <v>258.05650000000009</v>
      </c>
      <c r="BF48" s="13">
        <f t="shared" si="37"/>
        <v>62.307921562887884</v>
      </c>
      <c r="BG48" s="20">
        <f t="shared" si="7"/>
        <v>557.96803422202993</v>
      </c>
      <c r="BH48" s="59">
        <f t="shared" si="8"/>
        <v>851.30136755536319</v>
      </c>
      <c r="BI48" s="59">
        <f ca="1">AVERAGE(OFFSET($BH$3,0,0,'Données projet'!$E$11+1,1))-AVERAGE(OFFSET($H$3,0,0,'Données projet'!$E$11+1,1))</f>
        <v>402.22278907877927</v>
      </c>
      <c r="BJ48" s="59">
        <f t="shared" si="38"/>
        <v>393.06397734082458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20.650978102127482</v>
      </c>
      <c r="BQ48" s="21">
        <f>EXP(-LN(2)/25)*BQ47+(1-EXP(-LN(2)/25))/(LN(2)/25)*Calculateur!BL48*Calculateur!BN48*VLOOKUP('Données projet'!$B$11,Paramètres!$A$1:$I$89,3,0)*0.475*44/12</f>
        <v>29.748745071222743</v>
      </c>
      <c r="BR48" s="21">
        <f>EXP(-LN(2)/2)*BR47+(1-EXP(-LN(2)/2))/(LN(2)/2)*BL48*BO48*VLOOKUP('Données projet'!$B$11,Paramètres!$A$1:$I$89,3,0)*0.475*44/12</f>
        <v>4.8869015486408598</v>
      </c>
      <c r="BS48" s="22">
        <f t="shared" si="9"/>
        <v>55.286624721991082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11.2</v>
      </c>
      <c r="BY48" s="12">
        <f>IF('Données projet'!$A$114&gt;35,BY47+BX48-CG47,IF(A48&lt;'Données projet'!$A$114,$BV$205^A48,IF(A48='Données projet'!$A$114,'Données projet'!$B$114,BY47+BX48-CG47)))</f>
        <v>202.99999999999994</v>
      </c>
      <c r="BZ48" s="13">
        <f>BY48*VLOOKUP('Données projet'!$B$12,Paramètres!$A$1:$I$89,3,0)*VLOOKUP('Données projet'!$B$12,Paramètres!$A$1:$I$89,5,0)</f>
        <v>183.67439999999993</v>
      </c>
      <c r="CA48" s="13">
        <f t="shared" si="39"/>
        <v>46.138708549418673</v>
      </c>
      <c r="CB48" s="20">
        <f t="shared" si="10"/>
        <v>400.25783072357075</v>
      </c>
      <c r="CC48" s="59">
        <f t="shared" si="11"/>
        <v>693.59116405690406</v>
      </c>
      <c r="CD48" s="59">
        <f ca="1">AVERAGE(OFFSET($CC$3,0,0,'Données projet'!$E$12+1,1))-AVERAGE(OFFSET($H$3,0,0,'Données projet'!$E$12+1,1))</f>
        <v>363.51171608224735</v>
      </c>
      <c r="CE48" s="59">
        <f t="shared" si="40"/>
        <v>257.9239334647138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1.7895479089336295</v>
      </c>
      <c r="CL48" s="21">
        <f>EXP(-LN(2)/25)*CL47+(1-EXP(-LN(2)/25))/(LN(2)/25)*Calculateur!CG48*Calculateur!CI48*VLOOKUP('Données projet'!$B$12,Paramètres!$A$1:$I$89,3,0)*0.475*44/12</f>
        <v>7.4438840676432925</v>
      </c>
      <c r="CM48" s="21">
        <f>EXP(-LN(2)/2)*CM47+(1-EXP(-LN(2)/2))/(LN(2)/2)*CG48*CJ48*VLOOKUP('Données projet'!$B$12,Paramètres!$A$1:$I$89,3,0)*0.475*44/12</f>
        <v>0.11906648898568878</v>
      </c>
      <c r="CN48" s="22">
        <f t="shared" si="12"/>
        <v>9.3524984655626113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1">
        <f t="shared" si="32"/>
        <v>7.9533172071366991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67">
        <f t="shared" si="1"/>
        <v>350.92906080242972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22.8</v>
      </c>
      <c r="N49" s="13">
        <f>IF('Données projet'!$A$36&gt;35,N48+M49-V48,IF(A49&lt;'Données projet'!$A$36,$K$205^A49,IF(A49='Données projet'!$A$36,'Données projet'!$B$36,N48+M49-V48)))</f>
        <v>523.80000000000007</v>
      </c>
      <c r="O49" s="13">
        <f>N49*VLOOKUP('Données projet'!$B$9,Paramètres!$A$1:$I$89,3,0)*VLOOKUP('Données projet'!$B$9,Paramètres!$A$1:$I$89,5,0)</f>
        <v>292.80420000000004</v>
      </c>
      <c r="P49" s="13">
        <f t="shared" si="33"/>
        <v>69.665822496730271</v>
      </c>
      <c r="Q49" s="20">
        <f t="shared" si="53"/>
        <v>631.30195584847183</v>
      </c>
      <c r="R49" s="59">
        <f t="shared" si="0"/>
        <v>924.63528918180509</v>
      </c>
      <c r="S49" s="59">
        <f ca="1">AVERAGE(OFFSET($R$3,0,0,'Données projet'!$E$9+1,1))-AVERAGE(OFFSET($H$3,0,0,'Données projet'!$E$9+1,1))</f>
        <v>446.28010102877403</v>
      </c>
      <c r="T49" s="59">
        <f t="shared" si="34"/>
        <v>445.84011537290456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8.3185412178942943</v>
      </c>
      <c r="AA49" s="21">
        <f>EXP(-LN(2)/25)*AA48+(1-EXP(-LN(2)/25))/(LN(2)/25)*Calculateur!V49*Calculateur!X49*VLOOKUP('Données projet'!$B$9,Paramètres!$A$1:$I$89,3,0)*0.475*44/12</f>
        <v>24.872415351561646</v>
      </c>
      <c r="AB49" s="21">
        <f>EXP(-LN(2)/2)*AB48+(1-EXP(-LN(2)/2))/(LN(2)/2)*V49*Y49*VLOOKUP('Données projet'!$B$9,Paramètres!$A$1:$I$89,3,0)*0.475*44/12</f>
        <v>0.14246832560560194</v>
      </c>
      <c r="AC49" s="22">
        <f t="shared" si="3"/>
        <v>33.33342489506154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12.4</v>
      </c>
      <c r="AI49" s="13">
        <f>IF('Données projet'!$A$62&gt;35,AI48+AH49-AQ48,IF(A49&lt;'Données projet'!$A$62,$AF$205^A49,IF(A49='Données projet'!$A$62,'Données projet'!$B$62,AI48+AH49-AQ48)))</f>
        <v>322.39999999999998</v>
      </c>
      <c r="AJ49" s="13">
        <f>AI49*VLOOKUP('Données projet'!$B$10,Paramètres!$A$1:$I$89,3,0)*VLOOKUP('Données projet'!$B$10,Paramètres!$A$1:$I$89,5,0)</f>
        <v>201.17759999999998</v>
      </c>
      <c r="AK49" s="13">
        <f t="shared" si="35"/>
        <v>50.002880070410733</v>
      </c>
      <c r="AL49" s="20">
        <f t="shared" si="4"/>
        <v>437.47266945596533</v>
      </c>
      <c r="AM49" s="59">
        <f t="shared" si="5"/>
        <v>730.80600278929865</v>
      </c>
      <c r="AN49" s="59">
        <f ca="1">AVERAGE(OFFSET($AM$3,0,0,'Données projet'!$E$10+1,1))-AVERAGE(OFFSET($H$3,0,0,'Données projet'!$E$10+1,1))</f>
        <v>285.77483300338548</v>
      </c>
      <c r="AO49" s="59">
        <f t="shared" si="36"/>
        <v>320.55212417690637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6.0779869871126149</v>
      </c>
      <c r="AV49" s="21">
        <f>EXP(-LN(2)/25)*AV48+(1-EXP(-LN(2)/25))/(LN(2)/25)*Calculateur!AQ49*Calculateur!AS49*VLOOKUP('Données projet'!$B$10,Paramètres!$A$1:$I$89,3,0)*0.475*44/12</f>
        <v>17.884454990242855</v>
      </c>
      <c r="AW49" s="21">
        <f>EXP(-LN(2)/2)*AW48+(1-EXP(-LN(2)/2))/(LN(2)/2)*AQ49*AT49*VLOOKUP('Données projet'!$B$10,Paramètres!$A$1:$I$89,3,0)*0.475*44/12</f>
        <v>9.5317152878562031E-2</v>
      </c>
      <c r="AX49" s="21">
        <f t="shared" si="6"/>
        <v>24.057759130234029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25.3</v>
      </c>
      <c r="BD49" s="12">
        <f>IF('Données projet'!$A$88&gt;35,BD48+BC49-BL48,IF(A49&lt;'Données projet'!$A$88,$BA$205^A49,IF(A49='Données projet'!$A$88,'Données projet'!$B$88,BD48+BC49-BL48)))</f>
        <v>561.80000000000007</v>
      </c>
      <c r="BE49" s="13">
        <f>BD49*VLOOKUP('Données projet'!$B$11,Paramètres!$A$1:$I$89,3,0)*VLOOKUP('Données projet'!$B$11,Paramètres!$A$1:$I$89,5,0)</f>
        <v>270.22580000000005</v>
      </c>
      <c r="BF49" s="13">
        <f t="shared" si="37"/>
        <v>64.89718741496803</v>
      </c>
      <c r="BG49" s="20">
        <f t="shared" si="7"/>
        <v>583.67253641440277</v>
      </c>
      <c r="BH49" s="59">
        <f t="shared" si="8"/>
        <v>877.00586974773614</v>
      </c>
      <c r="BI49" s="59">
        <f ca="1">AVERAGE(OFFSET($BH$3,0,0,'Données projet'!$E$11+1,1))-AVERAGE(OFFSET($H$3,0,0,'Données projet'!$E$11+1,1))</f>
        <v>402.22278907877927</v>
      </c>
      <c r="BJ49" s="59">
        <f t="shared" si="38"/>
        <v>393.06397734082458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20.246025017397667</v>
      </c>
      <c r="BQ49" s="21">
        <f>EXP(-LN(2)/25)*BQ48+(1-EXP(-LN(2)/25))/(LN(2)/25)*Calculateur!BL49*Calculateur!BN49*VLOOKUP('Données projet'!$B$11,Paramètres!$A$1:$I$89,3,0)*0.475*44/12</f>
        <v>28.935264072831647</v>
      </c>
      <c r="BR49" s="21">
        <f>EXP(-LN(2)/2)*BR48+(1-EXP(-LN(2)/2))/(LN(2)/2)*BL49*BO49*VLOOKUP('Données projet'!$B$11,Paramètres!$A$1:$I$89,3,0)*0.475*44/12</f>
        <v>3.4555612240349931</v>
      </c>
      <c r="BS49" s="22">
        <f t="shared" si="9"/>
        <v>52.636850314264308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11.2</v>
      </c>
      <c r="BY49" s="12">
        <f>IF('Données projet'!$A$114&gt;35,BY48+BX49-CG48,IF(A49&lt;'Données projet'!$A$114,$BV$205^A49,IF(A49='Données projet'!$A$114,'Données projet'!$B$114,BY48+BX49-CG48)))</f>
        <v>214.19999999999993</v>
      </c>
      <c r="BZ49" s="13">
        <f>BY49*VLOOKUP('Données projet'!$B$12,Paramètres!$A$1:$I$89,3,0)*VLOOKUP('Données projet'!$B$12,Paramètres!$A$1:$I$89,5,0)</f>
        <v>193.80815999999993</v>
      </c>
      <c r="CA49" s="13">
        <f t="shared" si="39"/>
        <v>48.380908095574689</v>
      </c>
      <c r="CB49" s="20">
        <f t="shared" si="10"/>
        <v>421.81262693312578</v>
      </c>
      <c r="CC49" s="59">
        <f t="shared" si="11"/>
        <v>715.14596026645904</v>
      </c>
      <c r="CD49" s="59">
        <f ca="1">AVERAGE(OFFSET($CC$3,0,0,'Données projet'!$E$12+1,1))-AVERAGE(OFFSET($H$3,0,0,'Données projet'!$E$12+1,1))</f>
        <v>363.51171608224735</v>
      </c>
      <c r="CE49" s="59">
        <f t="shared" si="40"/>
        <v>257.9239334647138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1.7544559659558872</v>
      </c>
      <c r="CL49" s="21">
        <f>EXP(-LN(2)/25)*CL48+(1-EXP(-LN(2)/25))/(LN(2)/25)*Calculateur!CG49*Calculateur!CI49*VLOOKUP('Données projet'!$B$12,Paramètres!$A$1:$I$89,3,0)*0.475*44/12</f>
        <v>7.2403306663567371</v>
      </c>
      <c r="CM49" s="21">
        <f>EXP(-LN(2)/2)*CM48+(1-EXP(-LN(2)/2))/(LN(2)/2)*CG49*CJ49*VLOOKUP('Données projet'!$B$12,Paramètres!$A$1:$I$89,3,0)*0.475*44/12</f>
        <v>8.419272177385391E-2</v>
      </c>
      <c r="CN49" s="22">
        <f t="shared" si="12"/>
        <v>9.0789793540864796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1">
        <f t="shared" si="32"/>
        <v>8.1058983118768051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67">
        <f t="shared" si="1"/>
        <v>352.14575622651876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22.8</v>
      </c>
      <c r="N50" s="13">
        <f>IF('Données projet'!$A$36&gt;35,N49+M50-V49,IF(A50&lt;'Données projet'!$A$36,$K$205^A50,IF(A50='Données projet'!$A$36,'Données projet'!$B$36,N49+M50-V49)))</f>
        <v>546.6</v>
      </c>
      <c r="O50" s="13">
        <f>N50*VLOOKUP('Données projet'!$B$9,Paramètres!$A$1:$I$89,3,0)*VLOOKUP('Données projet'!$B$9,Paramètres!$A$1:$I$89,5,0)</f>
        <v>305.54940000000005</v>
      </c>
      <c r="P50" s="13">
        <f t="shared" si="33"/>
        <v>72.338586946416783</v>
      </c>
      <c r="Q50" s="20">
        <f t="shared" si="53"/>
        <v>658.15491059834255</v>
      </c>
      <c r="R50" s="59">
        <f t="shared" si="0"/>
        <v>951.48824393167592</v>
      </c>
      <c r="S50" s="59">
        <f ca="1">AVERAGE(OFFSET($R$3,0,0,'Données projet'!$E$9+1,1))-AVERAGE(OFFSET($H$3,0,0,'Données projet'!$E$9+1,1))</f>
        <v>446.28010102877403</v>
      </c>
      <c r="T50" s="59">
        <f t="shared" si="34"/>
        <v>445.84011537290456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8.1554196984205323</v>
      </c>
      <c r="AA50" s="21">
        <f>EXP(-LN(2)/25)*AA49+(1-EXP(-LN(2)/25))/(LN(2)/25)*Calculateur!V50*Calculateur!X50*VLOOKUP('Données projet'!$B$9,Paramètres!$A$1:$I$89,3,0)*0.475*44/12</f>
        <v>24.192277845789715</v>
      </c>
      <c r="AB50" s="21">
        <f>EXP(-LN(2)/2)*AB49+(1-EXP(-LN(2)/2))/(LN(2)/2)*V50*Y50*VLOOKUP('Données projet'!$B$9,Paramètres!$A$1:$I$89,3,0)*0.475*44/12</f>
        <v>0.10074031914001418</v>
      </c>
      <c r="AC50" s="22">
        <f t="shared" si="3"/>
        <v>32.448437863350264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12.4</v>
      </c>
      <c r="AI50" s="13">
        <f>IF('Données projet'!$A$62&gt;35,AI49+AH50-AQ49,IF(A50&lt;'Données projet'!$A$62,$AF$205^A50,IF(A50='Données projet'!$A$62,'Données projet'!$B$62,AI49+AH50-AQ49)))</f>
        <v>334.79999999999995</v>
      </c>
      <c r="AJ50" s="13">
        <f>AI50*VLOOKUP('Données projet'!$B$10,Paramètres!$A$1:$I$89,3,0)*VLOOKUP('Données projet'!$B$10,Paramètres!$A$1:$I$89,5,0)</f>
        <v>208.91519999999997</v>
      </c>
      <c r="AK50" s="13">
        <f t="shared" si="35"/>
        <v>51.698458198123326</v>
      </c>
      <c r="AL50" s="20">
        <f t="shared" si="4"/>
        <v>453.90212136173136</v>
      </c>
      <c r="AM50" s="59">
        <f t="shared" si="5"/>
        <v>747.23545469506462</v>
      </c>
      <c r="AN50" s="59">
        <f ca="1">AVERAGE(OFFSET($AM$3,0,0,'Données projet'!$E$10+1,1))-AVERAGE(OFFSET($H$3,0,0,'Données projet'!$E$10+1,1))</f>
        <v>285.77483300338548</v>
      </c>
      <c r="AO50" s="59">
        <f t="shared" si="36"/>
        <v>320.55212417690637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5.9588013695013426</v>
      </c>
      <c r="AV50" s="21">
        <f>EXP(-LN(2)/25)*AV49+(1-EXP(-LN(2)/25))/(LN(2)/25)*Calculateur!AQ50*Calculateur!AS50*VLOOKUP('Données projet'!$B$10,Paramètres!$A$1:$I$89,3,0)*0.475*44/12</f>
        <v>17.395403628032053</v>
      </c>
      <c r="AW50" s="21">
        <f>EXP(-LN(2)/2)*AW49+(1-EXP(-LN(2)/2))/(LN(2)/2)*AQ50*AT50*VLOOKUP('Données projet'!$B$10,Paramètres!$A$1:$I$89,3,0)*0.475*44/12</f>
        <v>6.7399405163826059E-2</v>
      </c>
      <c r="AX50" s="21">
        <f t="shared" si="6"/>
        <v>23.42160440269722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25.3</v>
      </c>
      <c r="BD50" s="12">
        <f>IF('Données projet'!$A$88&gt;35,BD49+BC50-BL49,IF(A50&lt;'Données projet'!$A$88,$BA$205^A50,IF(A50='Données projet'!$A$88,'Données projet'!$B$88,BD49+BC50-BL49)))</f>
        <v>587.1</v>
      </c>
      <c r="BE50" s="13">
        <f>BD50*VLOOKUP('Données projet'!$B$11,Paramètres!$A$1:$I$89,3,0)*VLOOKUP('Données projet'!$B$11,Paramètres!$A$1:$I$89,5,0)</f>
        <v>282.39510000000001</v>
      </c>
      <c r="BF50" s="13">
        <f t="shared" si="37"/>
        <v>67.472911177823008</v>
      </c>
      <c r="BG50" s="20">
        <f t="shared" si="7"/>
        <v>609.35345280137506</v>
      </c>
      <c r="BH50" s="59">
        <f t="shared" si="8"/>
        <v>902.68678613470843</v>
      </c>
      <c r="BI50" s="59">
        <f ca="1">AVERAGE(OFFSET($BH$3,0,0,'Données projet'!$E$11+1,1))-AVERAGE(OFFSET($H$3,0,0,'Données projet'!$E$11+1,1))</f>
        <v>402.22278907877927</v>
      </c>
      <c r="BJ50" s="59">
        <f t="shared" si="38"/>
        <v>393.06397734082458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19.849012815662412</v>
      </c>
      <c r="BQ50" s="21">
        <f>EXP(-LN(2)/25)*BQ49+(1-EXP(-LN(2)/25))/(LN(2)/25)*Calculateur!BL50*Calculateur!BN50*VLOOKUP('Données projet'!$B$11,Paramètres!$A$1:$I$89,3,0)*0.475*44/12</f>
        <v>28.144027755120661</v>
      </c>
      <c r="BR50" s="21">
        <f>EXP(-LN(2)/2)*BR49+(1-EXP(-LN(2)/2))/(LN(2)/2)*BL50*BO50*VLOOKUP('Données projet'!$B$11,Paramètres!$A$1:$I$89,3,0)*0.475*44/12</f>
        <v>2.4434507743204303</v>
      </c>
      <c r="BS50" s="22">
        <f t="shared" si="9"/>
        <v>50.436491345103505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11.2</v>
      </c>
      <c r="BY50" s="12">
        <f>IF('Données projet'!$A$114&gt;35,BY49+BX50-CG49,IF(A50&lt;'Données projet'!$A$114,$BV$205^A50,IF(A50='Données projet'!$A$114,'Données projet'!$B$114,BY49+BX50-CG49)))</f>
        <v>225.39999999999992</v>
      </c>
      <c r="BZ50" s="13">
        <f>BY50*VLOOKUP('Données projet'!$B$12,Paramètres!$A$1:$I$89,3,0)*VLOOKUP('Données projet'!$B$12,Paramètres!$A$1:$I$89,5,0)</f>
        <v>203.94191999999993</v>
      </c>
      <c r="CA50" s="13">
        <f t="shared" si="39"/>
        <v>50.609495896501116</v>
      </c>
      <c r="CB50" s="20">
        <f t="shared" si="10"/>
        <v>443.3437160197393</v>
      </c>
      <c r="CC50" s="59">
        <f t="shared" si="11"/>
        <v>736.67704935307256</v>
      </c>
      <c r="CD50" s="59">
        <f ca="1">AVERAGE(OFFSET($CC$3,0,0,'Données projet'!$E$12+1,1))-AVERAGE(OFFSET($H$3,0,0,'Données projet'!$E$12+1,1))</f>
        <v>363.51171608224735</v>
      </c>
      <c r="CE50" s="59">
        <f t="shared" si="40"/>
        <v>257.9239334647138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1.7200521545759666</v>
      </c>
      <c r="CL50" s="21">
        <f>EXP(-LN(2)/25)*CL49+(1-EXP(-LN(2)/25))/(LN(2)/25)*Calculateur!CG50*Calculateur!CI50*VLOOKUP('Données projet'!$B$12,Paramètres!$A$1:$I$89,3,0)*0.475*44/12</f>
        <v>7.0423434435327703</v>
      </c>
      <c r="CM50" s="21">
        <f>EXP(-LN(2)/2)*CM49+(1-EXP(-LN(2)/2))/(LN(2)/2)*CG50*CJ50*VLOOKUP('Données projet'!$B$12,Paramètres!$A$1:$I$89,3,0)*0.475*44/12</f>
        <v>5.9533244492844396E-2</v>
      </c>
      <c r="CN50" s="22">
        <f t="shared" si="12"/>
        <v>8.8219288426015812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1">
        <f t="shared" si="32"/>
        <v>8.2581019723450915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67">
        <f t="shared" si="1"/>
        <v>353.361794268501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22.8</v>
      </c>
      <c r="N51" s="13">
        <f>IF('Données projet'!$A$36&gt;35,N50+M51-V50,IF(A51&lt;'Données projet'!$A$36,$K$205^A51,IF(A51='Données projet'!$A$36,'Données projet'!$B$36,N50+M51-V50)))</f>
        <v>569.4</v>
      </c>
      <c r="O51" s="13">
        <f>N51*VLOOKUP('Données projet'!$B$9,Paramètres!$A$1:$I$89,3,0)*VLOOKUP('Données projet'!$B$9,Paramètres!$A$1:$I$89,5,0)</f>
        <v>318.2946</v>
      </c>
      <c r="P51" s="13">
        <f t="shared" si="33"/>
        <v>74.998401746556283</v>
      </c>
      <c r="Q51" s="20">
        <f t="shared" si="53"/>
        <v>684.98531137525208</v>
      </c>
      <c r="R51" s="59">
        <f t="shared" si="0"/>
        <v>978.31864470858545</v>
      </c>
      <c r="S51" s="59">
        <f ca="1">AVERAGE(OFFSET($R$3,0,0,'Données projet'!$E$9+1,1))-AVERAGE(OFFSET($H$3,0,0,'Données projet'!$E$9+1,1))</f>
        <v>446.28010102877403</v>
      </c>
      <c r="T51" s="59">
        <f t="shared" si="34"/>
        <v>445.84011537290456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7.9954968924493492</v>
      </c>
      <c r="AA51" s="21">
        <f>EXP(-LN(2)/25)*AA50+(1-EXP(-LN(2)/25))/(LN(2)/25)*Calculateur!V51*Calculateur!X51*VLOOKUP('Données projet'!$B$9,Paramètres!$A$1:$I$89,3,0)*0.475*44/12</f>
        <v>23.530738735879996</v>
      </c>
      <c r="AB51" s="21">
        <f>EXP(-LN(2)/2)*AB50+(1-EXP(-LN(2)/2))/(LN(2)/2)*V51*Y51*VLOOKUP('Données projet'!$B$9,Paramètres!$A$1:$I$89,3,0)*0.475*44/12</f>
        <v>7.1234162802800968E-2</v>
      </c>
      <c r="AC51" s="22">
        <f t="shared" si="3"/>
        <v>31.597469791132145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12.4</v>
      </c>
      <c r="AI51" s="13">
        <f>IF('Données projet'!$A$62&gt;35,AI50+AH51-AQ50,IF(A51&lt;'Données projet'!$A$62,$AF$205^A51,IF(A51='Données projet'!$A$62,'Données projet'!$B$62,AI50+AH51-AQ50)))</f>
        <v>347.19999999999993</v>
      </c>
      <c r="AJ51" s="13">
        <f>AI51*VLOOKUP('Données projet'!$B$10,Paramètres!$A$1:$I$89,3,0)*VLOOKUP('Données projet'!$B$10,Paramètres!$A$1:$I$89,5,0)</f>
        <v>216.65279999999993</v>
      </c>
      <c r="AK51" s="13">
        <f t="shared" si="35"/>
        <v>53.38674047237982</v>
      </c>
      <c r="AL51" s="20">
        <f t="shared" si="4"/>
        <v>470.31886632272807</v>
      </c>
      <c r="AM51" s="59">
        <f t="shared" si="5"/>
        <v>763.65219965606138</v>
      </c>
      <c r="AN51" s="59">
        <f ca="1">AVERAGE(OFFSET($AM$3,0,0,'Données projet'!$E$10+1,1))-AVERAGE(OFFSET($H$3,0,0,'Données projet'!$E$10+1,1))</f>
        <v>285.77483300338548</v>
      </c>
      <c r="AO51" s="59">
        <f t="shared" si="36"/>
        <v>320.55212417690637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5.8419529091553786</v>
      </c>
      <c r="AV51" s="21">
        <f>EXP(-LN(2)/25)*AV50+(1-EXP(-LN(2)/25))/(LN(2)/25)*Calculateur!AQ51*Calculateur!AS51*VLOOKUP('Données projet'!$B$10,Paramètres!$A$1:$I$89,3,0)*0.475*44/12</f>
        <v>16.919725401038999</v>
      </c>
      <c r="AW51" s="21">
        <f>EXP(-LN(2)/2)*AW50+(1-EXP(-LN(2)/2))/(LN(2)/2)*AQ51*AT51*VLOOKUP('Données projet'!$B$10,Paramètres!$A$1:$I$89,3,0)*0.475*44/12</f>
        <v>4.7658576439281015E-2</v>
      </c>
      <c r="AX51" s="21">
        <f t="shared" si="6"/>
        <v>22.809336886633659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25.3</v>
      </c>
      <c r="BD51" s="12">
        <f>IF('Données projet'!$A$88&gt;35,BD50+BC51-BL50,IF(A51&lt;'Données projet'!$A$88,$BA$205^A51,IF(A51='Données projet'!$A$88,'Données projet'!$B$88,BD50+BC51-BL50)))</f>
        <v>612.4</v>
      </c>
      <c r="BE51" s="13">
        <f>BD51*VLOOKUP('Données projet'!$B$11,Paramètres!$A$1:$I$89,3,0)*VLOOKUP('Données projet'!$B$11,Paramètres!$A$1:$I$89,5,0)</f>
        <v>294.56439999999998</v>
      </c>
      <c r="BF51" s="13">
        <f t="shared" si="37"/>
        <v>70.035743130266553</v>
      </c>
      <c r="BG51" s="20">
        <f t="shared" si="7"/>
        <v>635.01191595188084</v>
      </c>
      <c r="BH51" s="59">
        <f t="shared" si="8"/>
        <v>928.34524928521409</v>
      </c>
      <c r="BI51" s="59">
        <f ca="1">AVERAGE(OFFSET($BH$3,0,0,'Données projet'!$E$11+1,1))-AVERAGE(OFFSET($H$3,0,0,'Données projet'!$E$11+1,1))</f>
        <v>402.22278907877927</v>
      </c>
      <c r="BJ51" s="59">
        <f t="shared" si="38"/>
        <v>393.06397734082458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19.459785781049654</v>
      </c>
      <c r="BQ51" s="21">
        <f>EXP(-LN(2)/25)*BQ50+(1-EXP(-LN(2)/25))/(LN(2)/25)*Calculateur!BL51*Calculateur!BN51*VLOOKUP('Données projet'!$B$11,Paramètres!$A$1:$I$89,3,0)*0.475*44/12</f>
        <v>27.374427836126792</v>
      </c>
      <c r="BR51" s="21">
        <f>EXP(-LN(2)/2)*BR50+(1-EXP(-LN(2)/2))/(LN(2)/2)*BL51*BO51*VLOOKUP('Données projet'!$B$11,Paramètres!$A$1:$I$89,3,0)*0.475*44/12</f>
        <v>1.7277806120174968</v>
      </c>
      <c r="BS51" s="22">
        <f t="shared" si="9"/>
        <v>48.561994229193942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11.2</v>
      </c>
      <c r="BY51" s="12">
        <f>IF('Données projet'!$A$114&gt;35,BY50+BX51-CG50,IF(A51&lt;'Données projet'!$A$114,$BV$205^A51,IF(A51='Données projet'!$A$114,'Données projet'!$B$114,BY50+BX51-CG50)))</f>
        <v>236.59999999999991</v>
      </c>
      <c r="BZ51" s="13">
        <f>BY51*VLOOKUP('Données projet'!$B$12,Paramètres!$A$1:$I$89,3,0)*VLOOKUP('Données projet'!$B$12,Paramètres!$A$1:$I$89,5,0)</f>
        <v>214.07567999999992</v>
      </c>
      <c r="CA51" s="13">
        <f t="shared" si="39"/>
        <v>52.825225496078176</v>
      </c>
      <c r="CB51" s="20">
        <f t="shared" si="10"/>
        <v>464.85241040566939</v>
      </c>
      <c r="CC51" s="59">
        <f t="shared" si="11"/>
        <v>758.18574373900265</v>
      </c>
      <c r="CD51" s="59">
        <f ca="1">AVERAGE(OFFSET($CC$3,0,0,'Données projet'!$E$12+1,1))-AVERAGE(OFFSET($H$3,0,0,'Données projet'!$E$12+1,1))</f>
        <v>363.51171608224735</v>
      </c>
      <c r="CE51" s="59">
        <f t="shared" si="40"/>
        <v>257.9239334647138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1.6863229809529534</v>
      </c>
      <c r="CL51" s="21">
        <f>EXP(-LN(2)/25)*CL50+(1-EXP(-LN(2)/25))/(LN(2)/25)*Calculateur!CG51*Calculateur!CI51*VLOOKUP('Données projet'!$B$12,Paramètres!$A$1:$I$89,3,0)*0.475*44/12</f>
        <v>6.8497701917286209</v>
      </c>
      <c r="CM51" s="21">
        <f>EXP(-LN(2)/2)*CM50+(1-EXP(-LN(2)/2))/(LN(2)/2)*CG51*CJ51*VLOOKUP('Données projet'!$B$12,Paramètres!$A$1:$I$89,3,0)*0.475*44/12</f>
        <v>4.2096360886926962E-2</v>
      </c>
      <c r="CN51" s="22">
        <f t="shared" si="12"/>
        <v>8.5781895335685014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1">
        <f t="shared" si="32"/>
        <v>8.4099369579114391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67">
        <f t="shared" si="1"/>
        <v>354.57719020169571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22.8</v>
      </c>
      <c r="N52" s="13">
        <f>IF('Données projet'!$A$36&gt;35,N51+M52-V51,IF(A52&lt;'Données projet'!$A$36,$K$205^A52,IF(A52='Données projet'!$A$36,'Données projet'!$B$36,N51+M52-V51)))</f>
        <v>592.19999999999993</v>
      </c>
      <c r="O52" s="13">
        <f>N52*VLOOKUP('Données projet'!$B$9,Paramètres!$A$1:$I$89,3,0)*VLOOKUP('Données projet'!$B$9,Paramètres!$A$1:$I$89,5,0)</f>
        <v>331.03979999999996</v>
      </c>
      <c r="P52" s="13">
        <f t="shared" si="33"/>
        <v>77.64584475376725</v>
      </c>
      <c r="Q52" s="20">
        <f t="shared" si="53"/>
        <v>711.79416461281119</v>
      </c>
      <c r="R52" s="59">
        <f t="shared" si="0"/>
        <v>1005.1274979461446</v>
      </c>
      <c r="S52" s="59">
        <f ca="1">AVERAGE(OFFSET($R$3,0,0,'Données projet'!$E$9+1,1))-AVERAGE(OFFSET($H$3,0,0,'Données projet'!$E$9+1,1))</f>
        <v>446.28010102877403</v>
      </c>
      <c r="T52" s="59">
        <f t="shared" si="34"/>
        <v>445.84011537290456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7.8387100751599803</v>
      </c>
      <c r="AA52" s="21">
        <f>EXP(-LN(2)/25)*AA51+(1-EXP(-LN(2)/25))/(LN(2)/25)*Calculateur!V52*Calculateur!X52*VLOOKUP('Données projet'!$B$9,Paramètres!$A$1:$I$89,3,0)*0.475*44/12</f>
        <v>22.887289447719589</v>
      </c>
      <c r="AB52" s="21">
        <f>EXP(-LN(2)/2)*AB51+(1-EXP(-LN(2)/2))/(LN(2)/2)*V52*Y52*VLOOKUP('Données projet'!$B$9,Paramètres!$A$1:$I$89,3,0)*0.475*44/12</f>
        <v>5.0370159570007088E-2</v>
      </c>
      <c r="AC52" s="22">
        <f t="shared" si="3"/>
        <v>30.776369682449577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12.4</v>
      </c>
      <c r="AI52" s="13">
        <f>IF('Données projet'!$A$62&gt;35,AI51+AH52-AQ51,IF(A52&lt;'Données projet'!$A$62,$AF$205^A52,IF(A52='Données projet'!$A$62,'Données projet'!$B$62,AI51+AH52-AQ51)))</f>
        <v>359.59999999999991</v>
      </c>
      <c r="AJ52" s="13">
        <f>AI52*VLOOKUP('Données projet'!$B$10,Paramètres!$A$1:$I$89,3,0)*VLOOKUP('Données projet'!$B$10,Paramètres!$A$1:$I$89,5,0)</f>
        <v>224.39039999999994</v>
      </c>
      <c r="AK52" s="13">
        <f t="shared" si="35"/>
        <v>55.068017311015858</v>
      </c>
      <c r="AL52" s="20">
        <f t="shared" si="4"/>
        <v>486.72341015001916</v>
      </c>
      <c r="AM52" s="59">
        <f t="shared" si="5"/>
        <v>780.05674348335242</v>
      </c>
      <c r="AN52" s="59">
        <f ca="1">AVERAGE(OFFSET($AM$3,0,0,'Données projet'!$E$10+1,1))-AVERAGE(OFFSET($H$3,0,0,'Données projet'!$E$10+1,1))</f>
        <v>285.77483300338548</v>
      </c>
      <c r="AO52" s="59">
        <f t="shared" si="36"/>
        <v>320.55212417690637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5.7273957758462757</v>
      </c>
      <c r="AV52" s="21">
        <f>EXP(-LN(2)/25)*AV51+(1-EXP(-LN(2)/25))/(LN(2)/25)*Calculateur!AQ52*Calculateur!AS52*VLOOKUP('Données projet'!$B$10,Paramètres!$A$1:$I$89,3,0)*0.475*44/12</f>
        <v>16.4570546201779</v>
      </c>
      <c r="AW52" s="21">
        <f>EXP(-LN(2)/2)*AW51+(1-EXP(-LN(2)/2))/(LN(2)/2)*AQ52*AT52*VLOOKUP('Données projet'!$B$10,Paramètres!$A$1:$I$89,3,0)*0.475*44/12</f>
        <v>3.369970258191303E-2</v>
      </c>
      <c r="AX52" s="21">
        <f t="shared" si="6"/>
        <v>22.218150098606088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25.3</v>
      </c>
      <c r="BD52" s="12">
        <f>IF('Données projet'!$A$88&gt;35,BD51+BC52-BL51,IF(A52&lt;'Données projet'!$A$88,$BA$205^A52,IF(A52='Données projet'!$A$88,'Données projet'!$B$88,BD51+BC52-BL51)))</f>
        <v>637.69999999999993</v>
      </c>
      <c r="BE52" s="13">
        <f>BD52*VLOOKUP('Données projet'!$B$11,Paramètres!$A$1:$I$89,3,0)*VLOOKUP('Données projet'!$B$11,Paramètres!$A$1:$I$89,5,0)</f>
        <v>306.7337</v>
      </c>
      <c r="BF52" s="13">
        <f t="shared" si="37"/>
        <v>72.586276781239746</v>
      </c>
      <c r="BG52" s="20">
        <f t="shared" si="7"/>
        <v>660.64895956065914</v>
      </c>
      <c r="BH52" s="59">
        <f t="shared" si="8"/>
        <v>953.98229289399251</v>
      </c>
      <c r="BI52" s="59">
        <f ca="1">AVERAGE(OFFSET($BH$3,0,0,'Données projet'!$E$11+1,1))-AVERAGE(OFFSET($H$3,0,0,'Données projet'!$E$11+1,1))</f>
        <v>402.22278907877927</v>
      </c>
      <c r="BJ52" s="59">
        <f t="shared" si="38"/>
        <v>393.06397734082458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19.078191251180602</v>
      </c>
      <c r="BQ52" s="21">
        <f>EXP(-LN(2)/25)*BQ51+(1-EXP(-LN(2)/25))/(LN(2)/25)*Calculateur!BL52*Calculateur!BN52*VLOOKUP('Données projet'!$B$11,Paramètres!$A$1:$I$89,3,0)*0.475*44/12</f>
        <v>26.625872667389309</v>
      </c>
      <c r="BR52" s="21">
        <f>EXP(-LN(2)/2)*BR51+(1-EXP(-LN(2)/2))/(LN(2)/2)*BL52*BO52*VLOOKUP('Données projet'!$B$11,Paramètres!$A$1:$I$89,3,0)*0.475*44/12</f>
        <v>1.2217253871602154</v>
      </c>
      <c r="BS52" s="22">
        <f t="shared" si="9"/>
        <v>46.925789305730127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11.2</v>
      </c>
      <c r="BY52" s="12">
        <f>IF('Données projet'!$A$114&gt;35,BY51+BX52-CG51,IF(A52&lt;'Données projet'!$A$114,$BV$205^A52,IF(A52='Données projet'!$A$114,'Données projet'!$B$114,BY51+BX52-CG51)))</f>
        <v>247.7999999999999</v>
      </c>
      <c r="BZ52" s="13">
        <f>BY52*VLOOKUP('Données projet'!$B$12,Paramètres!$A$1:$I$89,3,0)*VLOOKUP('Données projet'!$B$12,Paramètres!$A$1:$I$89,5,0)</f>
        <v>224.20943999999992</v>
      </c>
      <c r="CA52" s="13">
        <f t="shared" si="39"/>
        <v>55.028775065392324</v>
      </c>
      <c r="CB52" s="20">
        <f t="shared" si="10"/>
        <v>486.33989123889143</v>
      </c>
      <c r="CC52" s="59">
        <f t="shared" si="11"/>
        <v>779.67322457222474</v>
      </c>
      <c r="CD52" s="59">
        <f ca="1">AVERAGE(OFFSET($CC$3,0,0,'Données projet'!$E$12+1,1))-AVERAGE(OFFSET($H$3,0,0,'Données projet'!$E$12+1,1))</f>
        <v>363.51171608224735</v>
      </c>
      <c r="CE52" s="59">
        <f t="shared" si="40"/>
        <v>257.9239334647138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1.6532552158519229</v>
      </c>
      <c r="CL52" s="21">
        <f>EXP(-LN(2)/25)*CL51+(1-EXP(-LN(2)/25))/(LN(2)/25)*Calculateur!CG52*Calculateur!CI52*VLOOKUP('Données projet'!$B$12,Paramètres!$A$1:$I$89,3,0)*0.475*44/12</f>
        <v>6.662462865622043</v>
      </c>
      <c r="CM52" s="21">
        <f>EXP(-LN(2)/2)*CM51+(1-EXP(-LN(2)/2))/(LN(2)/2)*CG52*CJ52*VLOOKUP('Données projet'!$B$12,Paramètres!$A$1:$I$89,3,0)*0.475*44/12</f>
        <v>2.9766622246422202E-2</v>
      </c>
      <c r="CN52" s="22">
        <f t="shared" si="12"/>
        <v>8.3454847037203876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1">
        <f t="shared" si="32"/>
        <v>8.5614116595512399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67">
        <f t="shared" si="1"/>
        <v>355.79195864038502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615</v>
      </c>
      <c r="L53" s="12">
        <f>VLOOKUP(A53,'Données projet'!$A$35:$I$55,9,0)</f>
        <v>22.8</v>
      </c>
      <c r="M53" s="12">
        <f t="array" ref="M53">INDEX(L:L,MIN(IF(ISNUMBER(L53:L249),ROW(L53:L249),"")))</f>
        <v>22.8</v>
      </c>
      <c r="N53" s="13">
        <f>IF('Données projet'!$A$36&gt;35,N52+M53-V52,IF(A53&lt;'Données projet'!$A$36,$K$205^A53,IF(A53='Données projet'!$A$36,'Données projet'!$B$36,N52+M53-V52)))</f>
        <v>614.99999999999989</v>
      </c>
      <c r="O53" s="13">
        <f>N53*VLOOKUP('Données projet'!$B$9,Paramètres!$A$1:$I$89,3,0)*VLOOKUP('Données projet'!$B$9,Paramètres!$A$1:$I$89,5,0)</f>
        <v>343.78499999999991</v>
      </c>
      <c r="P53" s="13">
        <f t="shared" si="33"/>
        <v>80.281446809317075</v>
      </c>
      <c r="Q53" s="20">
        <f t="shared" si="53"/>
        <v>738.58239485956028</v>
      </c>
      <c r="R53" s="59">
        <f t="shared" si="0"/>
        <v>1031.9157281928935</v>
      </c>
      <c r="S53" s="59">
        <f ca="1">AVERAGE(OFFSET($R$3,0,0,'Données projet'!$E$9+1,1))-AVERAGE(OFFSET($H$3,0,0,'Données projet'!$E$9+1,1))</f>
        <v>446.28010102877403</v>
      </c>
      <c r="T53" s="59">
        <f t="shared" si="34"/>
        <v>445.84011537290456</v>
      </c>
      <c r="U53" s="15">
        <f>IF(ISNA(VLOOKUP(A53,'Données projet'!$A$35:$I$55,3,0)),0,VLOOKUP(A53,'Données projet'!$A$35:$I$55,3,0))</f>
        <v>4</v>
      </c>
      <c r="V53" s="15">
        <f>IF(ISNA(VLOOKUP(A53,'Données projet'!$A$35:$I$55,4,0)),0,VLOOKUP(A53,'Données projet'!$A$35:$I$55,4,0))</f>
        <v>129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7.6849977517271402</v>
      </c>
      <c r="AA53" s="21">
        <f>EXP(-LN(2)/25)*AA52+(1-EXP(-LN(2)/25))/(LN(2)/25)*Calculateur!V53*Calculateur!X53*VLOOKUP('Données projet'!$B$9,Paramètres!$A$1:$I$89,3,0)*0.475*44/12</f>
        <v>22.261435314181455</v>
      </c>
      <c r="AB53" s="21">
        <f>EXP(-LN(2)/2)*AB52+(1-EXP(-LN(2)/2))/(LN(2)/2)*V53*Y53*VLOOKUP('Données projet'!$B$9,Paramètres!$A$1:$I$89,3,0)*0.475*44/12</f>
        <v>3.5617081401400484E-2</v>
      </c>
      <c r="AC53" s="22">
        <f t="shared" si="3"/>
        <v>29.982050147309995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372</v>
      </c>
      <c r="AG53" s="12">
        <f>VLOOKUP(A53,'Données projet'!$A$61:$I$81,9,0)</f>
        <v>12.4</v>
      </c>
      <c r="AH53" s="12">
        <f t="array" ref="AH53">INDEX(AG:AG,MIN(IF(ISNUMBER(AG53:AG249),ROW(AG53:AG249),"")))</f>
        <v>12.4</v>
      </c>
      <c r="AI53" s="13">
        <f>IF('Données projet'!$A$62&gt;35,AI52+AH53-AQ52,IF(A53&lt;'Données projet'!$A$62,$AF$205^A53,IF(A53='Données projet'!$A$62,'Données projet'!$B$62,AI52+AH53-AQ52)))</f>
        <v>371.99999999999989</v>
      </c>
      <c r="AJ53" s="13">
        <f>AI53*VLOOKUP('Données projet'!$B$10,Paramètres!$A$1:$I$89,3,0)*VLOOKUP('Données projet'!$B$10,Paramètres!$A$1:$I$89,5,0)</f>
        <v>232.12799999999993</v>
      </c>
      <c r="AK53" s="13">
        <f t="shared" si="35"/>
        <v>56.742557967082398</v>
      </c>
      <c r="AL53" s="20">
        <f t="shared" si="4"/>
        <v>503.11622179266834</v>
      </c>
      <c r="AM53" s="59">
        <f t="shared" si="5"/>
        <v>796.44955512600166</v>
      </c>
      <c r="AN53" s="59">
        <f ca="1">AVERAGE(OFFSET($AM$3,0,0,'Données projet'!$E$10+1,1))-AVERAGE(OFFSET($H$3,0,0,'Données projet'!$E$10+1,1))</f>
        <v>285.77483300338548</v>
      </c>
      <c r="AO53" s="59">
        <f t="shared" si="36"/>
        <v>320.55212417690637</v>
      </c>
      <c r="AP53" s="15">
        <f>IF(ISNA(VLOOKUP(A53,'Données projet'!$A$61:$I$81,3,0)),0,VLOOKUP(A53,'Données projet'!$A$61:$I$81,3,0))</f>
        <v>4</v>
      </c>
      <c r="AQ53" s="15">
        <f>IF(ISNA(VLOOKUP(A53,'Données projet'!$A$61:$I$81,4,0)),0,VLOOKUP(A53,'Données projet'!$A$61:$I$81,4,0))</f>
        <v>68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5.6150850380484121</v>
      </c>
      <c r="AV53" s="21">
        <f>EXP(-LN(2)/25)*AV52+(1-EXP(-LN(2)/25))/(LN(2)/25)*Calculateur!AQ53*Calculateur!AS53*VLOOKUP('Données projet'!$B$10,Paramètres!$A$1:$I$89,3,0)*0.475*44/12</f>
        <v>16.007035596150246</v>
      </c>
      <c r="AW53" s="21">
        <f>EXP(-LN(2)/2)*AW52+(1-EXP(-LN(2)/2))/(LN(2)/2)*AQ53*AT53*VLOOKUP('Données projet'!$B$10,Paramètres!$A$1:$I$89,3,0)*0.475*44/12</f>
        <v>2.3829288219640508E-2</v>
      </c>
      <c r="AX53" s="21">
        <f t="shared" si="6"/>
        <v>21.6459499224183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663</v>
      </c>
      <c r="BB53" s="12">
        <f>VLOOKUP(A53,'Données projet'!$A$87:$I$107,9,0)</f>
        <v>25.3</v>
      </c>
      <c r="BC53" s="12">
        <f t="array" ref="BC53">INDEX(BB:BB,MIN(IF(ISNUMBER(BB53:BB249),ROW(BB53:BB249),"")))</f>
        <v>25.3</v>
      </c>
      <c r="BD53" s="12">
        <f>IF('Données projet'!$A$88&gt;35,BD52+BC53-BL52,IF(A53&lt;'Données projet'!$A$88,$BA$205^A53,IF(A53='Données projet'!$A$88,'Données projet'!$B$88,BD52+BC53-BL52)))</f>
        <v>662.99999999999989</v>
      </c>
      <c r="BE53" s="13">
        <f>BD53*VLOOKUP('Données projet'!$B$11,Paramètres!$A$1:$I$89,3,0)*VLOOKUP('Données projet'!$B$11,Paramètres!$A$1:$I$89,5,0)</f>
        <v>318.90299999999996</v>
      </c>
      <c r="BF53" s="13">
        <f t="shared" si="37"/>
        <v>75.125055880226313</v>
      </c>
      <c r="BG53" s="20">
        <f t="shared" si="7"/>
        <v>686.26553065806058</v>
      </c>
      <c r="BH53" s="59">
        <f t="shared" si="8"/>
        <v>979.59886399139396</v>
      </c>
      <c r="BI53" s="59">
        <f ca="1">AVERAGE(OFFSET($BH$3,0,0,'Données projet'!$E$11+1,1))-AVERAGE(OFFSET($H$3,0,0,'Données projet'!$E$11+1,1))</f>
        <v>402.22278907877927</v>
      </c>
      <c r="BJ53" s="59">
        <f t="shared" si="38"/>
        <v>393.06397734082458</v>
      </c>
      <c r="BK53" s="15">
        <f>IF(ISNA(VLOOKUP(A53,'Données projet'!$A$87:$I$107,3,0)),0,VLOOKUP(A53,'Données projet'!$A$87:$I$107,3,0))</f>
        <v>5</v>
      </c>
      <c r="BL53" s="15">
        <f>IF(ISNA(VLOOKUP(A53,'Données projet'!$A$87:$I$107,4,0)),0,VLOOKUP(A53,'Données projet'!$A$87:$I$107,4,0))</f>
        <v>140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18.704079557292602</v>
      </c>
      <c r="BQ53" s="21">
        <f>EXP(-LN(2)/25)*BQ52+(1-EXP(-LN(2)/25))/(LN(2)/25)*Calculateur!BL53*Calculateur!BN53*VLOOKUP('Données projet'!$B$11,Paramètres!$A$1:$I$89,3,0)*0.475*44/12</f>
        <v>25.897786779105758</v>
      </c>
      <c r="BR53" s="21">
        <f>EXP(-LN(2)/2)*BR52+(1-EXP(-LN(2)/2))/(LN(2)/2)*BL53*BO53*VLOOKUP('Données projet'!$B$11,Paramètres!$A$1:$I$89,3,0)*0.475*44/12</f>
        <v>0.8638903060087485</v>
      </c>
      <c r="BS53" s="22">
        <f t="shared" si="9"/>
        <v>45.465756642407108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259</v>
      </c>
      <c r="BW53" s="12">
        <f>VLOOKUP(A53,'Données projet'!$A$113:$I$133,9,0)</f>
        <v>11.2</v>
      </c>
      <c r="BX53" s="12">
        <f t="array" ref="BX53">INDEX(BW:BW,MIN(IF(ISNUMBER(BW53:BW249),ROW(BW53:BW249),"")))</f>
        <v>11.2</v>
      </c>
      <c r="BY53" s="12">
        <f>IF('Données projet'!$A$114&gt;35,BY52+BX53-CG52,IF(A53&lt;'Données projet'!$A$114,$BV$205^A53,IF(A53='Données projet'!$A$114,'Données projet'!$B$114,BY52+BX53-CG52)))</f>
        <v>258.99999999999989</v>
      </c>
      <c r="BZ53" s="13">
        <f>BY53*VLOOKUP('Données projet'!$B$12,Paramètres!$A$1:$I$89,3,0)*VLOOKUP('Données projet'!$B$12,Paramètres!$A$1:$I$89,5,0)</f>
        <v>234.34319999999988</v>
      </c>
      <c r="CA53" s="13">
        <f t="shared" si="39"/>
        <v>57.220758006491614</v>
      </c>
      <c r="CB53" s="20">
        <f t="shared" si="10"/>
        <v>507.80722686130594</v>
      </c>
      <c r="CC53" s="59">
        <f t="shared" si="11"/>
        <v>801.14056019463919</v>
      </c>
      <c r="CD53" s="59">
        <f ca="1">AVERAGE(OFFSET($CC$3,0,0,'Données projet'!$E$12+1,1))-AVERAGE(OFFSET($H$3,0,0,'Données projet'!$E$12+1,1))</f>
        <v>363.51171608224735</v>
      </c>
      <c r="CE53" s="59">
        <f t="shared" si="40"/>
        <v>257.9239334647138</v>
      </c>
      <c r="CF53" s="15">
        <f>IF(ISNA(VLOOKUP(A53,'Données projet'!$A$113:$I$133,3,0)),0,VLOOKUP(A53,'Données projet'!$A$113:$I$133,3,0))</f>
        <v>4</v>
      </c>
      <c r="CG53" s="15">
        <f>IF(ISNA(VLOOKUP(A53,'Données projet'!$A$113:$I$133,4,0)),0,VLOOKUP(A53,'Données projet'!$A$113:$I$133,4,0))</f>
        <v>56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1.6208358894551784</v>
      </c>
      <c r="CL53" s="21">
        <f>EXP(-LN(2)/25)*CL52+(1-EXP(-LN(2)/25))/(LN(2)/25)*Calculateur!CG53*Calculateur!CI53*VLOOKUP('Données projet'!$B$12,Paramètres!$A$1:$I$89,3,0)*0.475*44/12</f>
        <v>6.4802774681979134</v>
      </c>
      <c r="CM53" s="21">
        <f>EXP(-LN(2)/2)*CM52+(1-EXP(-LN(2)/2))/(LN(2)/2)*CG53*CJ53*VLOOKUP('Données projet'!$B$12,Paramètres!$A$1:$I$89,3,0)*0.475*44/12</f>
        <v>2.1048180443463484E-2</v>
      </c>
      <c r="CN53" s="22">
        <f t="shared" si="12"/>
        <v>8.1221615380965542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1">
        <f t="shared" si="32"/>
        <v>8.7125341134088217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67">
        <f t="shared" si="1"/>
        <v>357.00611358085365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19.3</v>
      </c>
      <c r="N54" s="13">
        <f>IF('Données projet'!$A$36&gt;35,N53+M54-V53,IF(A54&lt;'Données projet'!$A$36,$K$205^A54,IF(A54='Données projet'!$A$36,'Données projet'!$B$36,N53+M54-V53)))</f>
        <v>505.29999999999984</v>
      </c>
      <c r="O54" s="13">
        <f>N54*VLOOKUP('Données projet'!$B$9,Paramètres!$A$1:$I$89,3,0)*VLOOKUP('Données projet'!$B$9,Paramètres!$A$1:$I$89,5,0)</f>
        <v>282.46269999999993</v>
      </c>
      <c r="P54" s="13">
        <f t="shared" si="33"/>
        <v>67.487182645718548</v>
      </c>
      <c r="Q54" s="20">
        <f t="shared" si="53"/>
        <v>609.49604560795967</v>
      </c>
      <c r="R54" s="59">
        <f t="shared" si="0"/>
        <v>902.82937894129304</v>
      </c>
      <c r="S54" s="59">
        <f ca="1">AVERAGE(OFFSET($R$3,0,0,'Données projet'!$E$9+1,1))-AVERAGE(OFFSET($H$3,0,0,'Données projet'!$E$9+1,1))</f>
        <v>446.28010102877403</v>
      </c>
      <c r="T54" s="59">
        <f t="shared" si="34"/>
        <v>445.84011537290456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7.5342996332015586</v>
      </c>
      <c r="AA54" s="21">
        <f>EXP(-LN(2)/25)*AA53+(1-EXP(-LN(2)/25))/(LN(2)/25)*Calculateur!V54*Calculateur!X54*VLOOKUP('Données projet'!$B$9,Paramètres!$A$1:$I$89,3,0)*0.475*44/12</f>
        <v>21.652695194837158</v>
      </c>
      <c r="AB54" s="21">
        <f>EXP(-LN(2)/2)*AB53+(1-EXP(-LN(2)/2))/(LN(2)/2)*V54*Y54*VLOOKUP('Données projet'!$B$9,Paramètres!$A$1:$I$89,3,0)*0.475*44/12</f>
        <v>2.5185079785003544E-2</v>
      </c>
      <c r="AC54" s="22">
        <f t="shared" si="3"/>
        <v>29.212179907823721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10</v>
      </c>
      <c r="AI54" s="13">
        <f>IF('Données projet'!$A$62&gt;35,AI53+AH54-AQ53,IF(A54&lt;'Données projet'!$A$62,$AF$205^A54,IF(A54='Données projet'!$A$62,'Données projet'!$B$62,AI53+AH54-AQ53)))</f>
        <v>313.99999999999989</v>
      </c>
      <c r="AJ54" s="13">
        <f>AI54*VLOOKUP('Données projet'!$B$10,Paramètres!$A$1:$I$89,3,0)*VLOOKUP('Données projet'!$B$10,Paramètres!$A$1:$I$89,5,0)</f>
        <v>195.93599999999992</v>
      </c>
      <c r="AK54" s="13">
        <f t="shared" si="35"/>
        <v>48.849959202565856</v>
      </c>
      <c r="AL54" s="20">
        <f t="shared" si="4"/>
        <v>426.33554561113533</v>
      </c>
      <c r="AM54" s="59">
        <f t="shared" si="5"/>
        <v>719.66887894446859</v>
      </c>
      <c r="AN54" s="59">
        <f ca="1">AVERAGE(OFFSET($AM$3,0,0,'Données projet'!$E$10+1,1))-AVERAGE(OFFSET($H$3,0,0,'Données projet'!$E$10+1,1))</f>
        <v>285.77483300338548</v>
      </c>
      <c r="AO54" s="59">
        <f t="shared" si="36"/>
        <v>320.55212417690637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5.5049766453159785</v>
      </c>
      <c r="AV54" s="21">
        <f>EXP(-LN(2)/25)*AV53+(1-EXP(-LN(2)/25))/(LN(2)/25)*Calculateur!AQ54*Calculateur!AS54*VLOOKUP('Données projet'!$B$10,Paramètres!$A$1:$I$89,3,0)*0.475*44/12</f>
        <v>15.569322366000099</v>
      </c>
      <c r="AW54" s="21">
        <f>EXP(-LN(2)/2)*AW53+(1-EXP(-LN(2)/2))/(LN(2)/2)*AQ54*AT54*VLOOKUP('Données projet'!$B$10,Paramètres!$A$1:$I$89,3,0)*0.475*44/12</f>
        <v>1.6849851290956515E-2</v>
      </c>
      <c r="AX54" s="21">
        <f t="shared" si="6"/>
        <v>21.091148862607035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22.9</v>
      </c>
      <c r="BD54" s="12">
        <f>IF('Données projet'!$A$88&gt;35,BD53+BC54-BL53,IF(A54&lt;'Données projet'!$A$88,$BA$205^A54,IF(A54='Données projet'!$A$88,'Données projet'!$B$88,BD53+BC54-BL53)))</f>
        <v>545.89999999999986</v>
      </c>
      <c r="BE54" s="13">
        <f>BD54*VLOOKUP('Données projet'!$B$11,Paramètres!$A$1:$I$89,3,0)*VLOOKUP('Données projet'!$B$11,Paramètres!$A$1:$I$89,5,0)</f>
        <v>262.57789999999994</v>
      </c>
      <c r="BF54" s="13">
        <f t="shared" si="37"/>
        <v>63.271566131751015</v>
      </c>
      <c r="BG54" s="20">
        <f t="shared" si="7"/>
        <v>567.52115351279951</v>
      </c>
      <c r="BH54" s="59">
        <f t="shared" si="8"/>
        <v>860.85448684613289</v>
      </c>
      <c r="BI54" s="59">
        <f ca="1">AVERAGE(OFFSET($BH$3,0,0,'Données projet'!$E$11+1,1))-AVERAGE(OFFSET($H$3,0,0,'Données projet'!$E$11+1,1))</f>
        <v>402.22278907877927</v>
      </c>
      <c r="BJ54" s="59">
        <f t="shared" si="38"/>
        <v>393.06397734082458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18.33730396553614</v>
      </c>
      <c r="BQ54" s="21">
        <f>EXP(-LN(2)/25)*BQ53+(1-EXP(-LN(2)/25))/(LN(2)/25)*Calculateur!BL54*Calculateur!BN54*VLOOKUP('Données projet'!$B$11,Paramètres!$A$1:$I$89,3,0)*0.475*44/12</f>
        <v>25.189610437725694</v>
      </c>
      <c r="BR54" s="21">
        <f>EXP(-LN(2)/2)*BR53+(1-EXP(-LN(2)/2))/(LN(2)/2)*BL54*BO54*VLOOKUP('Données projet'!$B$11,Paramètres!$A$1:$I$89,3,0)*0.475*44/12</f>
        <v>0.6108626935801077</v>
      </c>
      <c r="BS54" s="22">
        <f t="shared" si="9"/>
        <v>44.137777096841944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9.8000000000000007</v>
      </c>
      <c r="BY54" s="12">
        <f>IF('Données projet'!$A$114&gt;35,BY53+BX54-CG53,IF(A54&lt;'Données projet'!$A$114,$BV$205^A54,IF(A54='Données projet'!$A$114,'Données projet'!$B$114,BY53+BX54-CG53)))</f>
        <v>212.7999999999999</v>
      </c>
      <c r="BZ54" s="13">
        <f>BY54*VLOOKUP('Données projet'!$B$12,Paramètres!$A$1:$I$89,3,0)*VLOOKUP('Données projet'!$B$12,Paramètres!$A$1:$I$89,5,0)</f>
        <v>192.54143999999991</v>
      </c>
      <c r="CA54" s="13">
        <f t="shared" si="39"/>
        <v>48.101393902059698</v>
      </c>
      <c r="CB54" s="20">
        <f t="shared" si="10"/>
        <v>419.11960237942048</v>
      </c>
      <c r="CC54" s="59">
        <f t="shared" si="11"/>
        <v>712.45293571275374</v>
      </c>
      <c r="CD54" s="59">
        <f ca="1">AVERAGE(OFFSET($CC$3,0,0,'Données projet'!$E$12+1,1))-AVERAGE(OFFSET($H$3,0,0,'Données projet'!$E$12+1,1))</f>
        <v>363.51171608224735</v>
      </c>
      <c r="CE54" s="59">
        <f t="shared" si="40"/>
        <v>257.9239334647138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1.5890522862752376</v>
      </c>
      <c r="CL54" s="21">
        <f>EXP(-LN(2)/25)*CL53+(1-EXP(-LN(2)/25))/(LN(2)/25)*Calculateur!CG54*Calculateur!CI54*VLOOKUP('Données projet'!$B$12,Paramètres!$A$1:$I$89,3,0)*0.475*44/12</f>
        <v>6.3030739400470601</v>
      </c>
      <c r="CM54" s="21">
        <f>EXP(-LN(2)/2)*CM53+(1-EXP(-LN(2)/2))/(LN(2)/2)*CG54*CJ54*VLOOKUP('Données projet'!$B$12,Paramètres!$A$1:$I$89,3,0)*0.475*44/12</f>
        <v>1.4883311123211104E-2</v>
      </c>
      <c r="CN54" s="22">
        <f t="shared" si="12"/>
        <v>7.9070095374455089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1">
        <f t="shared" si="32"/>
        <v>8.8633120224605459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67">
        <f t="shared" si="1"/>
        <v>358.21966843911872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19.3</v>
      </c>
      <c r="N55" s="13">
        <f>IF('Données projet'!$A$36&gt;35,N54+M55-V54,IF(A55&lt;'Données projet'!$A$36,$K$205^A55,IF(A55='Données projet'!$A$36,'Données projet'!$B$36,N54+M55-V54)))</f>
        <v>524.5999999999998</v>
      </c>
      <c r="O55" s="13">
        <f>N55*VLOOKUP('Données projet'!$B$9,Paramètres!$A$1:$I$89,3,0)*VLOOKUP('Données projet'!$B$9,Paramètres!$A$1:$I$89,5,0)</f>
        <v>293.25139999999988</v>
      </c>
      <c r="P55" s="13">
        <f t="shared" si="33"/>
        <v>69.759829754702025</v>
      </c>
      <c r="Q55" s="20">
        <f t="shared" si="53"/>
        <v>632.2445584894391</v>
      </c>
      <c r="R55" s="59">
        <f t="shared" si="0"/>
        <v>925.57789182277247</v>
      </c>
      <c r="S55" s="59">
        <f ca="1">AVERAGE(OFFSET($R$3,0,0,'Données projet'!$E$9+1,1))-AVERAGE(OFFSET($H$3,0,0,'Données projet'!$E$9+1,1))</f>
        <v>446.28010102877403</v>
      </c>
      <c r="T55" s="59">
        <f t="shared" si="34"/>
        <v>445.84011537290456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7.3865566128634876</v>
      </c>
      <c r="AA55" s="21">
        <f>EXP(-LN(2)/25)*AA54+(1-EXP(-LN(2)/25))/(LN(2)/25)*Calculateur!V55*Calculateur!X55*VLOOKUP('Données projet'!$B$9,Paramètres!$A$1:$I$89,3,0)*0.475*44/12</f>
        <v>21.060601106068582</v>
      </c>
      <c r="AB55" s="21">
        <f>EXP(-LN(2)/2)*AB54+(1-EXP(-LN(2)/2))/(LN(2)/2)*V55*Y55*VLOOKUP('Données projet'!$B$9,Paramètres!$A$1:$I$89,3,0)*0.475*44/12</f>
        <v>1.7808540700700242E-2</v>
      </c>
      <c r="AC55" s="22">
        <f t="shared" si="3"/>
        <v>28.464966259632767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10</v>
      </c>
      <c r="AI55" s="13">
        <f>IF('Données projet'!$A$62&gt;35,AI54+AH55-AQ54,IF(A55&lt;'Données projet'!$A$62,$AF$205^A55,IF(A55='Données projet'!$A$62,'Données projet'!$B$62,AI54+AH55-AQ54)))</f>
        <v>323.99999999999989</v>
      </c>
      <c r="AJ55" s="13">
        <f>AI55*VLOOKUP('Données projet'!$B$10,Paramètres!$A$1:$I$89,3,0)*VLOOKUP('Données projet'!$B$10,Paramètres!$A$1:$I$89,5,0)</f>
        <v>202.17599999999996</v>
      </c>
      <c r="AK55" s="13">
        <f t="shared" si="35"/>
        <v>50.22208506756467</v>
      </c>
      <c r="AL55" s="20">
        <f t="shared" si="4"/>
        <v>439.59333149267508</v>
      </c>
      <c r="AM55" s="59">
        <f t="shared" si="5"/>
        <v>732.92666482600839</v>
      </c>
      <c r="AN55" s="59">
        <f ca="1">AVERAGE(OFFSET($AM$3,0,0,'Données projet'!$E$10+1,1))-AVERAGE(OFFSET($H$3,0,0,'Données projet'!$E$10+1,1))</f>
        <v>285.77483300338548</v>
      </c>
      <c r="AO55" s="59">
        <f t="shared" si="36"/>
        <v>320.55212417690637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5.3970274110055403</v>
      </c>
      <c r="AV55" s="21">
        <f>EXP(-LN(2)/25)*AV54+(1-EXP(-LN(2)/25))/(LN(2)/25)*Calculateur!AQ55*Calculateur!AS55*VLOOKUP('Données projet'!$B$10,Paramètres!$A$1:$I$89,3,0)*0.475*44/12</f>
        <v>15.143578427146748</v>
      </c>
      <c r="AW55" s="21">
        <f>EXP(-LN(2)/2)*AW54+(1-EXP(-LN(2)/2))/(LN(2)/2)*AQ55*AT55*VLOOKUP('Données projet'!$B$10,Paramètres!$A$1:$I$89,3,0)*0.475*44/12</f>
        <v>1.1914644109820254E-2</v>
      </c>
      <c r="AX55" s="21">
        <f t="shared" si="6"/>
        <v>20.552520482262107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22.9</v>
      </c>
      <c r="BD55" s="12">
        <f>IF('Données projet'!$A$88&gt;35,BD54+BC55-BL54,IF(A55&lt;'Données projet'!$A$88,$BA$205^A55,IF(A55='Données projet'!$A$88,'Données projet'!$B$88,BD54+BC55-BL54)))</f>
        <v>568.79999999999984</v>
      </c>
      <c r="BE55" s="13">
        <f>BD55*VLOOKUP('Données projet'!$B$11,Paramètres!$A$1:$I$89,3,0)*VLOOKUP('Données projet'!$B$11,Paramètres!$A$1:$I$89,5,0)</f>
        <v>273.5927999999999</v>
      </c>
      <c r="BF55" s="13">
        <f t="shared" si="37"/>
        <v>65.61116452438678</v>
      </c>
      <c r="BG55" s="20">
        <f t="shared" si="7"/>
        <v>590.78023821330669</v>
      </c>
      <c r="BH55" s="59">
        <f t="shared" si="8"/>
        <v>884.11357154664006</v>
      </c>
      <c r="BI55" s="59">
        <f ca="1">AVERAGE(OFFSET($BH$3,0,0,'Données projet'!$E$11+1,1))-AVERAGE(OFFSET($H$3,0,0,'Données projet'!$E$11+1,1))</f>
        <v>402.22278907877927</v>
      </c>
      <c r="BJ55" s="59">
        <f t="shared" si="38"/>
        <v>393.06397734082458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17.977720619423003</v>
      </c>
      <c r="BQ55" s="21">
        <f>EXP(-LN(2)/25)*BQ54+(1-EXP(-LN(2)/25))/(LN(2)/25)*Calculateur!BL55*Calculateur!BN55*VLOOKUP('Données projet'!$B$11,Paramètres!$A$1:$I$89,3,0)*0.475*44/12</f>
        <v>24.500799215642044</v>
      </c>
      <c r="BR55" s="21">
        <f>EXP(-LN(2)/2)*BR54+(1-EXP(-LN(2)/2))/(LN(2)/2)*BL55*BO55*VLOOKUP('Données projet'!$B$11,Paramètres!$A$1:$I$89,3,0)*0.475*44/12</f>
        <v>0.43194515300437425</v>
      </c>
      <c r="BS55" s="22">
        <f t="shared" si="9"/>
        <v>42.910464988069414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9.8000000000000007</v>
      </c>
      <c r="BY55" s="12">
        <f>IF('Données projet'!$A$114&gt;35,BY54+BX55-CG54,IF(A55&lt;'Données projet'!$A$114,$BV$205^A55,IF(A55='Données projet'!$A$114,'Données projet'!$B$114,BY54+BX55-CG54)))</f>
        <v>222.59999999999991</v>
      </c>
      <c r="BZ55" s="13">
        <f>BY55*VLOOKUP('Données projet'!$B$12,Paramètres!$A$1:$I$89,3,0)*VLOOKUP('Données projet'!$B$12,Paramètres!$A$1:$I$89,5,0)</f>
        <v>201.40847999999991</v>
      </c>
      <c r="CA55" s="13">
        <f t="shared" si="39"/>
        <v>50.053582459229212</v>
      </c>
      <c r="CB55" s="20">
        <f t="shared" si="10"/>
        <v>437.96309211649071</v>
      </c>
      <c r="CC55" s="59">
        <f t="shared" si="11"/>
        <v>731.29642544982403</v>
      </c>
      <c r="CD55" s="59">
        <f ca="1">AVERAGE(OFFSET($CC$3,0,0,'Données projet'!$E$12+1,1))-AVERAGE(OFFSET($H$3,0,0,'Données projet'!$E$12+1,1))</f>
        <v>363.51171608224735</v>
      </c>
      <c r="CE55" s="59">
        <f t="shared" si="40"/>
        <v>257.9239334647138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1.5578919401675717</v>
      </c>
      <c r="CL55" s="21">
        <f>EXP(-LN(2)/25)*CL54+(1-EXP(-LN(2)/25))/(LN(2)/25)*Calculateur!CG55*Calculateur!CI55*VLOOKUP('Données projet'!$B$12,Paramètres!$A$1:$I$89,3,0)*0.475*44/12</f>
        <v>6.1307160516922208</v>
      </c>
      <c r="CM55" s="21">
        <f>EXP(-LN(2)/2)*CM54+(1-EXP(-LN(2)/2))/(LN(2)/2)*CG55*CJ55*VLOOKUP('Données projet'!$B$12,Paramètres!$A$1:$I$89,3,0)*0.475*44/12</f>
        <v>1.0524090221731744E-2</v>
      </c>
      <c r="CN55" s="22">
        <f t="shared" si="12"/>
        <v>7.6991320820815243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1">
        <f t="shared" si="32"/>
        <v>9.0137527764644076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67">
        <f t="shared" si="1"/>
        <v>359.43263608567548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19.3</v>
      </c>
      <c r="N56" s="13">
        <f>IF('Données projet'!$A$36&gt;35,N55+M56-V55,IF(A56&lt;'Données projet'!$A$36,$K$205^A56,IF(A56='Données projet'!$A$36,'Données projet'!$B$36,N55+M56-V55)))</f>
        <v>543.89999999999975</v>
      </c>
      <c r="O56" s="13">
        <f>N56*VLOOKUP('Données projet'!$B$9,Paramètres!$A$1:$I$89,3,0)*VLOOKUP('Données projet'!$B$9,Paramètres!$A$1:$I$89,5,0)</f>
        <v>304.04009999999988</v>
      </c>
      <c r="P56" s="13">
        <f t="shared" si="33"/>
        <v>72.022763091018376</v>
      </c>
      <c r="Q56" s="20">
        <f t="shared" si="53"/>
        <v>654.97615321685669</v>
      </c>
      <c r="R56" s="59">
        <f t="shared" si="0"/>
        <v>948.30948655019006</v>
      </c>
      <c r="S56" s="59">
        <f ca="1">AVERAGE(OFFSET($R$3,0,0,'Données projet'!$E$9+1,1))-AVERAGE(OFFSET($H$3,0,0,'Données projet'!$E$9+1,1))</f>
        <v>446.28010102877403</v>
      </c>
      <c r="T56" s="59">
        <f t="shared" si="34"/>
        <v>445.84011537290456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7.2417107430399019</v>
      </c>
      <c r="AA56" s="21">
        <f>EXP(-LN(2)/25)*AA55+(1-EXP(-LN(2)/25))/(LN(2)/25)*Calculateur!V56*Calculateur!X56*VLOOKUP('Données projet'!$B$9,Paramètres!$A$1:$I$89,3,0)*0.475*44/12</f>
        <v>20.484697861294258</v>
      </c>
      <c r="AB56" s="21">
        <f>EXP(-LN(2)/2)*AB55+(1-EXP(-LN(2)/2))/(LN(2)/2)*V56*Y56*VLOOKUP('Données projet'!$B$9,Paramètres!$A$1:$I$89,3,0)*0.475*44/12</f>
        <v>1.2592539892501772E-2</v>
      </c>
      <c r="AC56" s="22">
        <f t="shared" si="3"/>
        <v>27.739001144226663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10</v>
      </c>
      <c r="AI56" s="13">
        <f>IF('Données projet'!$A$62&gt;35,AI55+AH56-AQ55,IF(A56&lt;'Données projet'!$A$62,$AF$205^A56,IF(A56='Données projet'!$A$62,'Données projet'!$B$62,AI55+AH56-AQ55)))</f>
        <v>333.99999999999989</v>
      </c>
      <c r="AJ56" s="13">
        <f>AI56*VLOOKUP('Données projet'!$B$10,Paramètres!$A$1:$I$89,3,0)*VLOOKUP('Données projet'!$B$10,Paramètres!$A$1:$I$89,5,0)</f>
        <v>208.41599999999991</v>
      </c>
      <c r="AK56" s="13">
        <f t="shared" si="35"/>
        <v>51.589289462027516</v>
      </c>
      <c r="AL56" s="20">
        <f t="shared" si="4"/>
        <v>452.84254581303099</v>
      </c>
      <c r="AM56" s="59">
        <f t="shared" si="5"/>
        <v>746.17587914636431</v>
      </c>
      <c r="AN56" s="59">
        <f ca="1">AVERAGE(OFFSET($AM$3,0,0,'Données projet'!$E$10+1,1))-AVERAGE(OFFSET($H$3,0,0,'Données projet'!$E$10+1,1))</f>
        <v>285.77483300338548</v>
      </c>
      <c r="AO56" s="59">
        <f t="shared" si="36"/>
        <v>320.55212417690637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5.2911949953373982</v>
      </c>
      <c r="AV56" s="21">
        <f>EXP(-LN(2)/25)*AV55+(1-EXP(-LN(2)/25))/(LN(2)/25)*Calculateur!AQ56*Calculateur!AS56*VLOOKUP('Données projet'!$B$10,Paramètres!$A$1:$I$89,3,0)*0.475*44/12</f>
        <v>14.729476478690241</v>
      </c>
      <c r="AW56" s="21">
        <f>EXP(-LN(2)/2)*AW55+(1-EXP(-LN(2)/2))/(LN(2)/2)*AQ56*AT56*VLOOKUP('Données projet'!$B$10,Paramètres!$A$1:$I$89,3,0)*0.475*44/12</f>
        <v>8.4249256454782574E-3</v>
      </c>
      <c r="AX56" s="21">
        <f t="shared" si="6"/>
        <v>20.029096399673119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22.9</v>
      </c>
      <c r="BD56" s="12">
        <f>IF('Données projet'!$A$88&gt;35,BD55+BC56-BL55,IF(A56&lt;'Données projet'!$A$88,$BA$205^A56,IF(A56='Données projet'!$A$88,'Données projet'!$B$88,BD55+BC56-BL55)))</f>
        <v>591.69999999999982</v>
      </c>
      <c r="BE56" s="13">
        <f>BD56*VLOOKUP('Données projet'!$B$11,Paramètres!$A$1:$I$89,3,0)*VLOOKUP('Données projet'!$B$11,Paramètres!$A$1:$I$89,5,0)</f>
        <v>284.60769999999991</v>
      </c>
      <c r="BF56" s="13">
        <f t="shared" si="37"/>
        <v>67.939821416139026</v>
      </c>
      <c r="BG56" s="20">
        <f t="shared" si="7"/>
        <v>614.02026646644197</v>
      </c>
      <c r="BH56" s="59">
        <f t="shared" si="8"/>
        <v>907.35359979977534</v>
      </c>
      <c r="BI56" s="59">
        <f ca="1">AVERAGE(OFFSET($BH$3,0,0,'Données projet'!$E$11+1,1))-AVERAGE(OFFSET($H$3,0,0,'Données projet'!$E$11+1,1))</f>
        <v>402.22278907877927</v>
      </c>
      <c r="BJ56" s="59">
        <f t="shared" si="38"/>
        <v>393.06397734082458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17.625188483402958</v>
      </c>
      <c r="BQ56" s="21">
        <f>EXP(-LN(2)/25)*BQ55+(1-EXP(-LN(2)/25))/(LN(2)/25)*Calculateur!BL56*Calculateur!BN56*VLOOKUP('Données projet'!$B$11,Paramètres!$A$1:$I$89,3,0)*0.475*44/12</f>
        <v>23.83082357264928</v>
      </c>
      <c r="BR56" s="21">
        <f>EXP(-LN(2)/2)*BR55+(1-EXP(-LN(2)/2))/(LN(2)/2)*BL56*BO56*VLOOKUP('Données projet'!$B$11,Paramètres!$A$1:$I$89,3,0)*0.475*44/12</f>
        <v>0.30543134679005385</v>
      </c>
      <c r="BS56" s="22">
        <f t="shared" si="9"/>
        <v>41.761443402842289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9.8000000000000007</v>
      </c>
      <c r="BY56" s="12">
        <f>IF('Données projet'!$A$114&gt;35,BY55+BX56-CG55,IF(A56&lt;'Données projet'!$A$114,$BV$205^A56,IF(A56='Données projet'!$A$114,'Données projet'!$B$114,BY55+BX56-CG55)))</f>
        <v>232.39999999999992</v>
      </c>
      <c r="BZ56" s="13">
        <f>BY56*VLOOKUP('Données projet'!$B$12,Paramètres!$A$1:$I$89,3,0)*VLOOKUP('Données projet'!$B$12,Paramètres!$A$1:$I$89,5,0)</f>
        <v>210.27551999999991</v>
      </c>
      <c r="CA56" s="13">
        <f t="shared" si="39"/>
        <v>51.995789155135654</v>
      </c>
      <c r="CB56" s="20">
        <f t="shared" si="10"/>
        <v>456.78919677852781</v>
      </c>
      <c r="CC56" s="59">
        <f t="shared" si="11"/>
        <v>750.12253011186112</v>
      </c>
      <c r="CD56" s="59">
        <f ca="1">AVERAGE(OFFSET($CC$3,0,0,'Données projet'!$E$12+1,1))-AVERAGE(OFFSET($H$3,0,0,'Données projet'!$E$12+1,1))</f>
        <v>363.51171608224735</v>
      </c>
      <c r="CE56" s="59">
        <f t="shared" si="40"/>
        <v>257.9239334647138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1.5273426294411427</v>
      </c>
      <c r="CL56" s="21">
        <f>EXP(-LN(2)/25)*CL55+(1-EXP(-LN(2)/25))/(LN(2)/25)*Calculateur!CG56*Calculateur!CI56*VLOOKUP('Données projet'!$B$12,Paramètres!$A$1:$I$89,3,0)*0.475*44/12</f>
        <v>5.9630712988583516</v>
      </c>
      <c r="CM56" s="21">
        <f>EXP(-LN(2)/2)*CM55+(1-EXP(-LN(2)/2))/(LN(2)/2)*CG56*CJ56*VLOOKUP('Données projet'!$B$12,Paramètres!$A$1:$I$89,3,0)*0.475*44/12</f>
        <v>7.441655561605553E-3</v>
      </c>
      <c r="CN56" s="22">
        <f t="shared" si="12"/>
        <v>7.4978555838611003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1">
        <f t="shared" si="32"/>
        <v>9.163863470361429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67">
        <f t="shared" si="1"/>
        <v>360.64502887754611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19.3</v>
      </c>
      <c r="N57" s="13">
        <f>IF('Données projet'!$A$36&gt;35,N56+M57-V56,IF(A57&lt;'Données projet'!$A$36,$K$205^A57,IF(A57='Données projet'!$A$36,'Données projet'!$B$36,N56+M57-V56)))</f>
        <v>563.1999999999997</v>
      </c>
      <c r="O57" s="13">
        <f>N57*VLOOKUP('Données projet'!$B$9,Paramètres!$A$1:$I$89,3,0)*VLOOKUP('Données projet'!$B$9,Paramètres!$A$1:$I$89,5,0)</f>
        <v>314.82879999999983</v>
      </c>
      <c r="P57" s="13">
        <f t="shared" si="33"/>
        <v>74.276366834686527</v>
      </c>
      <c r="Q57" s="20">
        <f t="shared" si="53"/>
        <v>677.69149890374536</v>
      </c>
      <c r="R57" s="59">
        <f t="shared" si="0"/>
        <v>971.02483223707873</v>
      </c>
      <c r="S57" s="59">
        <f ca="1">AVERAGE(OFFSET($R$3,0,0,'Données projet'!$E$9+1,1))-AVERAGE(OFFSET($H$3,0,0,'Données projet'!$E$9+1,1))</f>
        <v>446.28010102877403</v>
      </c>
      <c r="T57" s="59">
        <f t="shared" si="34"/>
        <v>445.84011537290456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7.0997052123762998</v>
      </c>
      <c r="AA57" s="21">
        <f>EXP(-LN(2)/25)*AA56+(1-EXP(-LN(2)/25))/(LN(2)/25)*Calculateur!V57*Calculateur!X57*VLOOKUP('Données projet'!$B$9,Paramètres!$A$1:$I$89,3,0)*0.475*44/12</f>
        <v>19.924542721033724</v>
      </c>
      <c r="AB57" s="21">
        <f>EXP(-LN(2)/2)*AB56+(1-EXP(-LN(2)/2))/(LN(2)/2)*V57*Y57*VLOOKUP('Données projet'!$B$9,Paramètres!$A$1:$I$89,3,0)*0.475*44/12</f>
        <v>8.904270350350121E-3</v>
      </c>
      <c r="AC57" s="22">
        <f t="shared" si="3"/>
        <v>27.033152203760373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10</v>
      </c>
      <c r="AI57" s="13">
        <f>IF('Données projet'!$A$62&gt;35,AI56+AH57-AQ56,IF(A57&lt;'Données projet'!$A$62,$AF$205^A57,IF(A57='Données projet'!$A$62,'Données projet'!$B$62,AI56+AH57-AQ56)))</f>
        <v>343.99999999999989</v>
      </c>
      <c r="AJ57" s="13">
        <f>AI57*VLOOKUP('Données projet'!$B$10,Paramètres!$A$1:$I$89,3,0)*VLOOKUP('Données projet'!$B$10,Paramètres!$A$1:$I$89,5,0)</f>
        <v>214.65599999999995</v>
      </c>
      <c r="AK57" s="13">
        <f t="shared" si="35"/>
        <v>52.951736650296546</v>
      </c>
      <c r="AL57" s="20">
        <f t="shared" si="4"/>
        <v>466.08347466593301</v>
      </c>
      <c r="AM57" s="59">
        <f t="shared" si="5"/>
        <v>759.41680799926633</v>
      </c>
      <c r="AN57" s="59">
        <f ca="1">AVERAGE(OFFSET($AM$3,0,0,'Données projet'!$E$10+1,1))-AVERAGE(OFFSET($H$3,0,0,'Données projet'!$E$10+1,1))</f>
        <v>285.77483300338548</v>
      </c>
      <c r="AO57" s="59">
        <f t="shared" si="36"/>
        <v>320.55212417690637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5.1874378887891082</v>
      </c>
      <c r="AV57" s="21">
        <f>EXP(-LN(2)/25)*AV56+(1-EXP(-LN(2)/25))/(LN(2)/25)*Calculateur!AQ57*Calculateur!AS57*VLOOKUP('Données projet'!$B$10,Paramètres!$A$1:$I$89,3,0)*0.475*44/12</f>
        <v>14.326698169790953</v>
      </c>
      <c r="AW57" s="21">
        <f>EXP(-LN(2)/2)*AW56+(1-EXP(-LN(2)/2))/(LN(2)/2)*AQ57*AT57*VLOOKUP('Données projet'!$B$10,Paramètres!$A$1:$I$89,3,0)*0.475*44/12</f>
        <v>5.9573220549101269E-3</v>
      </c>
      <c r="AX57" s="21">
        <f t="shared" si="6"/>
        <v>19.520093380634972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22.9</v>
      </c>
      <c r="BD57" s="12">
        <f>IF('Données projet'!$A$88&gt;35,BD56+BC57-BL56,IF(A57&lt;'Données projet'!$A$88,$BA$205^A57,IF(A57='Données projet'!$A$88,'Données projet'!$B$88,BD56+BC57-BL56)))</f>
        <v>614.5999999999998</v>
      </c>
      <c r="BE57" s="13">
        <f>BD57*VLOOKUP('Données projet'!$B$11,Paramètres!$A$1:$I$89,3,0)*VLOOKUP('Données projet'!$B$11,Paramètres!$A$1:$I$89,5,0)</f>
        <v>295.62259999999992</v>
      </c>
      <c r="BF57" s="13">
        <f t="shared" si="37"/>
        <v>70.258008732709285</v>
      </c>
      <c r="BG57" s="20">
        <f t="shared" si="7"/>
        <v>637.2420602094686</v>
      </c>
      <c r="BH57" s="59">
        <f t="shared" si="8"/>
        <v>930.57539354280198</v>
      </c>
      <c r="BI57" s="59">
        <f ca="1">AVERAGE(OFFSET($BH$3,0,0,'Données projet'!$E$11+1,1))-AVERAGE(OFFSET($H$3,0,0,'Données projet'!$E$11+1,1))</f>
        <v>402.22278907877927</v>
      </c>
      <c r="BJ57" s="59">
        <f t="shared" si="38"/>
        <v>393.06397734082458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17.279569287546895</v>
      </c>
      <c r="BQ57" s="21">
        <f>EXP(-LN(2)/25)*BQ56+(1-EXP(-LN(2)/25))/(LN(2)/25)*Calculateur!BL57*Calculateur!BN57*VLOOKUP('Données projet'!$B$11,Paramètres!$A$1:$I$89,3,0)*0.475*44/12</f>
        <v>23.179168448846639</v>
      </c>
      <c r="BR57" s="21">
        <f>EXP(-LN(2)/2)*BR56+(1-EXP(-LN(2)/2))/(LN(2)/2)*BL57*BO57*VLOOKUP('Données projet'!$B$11,Paramètres!$A$1:$I$89,3,0)*0.475*44/12</f>
        <v>0.21597257650218712</v>
      </c>
      <c r="BS57" s="22">
        <f t="shared" si="9"/>
        <v>40.674710312895719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9.8000000000000007</v>
      </c>
      <c r="BY57" s="12">
        <f>IF('Données projet'!$A$114&gt;35,BY56+BX57-CG56,IF(A57&lt;'Données projet'!$A$114,$BV$205^A57,IF(A57='Données projet'!$A$114,'Données projet'!$B$114,BY56+BX57-CG56)))</f>
        <v>242.19999999999993</v>
      </c>
      <c r="BZ57" s="13">
        <f>BY57*VLOOKUP('Données projet'!$B$12,Paramètres!$A$1:$I$89,3,0)*VLOOKUP('Données projet'!$B$12,Paramètres!$A$1:$I$89,5,0)</f>
        <v>219.14255999999992</v>
      </c>
      <c r="CA57" s="13">
        <f t="shared" si="39"/>
        <v>53.928483039139707</v>
      </c>
      <c r="CB57" s="20">
        <f t="shared" si="10"/>
        <v>475.59873329316815</v>
      </c>
      <c r="CC57" s="59">
        <f t="shared" si="11"/>
        <v>768.93206662650141</v>
      </c>
      <c r="CD57" s="59">
        <f ca="1">AVERAGE(OFFSET($CC$3,0,0,'Données projet'!$E$12+1,1))-AVERAGE(OFFSET($H$3,0,0,'Données projet'!$E$12+1,1))</f>
        <v>363.51171608224735</v>
      </c>
      <c r="CE57" s="59">
        <f t="shared" si="40"/>
        <v>257.9239334647138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1.4973923720648192</v>
      </c>
      <c r="CL57" s="21">
        <f>EXP(-LN(2)/25)*CL56+(1-EXP(-LN(2)/25))/(LN(2)/25)*Calculateur!CG57*Calculateur!CI57*VLOOKUP('Données projet'!$B$12,Paramètres!$A$1:$I$89,3,0)*0.475*44/12</f>
        <v>5.8000108006067794</v>
      </c>
      <c r="CM57" s="21">
        <f>EXP(-LN(2)/2)*CM56+(1-EXP(-LN(2)/2))/(LN(2)/2)*CG57*CJ57*VLOOKUP('Données projet'!$B$12,Paramètres!$A$1:$I$89,3,0)*0.475*44/12</f>
        <v>5.2620451108658728E-3</v>
      </c>
      <c r="CN57" s="22">
        <f t="shared" si="12"/>
        <v>7.3026652177824651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1">
        <f t="shared" si="32"/>
        <v>9.3136509212754071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67">
        <f t="shared" si="1"/>
        <v>361.85685868788795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19.3</v>
      </c>
      <c r="N58" s="13">
        <f>IF('Données projet'!$A$36&gt;35,N57+M58-V57,IF(A58&lt;'Données projet'!$A$36,$K$205^A58,IF(A58='Données projet'!$A$36,'Données projet'!$B$36,N57+M58-V57)))</f>
        <v>582.49999999999966</v>
      </c>
      <c r="O58" s="13">
        <f>N58*VLOOKUP('Données projet'!$B$9,Paramètres!$A$1:$I$89,3,0)*VLOOKUP('Données projet'!$B$9,Paramètres!$A$1:$I$89,5,0)</f>
        <v>325.61749999999984</v>
      </c>
      <c r="P58" s="13">
        <f t="shared" si="33"/>
        <v>76.520997341690872</v>
      </c>
      <c r="Q58" s="20">
        <f t="shared" si="53"/>
        <v>700.39121620344451</v>
      </c>
      <c r="R58" s="59">
        <f t="shared" si="0"/>
        <v>993.72454953677789</v>
      </c>
      <c r="S58" s="59">
        <f ca="1">AVERAGE(OFFSET($R$3,0,0,'Données projet'!$E$9+1,1))-AVERAGE(OFFSET($H$3,0,0,'Données projet'!$E$9+1,1))</f>
        <v>446.28010102877403</v>
      </c>
      <c r="T58" s="59">
        <f t="shared" si="34"/>
        <v>445.84011537290456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6.9604843235541898</v>
      </c>
      <c r="AA58" s="21">
        <f>EXP(-LN(2)/25)*AA57+(1-EXP(-LN(2)/25))/(LN(2)/25)*Calculateur!V58*Calculateur!X58*VLOOKUP('Données projet'!$B$9,Paramètres!$A$1:$I$89,3,0)*0.475*44/12</f>
        <v>19.379705052540892</v>
      </c>
      <c r="AB58" s="21">
        <f>EXP(-LN(2)/2)*AB57+(1-EXP(-LN(2)/2))/(LN(2)/2)*V58*Y58*VLOOKUP('Données projet'!$B$9,Paramètres!$A$1:$I$89,3,0)*0.475*44/12</f>
        <v>6.296269946250886E-3</v>
      </c>
      <c r="AC58" s="22">
        <f t="shared" si="3"/>
        <v>26.346485646041334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10</v>
      </c>
      <c r="AI58" s="13">
        <f>IF('Données projet'!$A$62&gt;35,AI57+AH58-AQ57,IF(A58&lt;'Données projet'!$A$62,$AF$205^A58,IF(A58='Données projet'!$A$62,'Données projet'!$B$62,AI57+AH58-AQ57)))</f>
        <v>353.99999999999989</v>
      </c>
      <c r="AJ58" s="13">
        <f>AI58*VLOOKUP('Données projet'!$B$10,Paramètres!$A$1:$I$89,3,0)*VLOOKUP('Données projet'!$B$10,Paramètres!$A$1:$I$89,5,0)</f>
        <v>220.89599999999993</v>
      </c>
      <c r="AK58" s="13">
        <f t="shared" si="35"/>
        <v>54.309580803412238</v>
      </c>
      <c r="AL58" s="20">
        <f t="shared" si="4"/>
        <v>479.31638656594276</v>
      </c>
      <c r="AM58" s="59">
        <f t="shared" si="5"/>
        <v>772.64971989927608</v>
      </c>
      <c r="AN58" s="59">
        <f ca="1">AVERAGE(OFFSET($AM$3,0,0,'Données projet'!$E$10+1,1))-AVERAGE(OFFSET($H$3,0,0,'Données projet'!$E$10+1,1))</f>
        <v>285.77483300338548</v>
      </c>
      <c r="AO58" s="59">
        <f t="shared" si="36"/>
        <v>320.55212417690637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5.0857153958146446</v>
      </c>
      <c r="AV58" s="21">
        <f>EXP(-LN(2)/25)*AV57+(1-EXP(-LN(2)/25))/(LN(2)/25)*Calculateur!AQ58*Calculateur!AS58*VLOOKUP('Données projet'!$B$10,Paramètres!$A$1:$I$89,3,0)*0.475*44/12</f>
        <v>13.934933854929707</v>
      </c>
      <c r="AW58" s="21">
        <f>EXP(-LN(2)/2)*AW57+(1-EXP(-LN(2)/2))/(LN(2)/2)*AQ58*AT58*VLOOKUP('Données projet'!$B$10,Paramètres!$A$1:$I$89,3,0)*0.475*44/12</f>
        <v>4.2124628227391287E-3</v>
      </c>
      <c r="AX58" s="21">
        <f t="shared" si="6"/>
        <v>19.024861713567091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22.9</v>
      </c>
      <c r="BD58" s="12">
        <f>IF('Données projet'!$A$88&gt;35,BD57+BC58-BL57,IF(A58&lt;'Données projet'!$A$88,$BA$205^A58,IF(A58='Données projet'!$A$88,'Données projet'!$B$88,BD57+BC58-BL57)))</f>
        <v>637.49999999999977</v>
      </c>
      <c r="BE58" s="13">
        <f>BD58*VLOOKUP('Données projet'!$B$11,Paramètres!$A$1:$I$89,3,0)*VLOOKUP('Données projet'!$B$11,Paramètres!$A$1:$I$89,5,0)</f>
        <v>306.63749999999987</v>
      </c>
      <c r="BF58" s="13">
        <f t="shared" si="37"/>
        <v>72.56616123944778</v>
      </c>
      <c r="BG58" s="20">
        <f t="shared" si="7"/>
        <v>660.44637665870471</v>
      </c>
      <c r="BH58" s="59">
        <f t="shared" si="8"/>
        <v>953.77970999203808</v>
      </c>
      <c r="BI58" s="59">
        <f ca="1">AVERAGE(OFFSET($BH$3,0,0,'Données projet'!$E$11+1,1))-AVERAGE(OFFSET($H$3,0,0,'Données projet'!$E$11+1,1))</f>
        <v>402.22278907877927</v>
      </c>
      <c r="BJ58" s="59">
        <f t="shared" si="38"/>
        <v>393.06397734082458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16.940727473314677</v>
      </c>
      <c r="BQ58" s="21">
        <f>EXP(-LN(2)/25)*BQ57+(1-EXP(-LN(2)/25))/(LN(2)/25)*Calculateur!BL58*Calculateur!BN58*VLOOKUP('Données projet'!$B$11,Paramètres!$A$1:$I$89,3,0)*0.475*44/12</f>
        <v>22.545332868673434</v>
      </c>
      <c r="BR58" s="21">
        <f>EXP(-LN(2)/2)*BR57+(1-EXP(-LN(2)/2))/(LN(2)/2)*BL58*BO58*VLOOKUP('Données projet'!$B$11,Paramètres!$A$1:$I$89,3,0)*0.475*44/12</f>
        <v>0.15271567339502692</v>
      </c>
      <c r="BS58" s="22">
        <f t="shared" si="9"/>
        <v>39.638776015383137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9.8000000000000007</v>
      </c>
      <c r="BY58" s="12">
        <f>IF('Données projet'!$A$114&gt;35,BY57+BX58-CG57,IF(A58&lt;'Données projet'!$A$114,$BV$205^A58,IF(A58='Données projet'!$A$114,'Données projet'!$B$114,BY57+BX58-CG57)))</f>
        <v>251.99999999999994</v>
      </c>
      <c r="BZ58" s="13">
        <f>BY58*VLOOKUP('Données projet'!$B$12,Paramètres!$A$1:$I$89,3,0)*VLOOKUP('Données projet'!$B$12,Paramètres!$A$1:$I$89,5,0)</f>
        <v>228.00959999999995</v>
      </c>
      <c r="CA58" s="13">
        <f t="shared" si="39"/>
        <v>55.852093054619829</v>
      </c>
      <c r="CB58" s="20">
        <f t="shared" si="10"/>
        <v>494.3924487367961</v>
      </c>
      <c r="CC58" s="59">
        <f t="shared" si="11"/>
        <v>787.72578207012941</v>
      </c>
      <c r="CD58" s="59">
        <f ca="1">AVERAGE(OFFSET($CC$3,0,0,'Données projet'!$E$12+1,1))-AVERAGE(OFFSET($H$3,0,0,'Données projet'!$E$12+1,1))</f>
        <v>363.51171608224735</v>
      </c>
      <c r="CE58" s="59">
        <f t="shared" si="40"/>
        <v>257.9239334647138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1.4680294209677922</v>
      </c>
      <c r="CL58" s="21">
        <f>EXP(-LN(2)/25)*CL57+(1-EXP(-LN(2)/25))/(LN(2)/25)*Calculateur!CG58*Calculateur!CI58*VLOOKUP('Données projet'!$B$12,Paramètres!$A$1:$I$89,3,0)*0.475*44/12</f>
        <v>5.6414092002548752</v>
      </c>
      <c r="CM58" s="21">
        <f>EXP(-LN(2)/2)*CM57+(1-EXP(-LN(2)/2))/(LN(2)/2)*CG58*CJ58*VLOOKUP('Données projet'!$B$12,Paramètres!$A$1:$I$89,3,0)*0.475*44/12</f>
        <v>3.7208277808027774E-3</v>
      </c>
      <c r="CN58" s="22">
        <f t="shared" si="12"/>
        <v>7.1131594490034695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1">
        <f t="shared" si="32"/>
        <v>9.4631216842413828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67">
        <f t="shared" si="1"/>
        <v>363.068136933387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19.3</v>
      </c>
      <c r="N59" s="13">
        <f>IF('Données projet'!$A$36&gt;35,N58+M59-V58,IF(A59&lt;'Données projet'!$A$36,$K$205^A59,IF(A59='Données projet'!$A$36,'Données projet'!$B$36,N58+M59-V58)))</f>
        <v>601.79999999999961</v>
      </c>
      <c r="O59" s="13">
        <f>N59*VLOOKUP('Données projet'!$B$9,Paramètres!$A$1:$I$89,3,0)*VLOOKUP('Données projet'!$B$9,Paramètres!$A$1:$I$89,5,0)</f>
        <v>336.40619999999979</v>
      </c>
      <c r="P59" s="13">
        <f t="shared" si="33"/>
        <v>78.756986013586328</v>
      </c>
      <c r="Q59" s="20">
        <f t="shared" si="53"/>
        <v>723.07588230699582</v>
      </c>
      <c r="R59" s="59">
        <f t="shared" si="0"/>
        <v>1016.4092156403292</v>
      </c>
      <c r="S59" s="59">
        <f ca="1">AVERAGE(OFFSET($R$3,0,0,'Données projet'!$E$9+1,1))-AVERAGE(OFFSET($H$3,0,0,'Données projet'!$E$9+1,1))</f>
        <v>446.28010102877403</v>
      </c>
      <c r="T59" s="59">
        <f t="shared" si="34"/>
        <v>445.84011537290456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6.8239934714455233</v>
      </c>
      <c r="AA59" s="21">
        <f>EXP(-LN(2)/25)*AA58+(1-EXP(-LN(2)/25))/(LN(2)/25)*Calculateur!V59*Calculateur!X59*VLOOKUP('Données projet'!$B$9,Paramètres!$A$1:$I$89,3,0)*0.475*44/12</f>
        <v>18.849765998744765</v>
      </c>
      <c r="AB59" s="21">
        <f>EXP(-LN(2)/2)*AB58+(1-EXP(-LN(2)/2))/(LN(2)/2)*V59*Y59*VLOOKUP('Données projet'!$B$9,Paramètres!$A$1:$I$89,3,0)*0.475*44/12</f>
        <v>4.4521351751750605E-3</v>
      </c>
      <c r="AC59" s="22">
        <f t="shared" si="3"/>
        <v>25.678211605365462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10</v>
      </c>
      <c r="AI59" s="13">
        <f>IF('Données projet'!$A$62&gt;35,AI58+AH59-AQ58,IF(A59&lt;'Données projet'!$A$62,$AF$205^A59,IF(A59='Données projet'!$A$62,'Données projet'!$B$62,AI58+AH59-AQ58)))</f>
        <v>363.99999999999989</v>
      </c>
      <c r="AJ59" s="13">
        <f>AI59*VLOOKUP('Données projet'!$B$10,Paramètres!$A$1:$I$89,3,0)*VLOOKUP('Données projet'!$B$10,Paramètres!$A$1:$I$89,5,0)</f>
        <v>227.13599999999994</v>
      </c>
      <c r="AK59" s="13">
        <f t="shared" si="35"/>
        <v>55.662966886685133</v>
      </c>
      <c r="AL59" s="20">
        <f t="shared" si="4"/>
        <v>492.54153399430987</v>
      </c>
      <c r="AM59" s="59">
        <f t="shared" si="5"/>
        <v>785.87486732764319</v>
      </c>
      <c r="AN59" s="59">
        <f ca="1">AVERAGE(OFFSET($AM$3,0,0,'Données projet'!$E$10+1,1))-AVERAGE(OFFSET($H$3,0,0,'Données projet'!$E$10+1,1))</f>
        <v>285.77483300338548</v>
      </c>
      <c r="AO59" s="59">
        <f t="shared" si="36"/>
        <v>320.55212417690637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4.9859876188828158</v>
      </c>
      <c r="AV59" s="21">
        <f>EXP(-LN(2)/25)*AV58+(1-EXP(-LN(2)/25))/(LN(2)/25)*Calculateur!AQ59*Calculateur!AS59*VLOOKUP('Données projet'!$B$10,Paramètres!$A$1:$I$89,3,0)*0.475*44/12</f>
        <v>13.553882355860331</v>
      </c>
      <c r="AW59" s="21">
        <f>EXP(-LN(2)/2)*AW58+(1-EXP(-LN(2)/2))/(LN(2)/2)*AQ59*AT59*VLOOKUP('Données projet'!$B$10,Paramètres!$A$1:$I$89,3,0)*0.475*44/12</f>
        <v>2.9786610274550635E-3</v>
      </c>
      <c r="AX59" s="21">
        <f t="shared" si="6"/>
        <v>18.542848635770603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22.9</v>
      </c>
      <c r="BD59" s="12">
        <f>IF('Données projet'!$A$88&gt;35,BD58+BC59-BL58,IF(A59&lt;'Données projet'!$A$88,$BA$205^A59,IF(A59='Données projet'!$A$88,'Données projet'!$B$88,BD58+BC59-BL58)))</f>
        <v>660.39999999999975</v>
      </c>
      <c r="BE59" s="13">
        <f>BD59*VLOOKUP('Données projet'!$B$11,Paramètres!$A$1:$I$89,3,0)*VLOOKUP('Données projet'!$B$11,Paramètres!$A$1:$I$89,5,0)</f>
        <v>317.65239999999989</v>
      </c>
      <c r="BF59" s="13">
        <f t="shared" si="37"/>
        <v>74.864680696288232</v>
      </c>
      <c r="BG59" s="20">
        <f t="shared" si="7"/>
        <v>683.63391554603504</v>
      </c>
      <c r="BH59" s="59">
        <f t="shared" si="8"/>
        <v>976.9672488793683</v>
      </c>
      <c r="BI59" s="59">
        <f ca="1">AVERAGE(OFFSET($BH$3,0,0,'Données projet'!$E$11+1,1))-AVERAGE(OFFSET($H$3,0,0,'Données projet'!$E$11+1,1))</f>
        <v>402.22278907877927</v>
      </c>
      <c r="BJ59" s="59">
        <f t="shared" si="38"/>
        <v>393.06397734082458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16.608530140386453</v>
      </c>
      <c r="BQ59" s="21">
        <f>EXP(-LN(2)/25)*BQ58+(1-EXP(-LN(2)/25))/(LN(2)/25)*Calculateur!BL59*Calculateur!BN59*VLOOKUP('Données projet'!$B$11,Paramètres!$A$1:$I$89,3,0)*0.475*44/12</f>
        <v>21.92882955577203</v>
      </c>
      <c r="BR59" s="21">
        <f>EXP(-LN(2)/2)*BR58+(1-EXP(-LN(2)/2))/(LN(2)/2)*BL59*BO59*VLOOKUP('Données projet'!$B$11,Paramètres!$A$1:$I$89,3,0)*0.475*44/12</f>
        <v>0.10798628825109356</v>
      </c>
      <c r="BS59" s="22">
        <f t="shared" si="9"/>
        <v>38.645345984409573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9.8000000000000007</v>
      </c>
      <c r="BY59" s="12">
        <f>IF('Données projet'!$A$114&gt;35,BY58+BX59-CG58,IF(A59&lt;'Données projet'!$A$114,$BV$205^A59,IF(A59='Données projet'!$A$114,'Données projet'!$B$114,BY58+BX59-CG58)))</f>
        <v>261.79999999999995</v>
      </c>
      <c r="BZ59" s="13">
        <f>BY59*VLOOKUP('Données projet'!$B$12,Paramètres!$A$1:$I$89,3,0)*VLOOKUP('Données projet'!$B$12,Paramètres!$A$1:$I$89,5,0)</f>
        <v>236.87663999999995</v>
      </c>
      <c r="CA59" s="13">
        <f t="shared" si="39"/>
        <v>57.767012893614115</v>
      </c>
      <c r="CB59" s="20">
        <f t="shared" si="10"/>
        <v>513.17102878971104</v>
      </c>
      <c r="CC59" s="59">
        <f t="shared" si="11"/>
        <v>806.5043621230443</v>
      </c>
      <c r="CD59" s="59">
        <f ca="1">AVERAGE(OFFSET($CC$3,0,0,'Données projet'!$E$12+1,1))-AVERAGE(OFFSET($H$3,0,0,'Données projet'!$E$12+1,1))</f>
        <v>363.51171608224735</v>
      </c>
      <c r="CE59" s="59">
        <f t="shared" si="40"/>
        <v>257.9239334647138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1.4392422594321463</v>
      </c>
      <c r="CL59" s="21">
        <f>EXP(-LN(2)/25)*CL58+(1-EXP(-LN(2)/25))/(LN(2)/25)*Calculateur!CG59*Calculateur!CI59*VLOOKUP('Données projet'!$B$12,Paramètres!$A$1:$I$89,3,0)*0.475*44/12</f>
        <v>5.4871445690050891</v>
      </c>
      <c r="CM59" s="21">
        <f>EXP(-LN(2)/2)*CM58+(1-EXP(-LN(2)/2))/(LN(2)/2)*CG59*CJ59*VLOOKUP('Données projet'!$B$12,Paramètres!$A$1:$I$89,3,0)*0.475*44/12</f>
        <v>2.6310225554329368E-3</v>
      </c>
      <c r="CN59" s="22">
        <f t="shared" si="12"/>
        <v>6.9290178509926683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1">
        <f t="shared" si="32"/>
        <v>9.6122820667787945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67">
        <f t="shared" si="1"/>
        <v>364.27887459963966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19.3</v>
      </c>
      <c r="N60" s="13">
        <f>IF('Données projet'!$A$36&gt;35,N59+M60-V59,IF(A60&lt;'Données projet'!$A$36,$K$205^A60,IF(A60='Données projet'!$A$36,'Données projet'!$B$36,N59+M60-V59)))</f>
        <v>621.09999999999957</v>
      </c>
      <c r="O60" s="13">
        <f>N60*VLOOKUP('Données projet'!$B$9,Paramètres!$A$1:$I$89,3,0)*VLOOKUP('Données projet'!$B$9,Paramètres!$A$1:$I$89,5,0)</f>
        <v>347.19489999999979</v>
      </c>
      <c r="P60" s="13">
        <f t="shared" si="33"/>
        <v>80.984641788647266</v>
      </c>
      <c r="Q60" s="20">
        <f t="shared" si="53"/>
        <v>745.74603528189357</v>
      </c>
      <c r="R60" s="59">
        <f t="shared" si="0"/>
        <v>1039.0793686152269</v>
      </c>
      <c r="S60" s="59">
        <f ca="1">AVERAGE(OFFSET($R$3,0,0,'Données projet'!$E$9+1,1))-AVERAGE(OFFSET($H$3,0,0,'Données projet'!$E$9+1,1))</f>
        <v>446.28010102877403</v>
      </c>
      <c r="T60" s="59">
        <f t="shared" si="34"/>
        <v>445.84011537290456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6.6901791216955084</v>
      </c>
      <c r="AA60" s="21">
        <f>EXP(-LN(2)/25)*AA59+(1-EXP(-LN(2)/25))/(LN(2)/25)*Calculateur!V60*Calculateur!X60*VLOOKUP('Données projet'!$B$9,Paramètres!$A$1:$I$89,3,0)*0.475*44/12</f>
        <v>18.334318156242976</v>
      </c>
      <c r="AB60" s="21">
        <f>EXP(-LN(2)/2)*AB59+(1-EXP(-LN(2)/2))/(LN(2)/2)*V60*Y60*VLOOKUP('Données projet'!$B$9,Paramètres!$A$1:$I$89,3,0)*0.475*44/12</f>
        <v>3.148134973125443E-3</v>
      </c>
      <c r="AC60" s="22">
        <f t="shared" si="3"/>
        <v>25.027645412911607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10</v>
      </c>
      <c r="AI60" s="13">
        <f>IF('Données projet'!$A$62&gt;35,AI59+AH60-AQ59,IF(A60&lt;'Données projet'!$A$62,$AF$205^A60,IF(A60='Données projet'!$A$62,'Données projet'!$B$62,AI59+AH60-AQ59)))</f>
        <v>373.99999999999989</v>
      </c>
      <c r="AJ60" s="13">
        <f>AI60*VLOOKUP('Données projet'!$B$10,Paramètres!$A$1:$I$89,3,0)*VLOOKUP('Données projet'!$B$10,Paramètres!$A$1:$I$89,5,0)</f>
        <v>233.37599999999992</v>
      </c>
      <c r="AK60" s="13">
        <f t="shared" si="35"/>
        <v>57.012031446990107</v>
      </c>
      <c r="AL60" s="20">
        <f t="shared" si="4"/>
        <v>505.75915477017423</v>
      </c>
      <c r="AM60" s="59">
        <f t="shared" si="5"/>
        <v>799.09248810350755</v>
      </c>
      <c r="AN60" s="59">
        <f ca="1">AVERAGE(OFFSET($AM$3,0,0,'Données projet'!$E$10+1,1))-AVERAGE(OFFSET($H$3,0,0,'Données projet'!$E$10+1,1))</f>
        <v>285.77483300338548</v>
      </c>
      <c r="AO60" s="59">
        <f t="shared" si="36"/>
        <v>320.55212417690637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4.8882154428286828</v>
      </c>
      <c r="AV60" s="21">
        <f>EXP(-LN(2)/25)*AV59+(1-EXP(-LN(2)/25))/(LN(2)/25)*Calculateur!AQ60*Calculateur!AS60*VLOOKUP('Données projet'!$B$10,Paramètres!$A$1:$I$89,3,0)*0.475*44/12</f>
        <v>13.183250730071634</v>
      </c>
      <c r="AW60" s="21">
        <f>EXP(-LN(2)/2)*AW59+(1-EXP(-LN(2)/2))/(LN(2)/2)*AQ60*AT60*VLOOKUP('Données projet'!$B$10,Paramètres!$A$1:$I$89,3,0)*0.475*44/12</f>
        <v>2.1062314113695644E-3</v>
      </c>
      <c r="AX60" s="21">
        <f t="shared" si="6"/>
        <v>18.073572404311683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22.9</v>
      </c>
      <c r="BD60" s="12">
        <f>IF('Données projet'!$A$88&gt;35,BD59+BC60-BL59,IF(A60&lt;'Données projet'!$A$88,$BA$205^A60,IF(A60='Données projet'!$A$88,'Données projet'!$B$88,BD59+BC60-BL59)))</f>
        <v>683.29999999999973</v>
      </c>
      <c r="BE60" s="13">
        <f>BD60*VLOOKUP('Données projet'!$B$11,Paramètres!$A$1:$I$89,3,0)*VLOOKUP('Données projet'!$B$11,Paramètres!$A$1:$I$89,5,0)</f>
        <v>328.66729999999984</v>
      </c>
      <c r="BF60" s="13">
        <f t="shared" si="37"/>
        <v>77.153939420187015</v>
      </c>
      <c r="BG60" s="20">
        <f t="shared" si="7"/>
        <v>706.80532532349207</v>
      </c>
      <c r="BH60" s="59">
        <f t="shared" si="8"/>
        <v>1000.1386586568253</v>
      </c>
      <c r="BI60" s="59">
        <f ca="1">AVERAGE(OFFSET($BH$3,0,0,'Données projet'!$E$11+1,1))-AVERAGE(OFFSET($H$3,0,0,'Données projet'!$E$11+1,1))</f>
        <v>402.22278907877927</v>
      </c>
      <c r="BJ60" s="59">
        <f t="shared" si="38"/>
        <v>393.06397734082458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16.282846994536584</v>
      </c>
      <c r="BQ60" s="21">
        <f>EXP(-LN(2)/25)*BQ59+(1-EXP(-LN(2)/25))/(LN(2)/25)*Calculateur!BL60*Calculateur!BN60*VLOOKUP('Données projet'!$B$11,Paramètres!$A$1:$I$89,3,0)*0.475*44/12</f>
        <v>21.329184558382416</v>
      </c>
      <c r="BR60" s="21">
        <f>EXP(-LN(2)/2)*BR59+(1-EXP(-LN(2)/2))/(LN(2)/2)*BL60*BO60*VLOOKUP('Données projet'!$B$11,Paramètres!$A$1:$I$89,3,0)*0.475*44/12</f>
        <v>7.6357836697513462E-2</v>
      </c>
      <c r="BS60" s="22">
        <f t="shared" si="9"/>
        <v>37.688389389616511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9.8000000000000007</v>
      </c>
      <c r="BY60" s="12">
        <f>IF('Données projet'!$A$114&gt;35,BY59+BX60-CG59,IF(A60&lt;'Données projet'!$A$114,$BV$205^A60,IF(A60='Données projet'!$A$114,'Données projet'!$B$114,BY59+BX60-CG59)))</f>
        <v>271.59999999999997</v>
      </c>
      <c r="BZ60" s="13">
        <f>BY60*VLOOKUP('Données projet'!$B$12,Paramètres!$A$1:$I$89,3,0)*VLOOKUP('Données projet'!$B$12,Paramètres!$A$1:$I$89,5,0)</f>
        <v>245.74367999999996</v>
      </c>
      <c r="CA60" s="13">
        <f t="shared" si="39"/>
        <v>59.673605104126452</v>
      </c>
      <c r="CB60" s="20">
        <f t="shared" si="10"/>
        <v>531.93510488968684</v>
      </c>
      <c r="CC60" s="59">
        <f t="shared" si="11"/>
        <v>825.26843822302021</v>
      </c>
      <c r="CD60" s="59">
        <f ca="1">AVERAGE(OFFSET($CC$3,0,0,'Données projet'!$E$12+1,1))-AVERAGE(OFFSET($H$3,0,0,'Données projet'!$E$12+1,1))</f>
        <v>363.51171608224735</v>
      </c>
      <c r="CE60" s="59">
        <f t="shared" si="40"/>
        <v>257.9239334647138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1.4110195965757797</v>
      </c>
      <c r="CL60" s="21">
        <f>EXP(-LN(2)/25)*CL59+(1-EXP(-LN(2)/25))/(LN(2)/25)*Calculateur!CG60*Calculateur!CI60*VLOOKUP('Données projet'!$B$12,Paramètres!$A$1:$I$89,3,0)*0.475*44/12</f>
        <v>5.3370983122092532</v>
      </c>
      <c r="CM60" s="21">
        <f>EXP(-LN(2)/2)*CM59+(1-EXP(-LN(2)/2))/(LN(2)/2)*CG60*CJ60*VLOOKUP('Données projet'!$B$12,Paramètres!$A$1:$I$89,3,0)*0.475*44/12</f>
        <v>1.8604138904013889E-3</v>
      </c>
      <c r="CN60" s="22">
        <f t="shared" si="12"/>
        <v>6.7499783226754344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1">
        <f t="shared" si="32"/>
        <v>9.7611381424130617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67">
        <f t="shared" si="1"/>
        <v>365.48908226470269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19.3</v>
      </c>
      <c r="N61" s="13">
        <f>IF('Données projet'!$A$36&gt;35,N60+M61-V60,IF(A61&lt;'Données projet'!$A$36,$K$205^A61,IF(A61='Données projet'!$A$36,'Données projet'!$B$36,N60+M61-V60)))</f>
        <v>640.39999999999952</v>
      </c>
      <c r="O61" s="13">
        <f>N61*VLOOKUP('Données projet'!$B$9,Paramètres!$A$1:$I$89,3,0)*VLOOKUP('Données projet'!$B$9,Paramètres!$A$1:$I$89,5,0)</f>
        <v>357.98359999999974</v>
      </c>
      <c r="P61" s="13">
        <f t="shared" si="33"/>
        <v>83.204253314675796</v>
      </c>
      <c r="Q61" s="20">
        <f t="shared" si="53"/>
        <v>768.40217785639322</v>
      </c>
      <c r="R61" s="59">
        <f t="shared" si="0"/>
        <v>1061.7355111897266</v>
      </c>
      <c r="S61" s="59">
        <f ca="1">AVERAGE(OFFSET($R$3,0,0,'Données projet'!$E$9+1,1))-AVERAGE(OFFSET($H$3,0,0,'Données projet'!$E$9+1,1))</f>
        <v>446.28010102877403</v>
      </c>
      <c r="T61" s="59">
        <f t="shared" si="34"/>
        <v>445.84011537290456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6.5589887897253973</v>
      </c>
      <c r="AA61" s="21">
        <f>EXP(-LN(2)/25)*AA60+(1-EXP(-LN(2)/25))/(LN(2)/25)*Calculateur!V61*Calculateur!X61*VLOOKUP('Données projet'!$B$9,Paramètres!$A$1:$I$89,3,0)*0.475*44/12</f>
        <v>17.832965262100622</v>
      </c>
      <c r="AB61" s="21">
        <f>EXP(-LN(2)/2)*AB60+(1-EXP(-LN(2)/2))/(LN(2)/2)*V61*Y61*VLOOKUP('Données projet'!$B$9,Paramètres!$A$1:$I$89,3,0)*0.475*44/12</f>
        <v>2.2260675875875303E-3</v>
      </c>
      <c r="AC61" s="22">
        <f t="shared" si="3"/>
        <v>24.394180119413608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10</v>
      </c>
      <c r="AI61" s="13">
        <f>IF('Données projet'!$A$62&gt;35,AI60+AH61-AQ60,IF(A61&lt;'Données projet'!$A$62,$AF$205^A61,IF(A61='Données projet'!$A$62,'Données projet'!$B$62,AI60+AH61-AQ60)))</f>
        <v>383.99999999999989</v>
      </c>
      <c r="AJ61" s="13">
        <f>AI61*VLOOKUP('Données projet'!$B$10,Paramètres!$A$1:$I$89,3,0)*VLOOKUP('Données projet'!$B$10,Paramètres!$A$1:$I$89,5,0)</f>
        <v>239.61599999999993</v>
      </c>
      <c r="AK61" s="13">
        <f t="shared" si="35"/>
        <v>58.356903313490157</v>
      </c>
      <c r="AL61" s="20">
        <f t="shared" si="4"/>
        <v>518.96947327099519</v>
      </c>
      <c r="AM61" s="59">
        <f t="shared" si="5"/>
        <v>812.30280660432845</v>
      </c>
      <c r="AN61" s="59">
        <f ca="1">AVERAGE(OFFSET($AM$3,0,0,'Données projet'!$E$10+1,1))-AVERAGE(OFFSET($H$3,0,0,'Données projet'!$E$10+1,1))</f>
        <v>285.77483300338548</v>
      </c>
      <c r="AO61" s="59">
        <f t="shared" si="36"/>
        <v>320.55212417690637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4.7923605195118322</v>
      </c>
      <c r="AV61" s="21">
        <f>EXP(-LN(2)/25)*AV60+(1-EXP(-LN(2)/25))/(LN(2)/25)*Calculateur!AQ61*Calculateur!AS61*VLOOKUP('Données projet'!$B$10,Paramètres!$A$1:$I$89,3,0)*0.475*44/12</f>
        <v>12.822754045580801</v>
      </c>
      <c r="AW61" s="21">
        <f>EXP(-LN(2)/2)*AW60+(1-EXP(-LN(2)/2))/(LN(2)/2)*AQ61*AT61*VLOOKUP('Données projet'!$B$10,Paramètres!$A$1:$I$89,3,0)*0.475*44/12</f>
        <v>1.4893305137275317E-3</v>
      </c>
      <c r="AX61" s="21">
        <f t="shared" si="6"/>
        <v>17.61660389560636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22.9</v>
      </c>
      <c r="BD61" s="12">
        <f>IF('Données projet'!$A$88&gt;35,BD60+BC61-BL60,IF(A61&lt;'Données projet'!$A$88,$BA$205^A61,IF(A61='Données projet'!$A$88,'Données projet'!$B$88,BD60+BC61-BL60)))</f>
        <v>706.1999999999997</v>
      </c>
      <c r="BE61" s="13">
        <f>BD61*VLOOKUP('Données projet'!$B$11,Paramètres!$A$1:$I$89,3,0)*VLOOKUP('Données projet'!$B$11,Paramètres!$A$1:$I$89,5,0)</f>
        <v>339.68219999999985</v>
      </c>
      <c r="BF61" s="13">
        <f t="shared" si="37"/>
        <v>79.434283356581332</v>
      </c>
      <c r="BG61" s="20">
        <f t="shared" si="7"/>
        <v>729.96120851271223</v>
      </c>
      <c r="BH61" s="59">
        <f t="shared" si="8"/>
        <v>1023.2945418460456</v>
      </c>
      <c r="BI61" s="59">
        <f ca="1">AVERAGE(OFFSET($BH$3,0,0,'Données projet'!$E$11+1,1))-AVERAGE(OFFSET($H$3,0,0,'Données projet'!$E$11+1,1))</f>
        <v>402.22278907877927</v>
      </c>
      <c r="BJ61" s="59">
        <f t="shared" si="38"/>
        <v>393.06397734082458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15.963550296529728</v>
      </c>
      <c r="BQ61" s="21">
        <f>EXP(-LN(2)/25)*BQ60+(1-EXP(-LN(2)/25))/(LN(2)/25)*Calculateur!BL61*Calculateur!BN61*VLOOKUP('Données projet'!$B$11,Paramètres!$A$1:$I$89,3,0)*0.475*44/12</f>
        <v>20.745936884980381</v>
      </c>
      <c r="BR61" s="21">
        <f>EXP(-LN(2)/2)*BR60+(1-EXP(-LN(2)/2))/(LN(2)/2)*BL61*BO61*VLOOKUP('Données projet'!$B$11,Paramètres!$A$1:$I$89,3,0)*0.475*44/12</f>
        <v>5.3993144125546781E-2</v>
      </c>
      <c r="BS61" s="22">
        <f t="shared" si="9"/>
        <v>36.763480325635662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9.8000000000000007</v>
      </c>
      <c r="BY61" s="12">
        <f>IF('Données projet'!$A$114&gt;35,BY60+BX61-CG60,IF(A61&lt;'Données projet'!$A$114,$BV$205^A61,IF(A61='Données projet'!$A$114,'Données projet'!$B$114,BY60+BX61-CG60)))</f>
        <v>281.39999999999998</v>
      </c>
      <c r="BZ61" s="13">
        <f>BY61*VLOOKUP('Données projet'!$B$12,Paramètres!$A$1:$I$89,3,0)*VLOOKUP('Données projet'!$B$12,Paramètres!$A$1:$I$89,5,0)</f>
        <v>254.61071999999999</v>
      </c>
      <c r="CA61" s="13">
        <f t="shared" si="39"/>
        <v>61.572204587965679</v>
      </c>
      <c r="CB61" s="20">
        <f t="shared" si="10"/>
        <v>550.68526032404009</v>
      </c>
      <c r="CC61" s="59">
        <f t="shared" si="11"/>
        <v>844.01859365737346</v>
      </c>
      <c r="CD61" s="59">
        <f ca="1">AVERAGE(OFFSET($CC$3,0,0,'Données projet'!$E$12+1,1))-AVERAGE(OFFSET($H$3,0,0,'Données projet'!$E$12+1,1))</f>
        <v>363.51171608224735</v>
      </c>
      <c r="CE61" s="59">
        <f t="shared" si="40"/>
        <v>257.9239334647138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1.3833503629239017</v>
      </c>
      <c r="CL61" s="21">
        <f>EXP(-LN(2)/25)*CL60+(1-EXP(-LN(2)/25))/(LN(2)/25)*Calculateur!CG61*Calculateur!CI61*VLOOKUP('Données projet'!$B$12,Paramètres!$A$1:$I$89,3,0)*0.475*44/12</f>
        <v>5.1911550781960889</v>
      </c>
      <c r="CM61" s="21">
        <f>EXP(-LN(2)/2)*CM60+(1-EXP(-LN(2)/2))/(LN(2)/2)*CG61*CJ61*VLOOKUP('Données projet'!$B$12,Paramètres!$A$1:$I$89,3,0)*0.475*44/12</f>
        <v>1.3155112777164686E-3</v>
      </c>
      <c r="CN61" s="22">
        <f t="shared" si="12"/>
        <v>6.5758209523977067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1">
        <f t="shared" si="32"/>
        <v>9.9096957632381564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67">
        <f t="shared" si="1"/>
        <v>366.69877012097305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19.3</v>
      </c>
      <c r="N62" s="13">
        <f>IF('Données projet'!$A$36&gt;35,N61+M62-V61,IF(A62&lt;'Données projet'!$A$36,$K$205^A62,IF(A62='Données projet'!$A$36,'Données projet'!$B$36,N61+M62-V61)))</f>
        <v>659.69999999999948</v>
      </c>
      <c r="O62" s="13">
        <f>N62*VLOOKUP('Données projet'!$B$9,Paramètres!$A$1:$I$89,3,0)*VLOOKUP('Données projet'!$B$9,Paramètres!$A$1:$I$89,5,0)</f>
        <v>368.77229999999969</v>
      </c>
      <c r="P62" s="13">
        <f t="shared" si="33"/>
        <v>85.416090852521961</v>
      </c>
      <c r="Q62" s="20">
        <f t="shared" si="53"/>
        <v>791.04478073480857</v>
      </c>
      <c r="R62" s="59">
        <f t="shared" si="0"/>
        <v>1084.3781140681419</v>
      </c>
      <c r="S62" s="59">
        <f ca="1">AVERAGE(OFFSET($R$3,0,0,'Données projet'!$E$9+1,1))-AVERAGE(OFFSET($H$3,0,0,'Données projet'!$E$9+1,1))</f>
        <v>446.28010102877403</v>
      </c>
      <c r="T62" s="59">
        <f t="shared" si="34"/>
        <v>445.84011537290456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6.4303710201470183</v>
      </c>
      <c r="AA62" s="21">
        <f>EXP(-LN(2)/25)*AA61+(1-EXP(-LN(2)/25))/(LN(2)/25)*Calculateur!V62*Calculateur!X62*VLOOKUP('Données projet'!$B$9,Paramètres!$A$1:$I$89,3,0)*0.475*44/12</f>
        <v>17.345321889213594</v>
      </c>
      <c r="AB62" s="21">
        <f>EXP(-LN(2)/2)*AB61+(1-EXP(-LN(2)/2))/(LN(2)/2)*V62*Y62*VLOOKUP('Données projet'!$B$9,Paramètres!$A$1:$I$89,3,0)*0.475*44/12</f>
        <v>1.5740674865627215E-3</v>
      </c>
      <c r="AC62" s="22">
        <f t="shared" si="3"/>
        <v>23.777266976847173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10</v>
      </c>
      <c r="AI62" s="13">
        <f>IF('Données projet'!$A$62&gt;35,AI61+AH62-AQ61,IF(A62&lt;'Données projet'!$A$62,$AF$205^A62,IF(A62='Données projet'!$A$62,'Données projet'!$B$62,AI61+AH62-AQ61)))</f>
        <v>393.99999999999989</v>
      </c>
      <c r="AJ62" s="13">
        <f>AI62*VLOOKUP('Données projet'!$B$10,Paramètres!$A$1:$I$89,3,0)*VLOOKUP('Données projet'!$B$10,Paramètres!$A$1:$I$89,5,0)</f>
        <v>245.85599999999994</v>
      </c>
      <c r="AK62" s="13">
        <f t="shared" si="35"/>
        <v>59.697704223313963</v>
      </c>
      <c r="AL62" s="20">
        <f t="shared" si="4"/>
        <v>532.17270152227172</v>
      </c>
      <c r="AM62" s="59">
        <f t="shared" si="5"/>
        <v>825.50603485560509</v>
      </c>
      <c r="AN62" s="59">
        <f ca="1">AVERAGE(OFFSET($AM$3,0,0,'Données projet'!$E$10+1,1))-AVERAGE(OFFSET($H$3,0,0,'Données projet'!$E$10+1,1))</f>
        <v>285.77483300338548</v>
      </c>
      <c r="AO62" s="59">
        <f t="shared" si="36"/>
        <v>320.55212417690637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4.6983852527754948</v>
      </c>
      <c r="AV62" s="21">
        <f>EXP(-LN(2)/25)*AV61+(1-EXP(-LN(2)/25))/(LN(2)/25)*Calculateur!AQ62*Calculateur!AS62*VLOOKUP('Données projet'!$B$10,Paramètres!$A$1:$I$89,3,0)*0.475*44/12</f>
        <v>12.472115161885066</v>
      </c>
      <c r="AW62" s="21">
        <f>EXP(-LN(2)/2)*AW61+(1-EXP(-LN(2)/2))/(LN(2)/2)*AQ62*AT62*VLOOKUP('Données projet'!$B$10,Paramètres!$A$1:$I$89,3,0)*0.475*44/12</f>
        <v>1.0531157056847822E-3</v>
      </c>
      <c r="AX62" s="21">
        <f t="shared" si="6"/>
        <v>17.171553530366243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22.9</v>
      </c>
      <c r="BD62" s="12">
        <f>IF('Données projet'!$A$88&gt;35,BD61+BC62-BL61,IF(A62&lt;'Données projet'!$A$88,$BA$205^A62,IF(A62='Données projet'!$A$88,'Données projet'!$B$88,BD61+BC62-BL61)))</f>
        <v>729.09999999999968</v>
      </c>
      <c r="BE62" s="13">
        <f>BD62*VLOOKUP('Données projet'!$B$11,Paramètres!$A$1:$I$89,3,0)*VLOOKUP('Données projet'!$B$11,Paramètres!$A$1:$I$89,5,0)</f>
        <v>350.69709999999986</v>
      </c>
      <c r="BF62" s="13">
        <f t="shared" si="37"/>
        <v>81.706034741264361</v>
      </c>
      <c r="BG62" s="20">
        <f t="shared" si="7"/>
        <v>753.10212634103527</v>
      </c>
      <c r="BH62" s="59">
        <f t="shared" si="8"/>
        <v>1046.4354596743685</v>
      </c>
      <c r="BI62" s="59">
        <f ca="1">AVERAGE(OFFSET($BH$3,0,0,'Données projet'!$E$11+1,1))-AVERAGE(OFFSET($H$3,0,0,'Données projet'!$E$11+1,1))</f>
        <v>402.22278907877927</v>
      </c>
      <c r="BJ62" s="59">
        <f t="shared" si="38"/>
        <v>393.06397734082458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15.650514812019031</v>
      </c>
      <c r="BQ62" s="21">
        <f>EXP(-LN(2)/25)*BQ61+(1-EXP(-LN(2)/25))/(LN(2)/25)*Calculateur!BL62*Calculateur!BN62*VLOOKUP('Données projet'!$B$11,Paramètres!$A$1:$I$89,3,0)*0.475*44/12</f>
        <v>20.178638149879188</v>
      </c>
      <c r="BR62" s="21">
        <f>EXP(-LN(2)/2)*BR61+(1-EXP(-LN(2)/2))/(LN(2)/2)*BL62*BO62*VLOOKUP('Données projet'!$B$11,Paramètres!$A$1:$I$89,3,0)*0.475*44/12</f>
        <v>3.8178918348756731E-2</v>
      </c>
      <c r="BS62" s="22">
        <f t="shared" si="9"/>
        <v>35.867331880246972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9.8000000000000007</v>
      </c>
      <c r="BY62" s="12">
        <f>IF('Données projet'!$A$114&gt;35,BY61+BX62-CG61,IF(A62&lt;'Données projet'!$A$114,$BV$205^A62,IF(A62='Données projet'!$A$114,'Données projet'!$B$114,BY61+BX62-CG61)))</f>
        <v>291.2</v>
      </c>
      <c r="BZ62" s="13">
        <f>BY62*VLOOKUP('Données projet'!$B$12,Paramètres!$A$1:$I$89,3,0)*VLOOKUP('Données projet'!$B$12,Paramètres!$A$1:$I$89,5,0)</f>
        <v>263.47775999999999</v>
      </c>
      <c r="CA62" s="13">
        <f t="shared" si="39"/>
        <v>63.46312159763346</v>
      </c>
      <c r="CB62" s="20">
        <f t="shared" si="10"/>
        <v>569.42203544921153</v>
      </c>
      <c r="CC62" s="59">
        <f t="shared" si="11"/>
        <v>862.75536878254479</v>
      </c>
      <c r="CD62" s="59">
        <f ca="1">AVERAGE(OFFSET($CC$3,0,0,'Données projet'!$E$12+1,1))-AVERAGE(OFFSET($H$3,0,0,'Données projet'!$E$12+1,1))</f>
        <v>363.51171608224735</v>
      </c>
      <c r="CE62" s="59">
        <f t="shared" si="40"/>
        <v>257.9239334647138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1.356223706067371</v>
      </c>
      <c r="CL62" s="21">
        <f>EXP(-LN(2)/25)*CL61+(1-EXP(-LN(2)/25))/(LN(2)/25)*Calculateur!CG62*Calculateur!CI62*VLOOKUP('Données projet'!$B$12,Paramètres!$A$1:$I$89,3,0)*0.475*44/12</f>
        <v>5.0492026695918355</v>
      </c>
      <c r="CM62" s="21">
        <f>EXP(-LN(2)/2)*CM61+(1-EXP(-LN(2)/2))/(LN(2)/2)*CG62*CJ62*VLOOKUP('Données projet'!$B$12,Paramètres!$A$1:$I$89,3,0)*0.475*44/12</f>
        <v>9.3020694520069456E-4</v>
      </c>
      <c r="CN62" s="22">
        <f t="shared" si="12"/>
        <v>6.4063565826044071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1">
        <f t="shared" si="32"/>
        <v>10.05796057160342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67">
        <f t="shared" si="1"/>
        <v>367.90794799554254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679</v>
      </c>
      <c r="L63" s="12">
        <f>VLOOKUP(A63,'Données projet'!$A$35:$I$55,9,0)</f>
        <v>19.3</v>
      </c>
      <c r="M63" s="12">
        <f t="array" ref="M63">INDEX(L:L,MIN(IF(ISNUMBER(L63:L259),ROW(L63:L259),"")))</f>
        <v>19.3</v>
      </c>
      <c r="N63" s="13">
        <f>IF('Données projet'!$A$36&gt;35,N62+M63-V62,IF(A63&lt;'Données projet'!$A$36,$K$205^A63,IF(A63='Données projet'!$A$36,'Données projet'!$B$36,N62+M63-V62)))</f>
        <v>678.99999999999943</v>
      </c>
      <c r="O63" s="13">
        <f>N63*VLOOKUP('Données projet'!$B$9,Paramètres!$A$1:$I$89,3,0)*VLOOKUP('Données projet'!$B$9,Paramètres!$A$1:$I$89,5,0)</f>
        <v>379.56099999999969</v>
      </c>
      <c r="P63" s="13">
        <f t="shared" si="33"/>
        <v>87.620407950587037</v>
      </c>
      <c r="Q63" s="20">
        <f t="shared" si="53"/>
        <v>813.67428551393857</v>
      </c>
      <c r="R63" s="59">
        <f t="shared" si="0"/>
        <v>1107.0076188472719</v>
      </c>
      <c r="S63" s="59">
        <f ca="1">AVERAGE(OFFSET($R$3,0,0,'Données projet'!$E$9+1,1))-AVERAGE(OFFSET($H$3,0,0,'Données projet'!$E$9+1,1))</f>
        <v>446.28010102877403</v>
      </c>
      <c r="T63" s="59">
        <f t="shared" si="34"/>
        <v>445.84011537290456</v>
      </c>
      <c r="U63" s="15">
        <f>IF(ISNA(VLOOKUP(A63,'Données projet'!$A$35:$I$55,3,0)),0,VLOOKUP(A63,'Données projet'!$A$35:$I$55,3,0))</f>
        <v>5</v>
      </c>
      <c r="V63" s="15">
        <f>IF(ISNA(VLOOKUP(A63,'Données projet'!$A$35:$I$55,4,0)),0,VLOOKUP(A63,'Données projet'!$A$35:$I$55,4,0))</f>
        <v>96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6.3042753665809785</v>
      </c>
      <c r="AA63" s="21">
        <f>EXP(-LN(2)/25)*AA62+(1-EXP(-LN(2)/25))/(LN(2)/25)*Calculateur!V63*Calculateur!X63*VLOOKUP('Données projet'!$B$9,Paramètres!$A$1:$I$89,3,0)*0.475*44/12</f>
        <v>16.871013150002213</v>
      </c>
      <c r="AB63" s="21">
        <f>EXP(-LN(2)/2)*AB62+(1-EXP(-LN(2)/2))/(LN(2)/2)*V63*Y63*VLOOKUP('Données projet'!$B$9,Paramètres!$A$1:$I$89,3,0)*0.475*44/12</f>
        <v>1.1130337937937651E-3</v>
      </c>
      <c r="AC63" s="22">
        <f t="shared" si="3"/>
        <v>23.176401550376983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404</v>
      </c>
      <c r="AG63" s="12">
        <f>VLOOKUP(A63,'Données projet'!$A$61:$I$81,9,0)</f>
        <v>10</v>
      </c>
      <c r="AH63" s="12">
        <f t="array" ref="AH63">INDEX(AG:AG,MIN(IF(ISNUMBER(AG63:AG259),ROW(AG63:AG259),"")))</f>
        <v>10</v>
      </c>
      <c r="AI63" s="13">
        <f>IF('Données projet'!$A$62&gt;35,AI62+AH63-AQ62,IF(A63&lt;'Données projet'!$A$62,$AF$205^A63,IF(A63='Données projet'!$A$62,'Données projet'!$B$62,AI62+AH63-AQ62)))</f>
        <v>403.99999999999989</v>
      </c>
      <c r="AJ63" s="13">
        <f>AI63*VLOOKUP('Données projet'!$B$10,Paramètres!$A$1:$I$89,3,0)*VLOOKUP('Données projet'!$B$10,Paramètres!$A$1:$I$89,5,0)</f>
        <v>252.09599999999992</v>
      </c>
      <c r="AK63" s="13">
        <f t="shared" si="35"/>
        <v>61.034549381925906</v>
      </c>
      <c r="AL63" s="20">
        <f t="shared" si="4"/>
        <v>545.36904017352083</v>
      </c>
      <c r="AM63" s="59">
        <f t="shared" si="5"/>
        <v>838.7023735068542</v>
      </c>
      <c r="AN63" s="59">
        <f ca="1">AVERAGE(OFFSET($AM$3,0,0,'Données projet'!$E$10+1,1))-AVERAGE(OFFSET($H$3,0,0,'Données projet'!$E$10+1,1))</f>
        <v>285.77483300338548</v>
      </c>
      <c r="AO63" s="59">
        <f t="shared" si="36"/>
        <v>320.55212417690637</v>
      </c>
      <c r="AP63" s="15">
        <f>IF(ISNA(VLOOKUP(A63,'Données projet'!$A$61:$I$81,3,0)),0,VLOOKUP(A63,'Données projet'!$A$61:$I$81,3,0))</f>
        <v>5</v>
      </c>
      <c r="AQ63" s="15">
        <f>IF(ISNA(VLOOKUP(A63,'Données projet'!$A$61:$I$81,4,0)),0,VLOOKUP(A63,'Données projet'!$A$61:$I$81,4,0))</f>
        <v>55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4.6062527837006044</v>
      </c>
      <c r="AV63" s="21">
        <f>EXP(-LN(2)/25)*AV62+(1-EXP(-LN(2)/25))/(LN(2)/25)*Calculateur!AQ63*Calculateur!AS63*VLOOKUP('Données projet'!$B$10,Paramètres!$A$1:$I$89,3,0)*0.475*44/12</f>
        <v>12.131064516903288</v>
      </c>
      <c r="AW63" s="21">
        <f>EXP(-LN(2)/2)*AW62+(1-EXP(-LN(2)/2))/(LN(2)/2)*AQ63*AT63*VLOOKUP('Données projet'!$B$10,Paramètres!$A$1:$I$89,3,0)*0.475*44/12</f>
        <v>7.4466525686376587E-4</v>
      </c>
      <c r="AX63" s="21">
        <f t="shared" si="6"/>
        <v>16.738061965860755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752</v>
      </c>
      <c r="BB63" s="12">
        <f>VLOOKUP(A63,'Données projet'!$A$87:$I$107,9,0)</f>
        <v>22.9</v>
      </c>
      <c r="BC63" s="12">
        <f t="array" ref="BC63">INDEX(BB:BB,MIN(IF(ISNUMBER(BB63:BB259),ROW(BB63:BB259),"")))</f>
        <v>22.9</v>
      </c>
      <c r="BD63" s="12">
        <f>IF('Données projet'!$A$88&gt;35,BD62+BC63-BL62,IF(A63&lt;'Données projet'!$A$88,$BA$205^A63,IF(A63='Données projet'!$A$88,'Données projet'!$B$88,BD62+BC63-BL62)))</f>
        <v>751.99999999999966</v>
      </c>
      <c r="BE63" s="13">
        <f>BD63*VLOOKUP('Données projet'!$B$11,Paramètres!$A$1:$I$89,3,0)*VLOOKUP('Données projet'!$B$11,Paramètres!$A$1:$I$89,5,0)</f>
        <v>361.71199999999988</v>
      </c>
      <c r="BF63" s="13">
        <f t="shared" si="37"/>
        <v>83.969494418440931</v>
      </c>
      <c r="BG63" s="20">
        <f t="shared" si="7"/>
        <v>776.22860277878442</v>
      </c>
      <c r="BH63" s="59">
        <f t="shared" si="8"/>
        <v>1069.5619361121178</v>
      </c>
      <c r="BI63" s="59">
        <f ca="1">AVERAGE(OFFSET($BH$3,0,0,'Données projet'!$E$11+1,1))-AVERAGE(OFFSET($H$3,0,0,'Données projet'!$E$11+1,1))</f>
        <v>402.22278907877927</v>
      </c>
      <c r="BJ63" s="59">
        <f t="shared" si="38"/>
        <v>393.06397734082458</v>
      </c>
      <c r="BK63" s="15">
        <f>IF(ISNA(VLOOKUP(A63,'Données projet'!$A$87:$I$107,3,0)),0,VLOOKUP(A63,'Données projet'!$A$87:$I$107,3,0))</f>
        <v>6</v>
      </c>
      <c r="BL63" s="15">
        <f>IF(ISNA(VLOOKUP(A63,'Données projet'!$A$87:$I$107,4,0)),0,VLOOKUP(A63,'Données projet'!$A$87:$I$107,4,0))</f>
        <v>128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15.343617762426797</v>
      </c>
      <c r="BQ63" s="21">
        <f>EXP(-LN(2)/25)*BQ62+(1-EXP(-LN(2)/25))/(LN(2)/25)*Calculateur!BL63*Calculateur!BN63*VLOOKUP('Données projet'!$B$11,Paramètres!$A$1:$I$89,3,0)*0.475*44/12</f>
        <v>19.626852228522282</v>
      </c>
      <c r="BR63" s="21">
        <f>EXP(-LN(2)/2)*BR62+(1-EXP(-LN(2)/2))/(LN(2)/2)*BL63*BO63*VLOOKUP('Données projet'!$B$11,Paramètres!$A$1:$I$89,3,0)*0.475*44/12</f>
        <v>2.6996572062773391E-2</v>
      </c>
      <c r="BS63" s="22">
        <f t="shared" si="9"/>
        <v>34.997466563011848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301</v>
      </c>
      <c r="BW63" s="12">
        <f>VLOOKUP(A63,'Données projet'!$A$113:$I$133,9,0)</f>
        <v>9.8000000000000007</v>
      </c>
      <c r="BX63" s="12">
        <f t="array" ref="BX63">INDEX(BW:BW,MIN(IF(ISNUMBER(BW63:BW259),ROW(BW63:BW259),"")))</f>
        <v>9.8000000000000007</v>
      </c>
      <c r="BY63" s="12">
        <f>IF('Données projet'!$A$114&gt;35,BY62+BX63-CG62,IF(A63&lt;'Données projet'!$A$114,$BV$205^A63,IF(A63='Données projet'!$A$114,'Données projet'!$B$114,BY62+BX63-CG62)))</f>
        <v>301</v>
      </c>
      <c r="BZ63" s="13">
        <f>BY63*VLOOKUP('Données projet'!$B$12,Paramètres!$A$1:$I$89,3,0)*VLOOKUP('Données projet'!$B$12,Paramètres!$A$1:$I$89,5,0)</f>
        <v>272.34479999999996</v>
      </c>
      <c r="CA63" s="13">
        <f t="shared" si="39"/>
        <v>65.346644318451652</v>
      </c>
      <c r="CB63" s="20">
        <f t="shared" si="10"/>
        <v>588.14593218796983</v>
      </c>
      <c r="CC63" s="59">
        <f t="shared" si="11"/>
        <v>881.4792655213032</v>
      </c>
      <c r="CD63" s="59">
        <f ca="1">AVERAGE(OFFSET($CC$3,0,0,'Données projet'!$E$12+1,1))-AVERAGE(OFFSET($H$3,0,0,'Données projet'!$E$12+1,1))</f>
        <v>363.51171608224735</v>
      </c>
      <c r="CE63" s="59">
        <f t="shared" si="40"/>
        <v>257.9239334647138</v>
      </c>
      <c r="CF63" s="15">
        <f>IF(ISNA(VLOOKUP(A63,'Données projet'!$A$113:$I$133,3,0)),0,VLOOKUP(A63,'Données projet'!$A$113:$I$133,3,0))</f>
        <v>5</v>
      </c>
      <c r="CG63" s="15">
        <f>IF(ISNA(VLOOKUP(A63,'Données projet'!$A$113:$I$133,4,0)),0,VLOOKUP(A63,'Données projet'!$A$113:$I$133,4,0))</f>
        <v>56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1.3296289864061699</v>
      </c>
      <c r="CL63" s="21">
        <f>EXP(-LN(2)/25)*CL62+(1-EXP(-LN(2)/25))/(LN(2)/25)*Calculateur!CG63*Calculateur!CI63*VLOOKUP('Données projet'!$B$12,Paramètres!$A$1:$I$89,3,0)*0.475*44/12</f>
        <v>4.9111319570658187</v>
      </c>
      <c r="CM63" s="21">
        <f>EXP(-LN(2)/2)*CM62+(1-EXP(-LN(2)/2))/(LN(2)/2)*CG63*CJ63*VLOOKUP('Données projet'!$B$12,Paramètres!$A$1:$I$89,3,0)*0.475*44/12</f>
        <v>6.5775563885823443E-4</v>
      </c>
      <c r="CN63" s="22">
        <f t="shared" si="12"/>
        <v>6.2414186991108469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1">
        <f t="shared" si="32"/>
        <v>10.205938010999123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67">
        <f t="shared" si="1"/>
        <v>369.11662536915674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15.8</v>
      </c>
      <c r="N64" s="13">
        <f>IF('Données projet'!$A$36&gt;35,N63+M64-V63,IF(A64&lt;'Données projet'!$A$36,$K$205^A64,IF(A64='Données projet'!$A$36,'Données projet'!$B$36,N63+M64-V63)))</f>
        <v>598.79999999999939</v>
      </c>
      <c r="O64" s="13">
        <f>N64*VLOOKUP('Données projet'!$B$9,Paramètres!$A$1:$I$89,3,0)*VLOOKUP('Données projet'!$B$9,Paramètres!$A$1:$I$89,5,0)</f>
        <v>334.72919999999971</v>
      </c>
      <c r="P64" s="13">
        <f t="shared" si="33"/>
        <v>78.409977536916543</v>
      </c>
      <c r="Q64" s="20">
        <f t="shared" si="53"/>
        <v>719.55073421012912</v>
      </c>
      <c r="R64" s="59">
        <f t="shared" si="0"/>
        <v>1012.8840675434624</v>
      </c>
      <c r="S64" s="59">
        <f ca="1">AVERAGE(OFFSET($R$3,0,0,'Données projet'!$E$9+1,1))-AVERAGE(OFFSET($H$3,0,0,'Données projet'!$E$9+1,1))</f>
        <v>446.28010102877403</v>
      </c>
      <c r="T64" s="59">
        <f t="shared" si="34"/>
        <v>445.84011537290456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6.1806523718706146</v>
      </c>
      <c r="AA64" s="21">
        <f>EXP(-LN(2)/25)*AA63+(1-EXP(-LN(2)/25))/(LN(2)/25)*Calculateur!V64*Calculateur!X64*VLOOKUP('Données projet'!$B$9,Paramètres!$A$1:$I$89,3,0)*0.475*44/12</f>
        <v>16.40967440820738</v>
      </c>
      <c r="AB64" s="21">
        <f>EXP(-LN(2)/2)*AB63+(1-EXP(-LN(2)/2))/(LN(2)/2)*V64*Y64*VLOOKUP('Données projet'!$B$9,Paramètres!$A$1:$I$89,3,0)*0.475*44/12</f>
        <v>7.8703374328136075E-4</v>
      </c>
      <c r="AC64" s="22">
        <f t="shared" si="3"/>
        <v>22.591113813821277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7.8</v>
      </c>
      <c r="AI64" s="13">
        <f>IF('Données projet'!$A$62&gt;35,AI63+AH64-AQ63,IF(A64&lt;'Données projet'!$A$62,$AF$205^A64,IF(A64='Données projet'!$A$62,'Données projet'!$B$62,AI63+AH64-AQ63)))</f>
        <v>356.7999999999999</v>
      </c>
      <c r="AJ64" s="13">
        <f>AI64*VLOOKUP('Données projet'!$B$10,Paramètres!$A$1:$I$89,3,0)*VLOOKUP('Données projet'!$B$10,Paramètres!$A$1:$I$89,5,0)</f>
        <v>222.64319999999995</v>
      </c>
      <c r="AK64" s="13">
        <f t="shared" si="35"/>
        <v>54.688972258092875</v>
      </c>
      <c r="AL64" s="20">
        <f t="shared" si="4"/>
        <v>483.02020001617831</v>
      </c>
      <c r="AM64" s="59">
        <f t="shared" si="5"/>
        <v>776.35353334951162</v>
      </c>
      <c r="AN64" s="59">
        <f ca="1">AVERAGE(OFFSET($AM$3,0,0,'Données projet'!$E$10+1,1))-AVERAGE(OFFSET($H$3,0,0,'Données projet'!$E$10+1,1))</f>
        <v>285.77483300338548</v>
      </c>
      <c r="AO64" s="59">
        <f t="shared" si="36"/>
        <v>320.55212417690637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4.5159269761490153</v>
      </c>
      <c r="AV64" s="21">
        <f>EXP(-LN(2)/25)*AV63+(1-EXP(-LN(2)/25))/(LN(2)/25)*Calculateur!AQ64*Calculateur!AS64*VLOOKUP('Données projet'!$B$10,Paramètres!$A$1:$I$89,3,0)*0.475*44/12</f>
        <v>11.799339919743611</v>
      </c>
      <c r="AW64" s="21">
        <f>EXP(-LN(2)/2)*AW63+(1-EXP(-LN(2)/2))/(LN(2)/2)*AQ64*AT64*VLOOKUP('Données projet'!$B$10,Paramètres!$A$1:$I$89,3,0)*0.475*44/12</f>
        <v>5.2655785284239109E-4</v>
      </c>
      <c r="AX64" s="21">
        <f t="shared" si="6"/>
        <v>16.315793453745471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20.3</v>
      </c>
      <c r="BD64" s="12">
        <f>IF('Données projet'!$A$88&gt;35,BD63+BC64-BL63,IF(A64&lt;'Données projet'!$A$88,$BA$205^A64,IF(A64='Données projet'!$A$88,'Données projet'!$B$88,BD63+BC64-BL63)))</f>
        <v>644.29999999999961</v>
      </c>
      <c r="BE64" s="13">
        <f>BD64*VLOOKUP('Données projet'!$B$11,Paramètres!$A$1:$I$89,3,0)*VLOOKUP('Données projet'!$B$11,Paramètres!$A$1:$I$89,5,0)</f>
        <v>309.90829999999983</v>
      </c>
      <c r="BF64" s="13">
        <f t="shared" si="37"/>
        <v>73.24967923228823</v>
      </c>
      <c r="BG64" s="20">
        <f t="shared" si="7"/>
        <v>667.33348049623498</v>
      </c>
      <c r="BH64" s="59">
        <f t="shared" si="8"/>
        <v>960.66681382956835</v>
      </c>
      <c r="BI64" s="59">
        <f ca="1">AVERAGE(OFFSET($BH$3,0,0,'Données projet'!$E$11+1,1))-AVERAGE(OFFSET($H$3,0,0,'Données projet'!$E$11+1,1))</f>
        <v>402.22278907877927</v>
      </c>
      <c r="BJ64" s="59">
        <f t="shared" si="38"/>
        <v>393.06397734082458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15.042738776788349</v>
      </c>
      <c r="BQ64" s="21">
        <f>EXP(-LN(2)/25)*BQ63+(1-EXP(-LN(2)/25))/(LN(2)/25)*Calculateur!BL64*Calculateur!BN64*VLOOKUP('Données projet'!$B$11,Paramètres!$A$1:$I$89,3,0)*0.475*44/12</f>
        <v>19.090154922202039</v>
      </c>
      <c r="BR64" s="21">
        <f>EXP(-LN(2)/2)*BR63+(1-EXP(-LN(2)/2))/(LN(2)/2)*BL64*BO64*VLOOKUP('Données projet'!$B$11,Paramètres!$A$1:$I$89,3,0)*0.475*44/12</f>
        <v>1.9089459174378366E-2</v>
      </c>
      <c r="BS64" s="22">
        <f t="shared" si="9"/>
        <v>34.151983158164768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8.5</v>
      </c>
      <c r="BY64" s="12">
        <f>IF('Données projet'!$A$114&gt;35,BY63+BX64-CG63,IF(A64&lt;'Données projet'!$A$114,$BV$205^A64,IF(A64='Données projet'!$A$114,'Données projet'!$B$114,BY63+BX64-CG63)))</f>
        <v>253.5</v>
      </c>
      <c r="BZ64" s="13">
        <f>BY64*VLOOKUP('Données projet'!$B$12,Paramètres!$A$1:$I$89,3,0)*VLOOKUP('Données projet'!$B$12,Paramètres!$A$1:$I$89,5,0)</f>
        <v>229.36680000000001</v>
      </c>
      <c r="CA64" s="13">
        <f t="shared" si="39"/>
        <v>56.14574692729505</v>
      </c>
      <c r="CB64" s="20">
        <f t="shared" si="10"/>
        <v>497.26768589837212</v>
      </c>
      <c r="CC64" s="59">
        <f t="shared" si="11"/>
        <v>790.60101923170544</v>
      </c>
      <c r="CD64" s="59">
        <f ca="1">AVERAGE(OFFSET($CC$3,0,0,'Données projet'!$E$12+1,1))-AVERAGE(OFFSET($H$3,0,0,'Données projet'!$E$12+1,1))</f>
        <v>363.51171608224735</v>
      </c>
      <c r="CE64" s="59">
        <f t="shared" si="40"/>
        <v>257.9239334647138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1.3035557729763476</v>
      </c>
      <c r="CL64" s="21">
        <f>EXP(-LN(2)/25)*CL63+(1-EXP(-LN(2)/25))/(LN(2)/25)*Calculateur!CG64*Calculateur!CI64*VLOOKUP('Données projet'!$B$12,Paramètres!$A$1:$I$89,3,0)*0.475*44/12</f>
        <v>4.7768367954346491</v>
      </c>
      <c r="CM64" s="21">
        <f>EXP(-LN(2)/2)*CM63+(1-EXP(-LN(2)/2))/(LN(2)/2)*CG64*CJ64*VLOOKUP('Données projet'!$B$12,Paramètres!$A$1:$I$89,3,0)*0.475*44/12</f>
        <v>4.6510347260034739E-4</v>
      </c>
      <c r="CN64" s="22">
        <f t="shared" si="12"/>
        <v>6.0808576718835967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1">
        <f t="shared" si="32"/>
        <v>10.353633336208009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67">
        <f t="shared" si="1"/>
        <v>370.32481139389552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15.8</v>
      </c>
      <c r="N65" s="13">
        <f>IF('Données projet'!$A$36&gt;35,N64+M65-V64,IF(A65&lt;'Données projet'!$A$36,$K$205^A65,IF(A65='Données projet'!$A$36,'Données projet'!$B$36,N64+M65-V64)))</f>
        <v>614.59999999999934</v>
      </c>
      <c r="O65" s="13">
        <f>N65*VLOOKUP('Données projet'!$B$9,Paramètres!$A$1:$I$89,3,0)*VLOOKUP('Données projet'!$B$9,Paramètres!$A$1:$I$89,5,0)</f>
        <v>343.56139999999965</v>
      </c>
      <c r="P65" s="13">
        <f t="shared" si="33"/>
        <v>80.235307380202258</v>
      </c>
      <c r="Q65" s="20">
        <f t="shared" si="53"/>
        <v>738.11259868718491</v>
      </c>
      <c r="R65" s="59">
        <f t="shared" si="0"/>
        <v>1031.4459320205183</v>
      </c>
      <c r="S65" s="59">
        <f ca="1">AVERAGE(OFFSET($R$3,0,0,'Données projet'!$E$9+1,1))-AVERAGE(OFFSET($H$3,0,0,'Données projet'!$E$9+1,1))</f>
        <v>446.28010102877403</v>
      </c>
      <c r="T65" s="59">
        <f t="shared" si="34"/>
        <v>445.84011537290456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6.0594535486839396</v>
      </c>
      <c r="AA65" s="21">
        <f>EXP(-LN(2)/25)*AA64+(1-EXP(-LN(2)/25))/(LN(2)/25)*Calculateur!V65*Calculateur!X65*VLOOKUP('Données projet'!$B$9,Paramètres!$A$1:$I$89,3,0)*0.475*44/12</f>
        <v>15.960950998567677</v>
      </c>
      <c r="AB65" s="21">
        <f>EXP(-LN(2)/2)*AB64+(1-EXP(-LN(2)/2))/(LN(2)/2)*V65*Y65*VLOOKUP('Données projet'!$B$9,Paramètres!$A$1:$I$89,3,0)*0.475*44/12</f>
        <v>5.5651689689688256E-4</v>
      </c>
      <c r="AC65" s="22">
        <f t="shared" si="3"/>
        <v>22.020961064148512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7.8</v>
      </c>
      <c r="AI65" s="13">
        <f>IF('Données projet'!$A$62&gt;35,AI64+AH65-AQ64,IF(A65&lt;'Données projet'!$A$62,$AF$205^A65,IF(A65='Données projet'!$A$62,'Données projet'!$B$62,AI64+AH65-AQ64)))</f>
        <v>364.59999999999991</v>
      </c>
      <c r="AJ65" s="13">
        <f>AI65*VLOOKUP('Données projet'!$B$10,Paramètres!$A$1:$I$89,3,0)*VLOOKUP('Données projet'!$B$10,Paramètres!$A$1:$I$89,5,0)</f>
        <v>227.51039999999995</v>
      </c>
      <c r="AK65" s="13">
        <f t="shared" si="35"/>
        <v>55.7440313076156</v>
      </c>
      <c r="AL65" s="20">
        <f t="shared" si="4"/>
        <v>493.33480119409711</v>
      </c>
      <c r="AM65" s="59">
        <f t="shared" si="5"/>
        <v>786.66813452743042</v>
      </c>
      <c r="AN65" s="59">
        <f ca="1">AVERAGE(OFFSET($AM$3,0,0,'Données projet'!$E$10+1,1))-AVERAGE(OFFSET($H$3,0,0,'Données projet'!$E$10+1,1))</f>
        <v>285.77483300338548</v>
      </c>
      <c r="AO65" s="59">
        <f t="shared" si="36"/>
        <v>320.55212417690637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4.4273724025902101</v>
      </c>
      <c r="AV65" s="21">
        <f>EXP(-LN(2)/25)*AV64+(1-EXP(-LN(2)/25))/(LN(2)/25)*Calculateur!AQ65*Calculateur!AS65*VLOOKUP('Données projet'!$B$10,Paramètres!$A$1:$I$89,3,0)*0.475*44/12</f>
        <v>11.476686349137903</v>
      </c>
      <c r="AW65" s="21">
        <f>EXP(-LN(2)/2)*AW64+(1-EXP(-LN(2)/2))/(LN(2)/2)*AQ65*AT65*VLOOKUP('Données projet'!$B$10,Paramètres!$A$1:$I$89,3,0)*0.475*44/12</f>
        <v>3.7233262843188293E-4</v>
      </c>
      <c r="AX65" s="21">
        <f t="shared" si="6"/>
        <v>15.904431084356546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20.3</v>
      </c>
      <c r="BD65" s="12">
        <f>IF('Données projet'!$A$88&gt;35,BD64+BC65-BL64,IF(A65&lt;'Données projet'!$A$88,$BA$205^A65,IF(A65='Données projet'!$A$88,'Données projet'!$B$88,BD64+BC65-BL64)))</f>
        <v>664.59999999999957</v>
      </c>
      <c r="BE65" s="13">
        <f>BD65*VLOOKUP('Données projet'!$B$11,Paramètres!$A$1:$I$89,3,0)*VLOOKUP('Données projet'!$B$11,Paramètres!$A$1:$I$89,5,0)</f>
        <v>319.67259999999982</v>
      </c>
      <c r="BF65" s="13">
        <f t="shared" si="37"/>
        <v>75.285227667693263</v>
      </c>
      <c r="BG65" s="20">
        <f t="shared" si="7"/>
        <v>687.88488318789871</v>
      </c>
      <c r="BH65" s="59">
        <f t="shared" si="8"/>
        <v>981.21821652123208</v>
      </c>
      <c r="BI65" s="59">
        <f ca="1">AVERAGE(OFFSET($BH$3,0,0,'Données projet'!$E$11+1,1))-AVERAGE(OFFSET($H$3,0,0,'Données projet'!$E$11+1,1))</f>
        <v>402.22278907877927</v>
      </c>
      <c r="BJ65" s="59">
        <f t="shared" si="38"/>
        <v>393.06397734082458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14.74775984454021</v>
      </c>
      <c r="BQ65" s="21">
        <f>EXP(-LN(2)/25)*BQ64+(1-EXP(-LN(2)/25))/(LN(2)/25)*Calculateur!BL65*Calculateur!BN65*VLOOKUP('Données projet'!$B$11,Paramètres!$A$1:$I$89,3,0)*0.475*44/12</f>
        <v>18.568133631946807</v>
      </c>
      <c r="BR65" s="21">
        <f>EXP(-LN(2)/2)*BR64+(1-EXP(-LN(2)/2))/(LN(2)/2)*BL65*BO65*VLOOKUP('Données projet'!$B$11,Paramètres!$A$1:$I$89,3,0)*0.475*44/12</f>
        <v>1.3498286031386695E-2</v>
      </c>
      <c r="BS65" s="22">
        <f t="shared" si="9"/>
        <v>33.329391762518405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8.5</v>
      </c>
      <c r="BY65" s="12">
        <f>IF('Données projet'!$A$114&gt;35,BY64+BX65-CG64,IF(A65&lt;'Données projet'!$A$114,$BV$205^A65,IF(A65='Données projet'!$A$114,'Données projet'!$B$114,BY64+BX65-CG64)))</f>
        <v>262</v>
      </c>
      <c r="BZ65" s="13">
        <f>BY65*VLOOKUP('Données projet'!$B$12,Paramètres!$A$1:$I$89,3,0)*VLOOKUP('Données projet'!$B$12,Paramètres!$A$1:$I$89,5,0)</f>
        <v>237.05759999999998</v>
      </c>
      <c r="CA65" s="13">
        <f t="shared" si="39"/>
        <v>57.806004997354641</v>
      </c>
      <c r="CB65" s="20">
        <f t="shared" si="10"/>
        <v>513.55411203705933</v>
      </c>
      <c r="CC65" s="59">
        <f t="shared" si="11"/>
        <v>806.8874453703927</v>
      </c>
      <c r="CD65" s="59">
        <f ca="1">AVERAGE(OFFSET($CC$3,0,0,'Données projet'!$E$12+1,1))-AVERAGE(OFFSET($H$3,0,0,'Données projet'!$E$12+1,1))</f>
        <v>363.51171608224735</v>
      </c>
      <c r="CE65" s="59">
        <f t="shared" si="40"/>
        <v>257.9239334647138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1.2779938393587942</v>
      </c>
      <c r="CL65" s="21">
        <f>EXP(-LN(2)/25)*CL64+(1-EXP(-LN(2)/25))/(LN(2)/25)*Calculateur!CG65*Calculateur!CI65*VLOOKUP('Données projet'!$B$12,Paramètres!$A$1:$I$89,3,0)*0.475*44/12</f>
        <v>4.6462139420605588</v>
      </c>
      <c r="CM65" s="21">
        <f>EXP(-LN(2)/2)*CM64+(1-EXP(-LN(2)/2))/(LN(2)/2)*CG65*CJ65*VLOOKUP('Données projet'!$B$12,Paramètres!$A$1:$I$89,3,0)*0.475*44/12</f>
        <v>3.2887781942911727E-4</v>
      </c>
      <c r="CN65" s="22">
        <f t="shared" si="12"/>
        <v>5.9245366592387825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1">
        <f t="shared" si="32"/>
        <v>10.501051622783336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67">
        <f t="shared" si="1"/>
        <v>371.53251490968091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15.8</v>
      </c>
      <c r="N66" s="13">
        <f>IF('Données projet'!$A$36&gt;35,N65+M66-V65,IF(A66&lt;'Données projet'!$A$36,$K$205^A66,IF(A66='Données projet'!$A$36,'Données projet'!$B$36,N65+M66-V65)))</f>
        <v>630.3999999999993</v>
      </c>
      <c r="O66" s="13">
        <f>N66*VLOOKUP('Données projet'!$B$9,Paramètres!$A$1:$I$89,3,0)*VLOOKUP('Données projet'!$B$9,Paramètres!$A$1:$I$89,5,0)</f>
        <v>352.39359999999965</v>
      </c>
      <c r="P66" s="13">
        <f t="shared" si="33"/>
        <v>82.055182662578147</v>
      </c>
      <c r="Q66" s="20">
        <f t="shared" si="53"/>
        <v>756.66496313732296</v>
      </c>
      <c r="R66" s="59">
        <f t="shared" si="0"/>
        <v>1049.9982964706562</v>
      </c>
      <c r="S66" s="59">
        <f ca="1">AVERAGE(OFFSET($R$3,0,0,'Données projet'!$E$9+1,1))-AVERAGE(OFFSET($H$3,0,0,'Données projet'!$E$9+1,1))</f>
        <v>446.28010102877403</v>
      </c>
      <c r="T66" s="59">
        <f t="shared" si="34"/>
        <v>445.84011537290456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5.9406313604959724</v>
      </c>
      <c r="AA66" s="21">
        <f>EXP(-LN(2)/25)*AA65+(1-EXP(-LN(2)/25))/(LN(2)/25)*Calculateur!V66*Calculateur!X66*VLOOKUP('Données projet'!$B$9,Paramètres!$A$1:$I$89,3,0)*0.475*44/12</f>
        <v>15.524497954161911</v>
      </c>
      <c r="AB66" s="21">
        <f>EXP(-LN(2)/2)*AB65+(1-EXP(-LN(2)/2))/(LN(2)/2)*V66*Y66*VLOOKUP('Données projet'!$B$9,Paramètres!$A$1:$I$89,3,0)*0.475*44/12</f>
        <v>3.9351687164068037E-4</v>
      </c>
      <c r="AC66" s="22">
        <f t="shared" si="3"/>
        <v>21.465522831529523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7.8</v>
      </c>
      <c r="AI66" s="13">
        <f>IF('Données projet'!$A$62&gt;35,AI65+AH66-AQ65,IF(A66&lt;'Données projet'!$A$62,$AF$205^A66,IF(A66='Données projet'!$A$62,'Données projet'!$B$62,AI65+AH66-AQ65)))</f>
        <v>372.39999999999992</v>
      </c>
      <c r="AJ66" s="13">
        <f>AI66*VLOOKUP('Données projet'!$B$10,Paramètres!$A$1:$I$89,3,0)*VLOOKUP('Données projet'!$B$10,Paramètres!$A$1:$I$89,5,0)</f>
        <v>232.37759999999994</v>
      </c>
      <c r="AK66" s="13">
        <f t="shared" si="35"/>
        <v>56.79646612603225</v>
      </c>
      <c r="AL66" s="20">
        <f t="shared" si="4"/>
        <v>503.64483183617267</v>
      </c>
      <c r="AM66" s="59">
        <f t="shared" si="5"/>
        <v>796.97816516950593</v>
      </c>
      <c r="AN66" s="59">
        <f ca="1">AVERAGE(OFFSET($AM$3,0,0,'Données projet'!$E$10+1,1))-AVERAGE(OFFSET($H$3,0,0,'Données projet'!$E$10+1,1))</f>
        <v>285.77483300338548</v>
      </c>
      <c r="AO66" s="59">
        <f t="shared" si="36"/>
        <v>320.55212417690637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4.3405543302059364</v>
      </c>
      <c r="AV66" s="21">
        <f>EXP(-LN(2)/25)*AV65+(1-EXP(-LN(2)/25))/(LN(2)/25)*Calculateur!AQ66*Calculateur!AS66*VLOOKUP('Données projet'!$B$10,Paramètres!$A$1:$I$89,3,0)*0.475*44/12</f>
        <v>11.162855757388023</v>
      </c>
      <c r="AW66" s="21">
        <f>EXP(-LN(2)/2)*AW65+(1-EXP(-LN(2)/2))/(LN(2)/2)*AQ66*AT66*VLOOKUP('Données projet'!$B$10,Paramètres!$A$1:$I$89,3,0)*0.475*44/12</f>
        <v>2.6327892642119554E-4</v>
      </c>
      <c r="AX66" s="21">
        <f t="shared" si="6"/>
        <v>15.503673366520381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20.3</v>
      </c>
      <c r="BD66" s="12">
        <f>IF('Données projet'!$A$88&gt;35,BD65+BC66-BL65,IF(A66&lt;'Données projet'!$A$88,$BA$205^A66,IF(A66='Données projet'!$A$88,'Données projet'!$B$88,BD65+BC66-BL65)))</f>
        <v>684.89999999999952</v>
      </c>
      <c r="BE66" s="13">
        <f>BD66*VLOOKUP('Données projet'!$B$11,Paramètres!$A$1:$I$89,3,0)*VLOOKUP('Données projet'!$B$11,Paramètres!$A$1:$I$89,5,0)</f>
        <v>329.43689999999975</v>
      </c>
      <c r="BF66" s="13">
        <f t="shared" si="37"/>
        <v>77.313550573877905</v>
      </c>
      <c r="BG66" s="20">
        <f t="shared" si="7"/>
        <v>708.42370141617005</v>
      </c>
      <c r="BH66" s="59">
        <f t="shared" si="8"/>
        <v>1001.7570347495034</v>
      </c>
      <c r="BI66" s="59">
        <f ca="1">AVERAGE(OFFSET($BH$3,0,0,'Données projet'!$E$11+1,1))-AVERAGE(OFFSET($H$3,0,0,'Données projet'!$E$11+1,1))</f>
        <v>402.22278907877927</v>
      </c>
      <c r="BJ66" s="59">
        <f t="shared" si="38"/>
        <v>393.06397734082458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14.458565269234075</v>
      </c>
      <c r="BQ66" s="21">
        <f>EXP(-LN(2)/25)*BQ65+(1-EXP(-LN(2)/25))/(LN(2)/25)*Calculateur!BL66*Calculateur!BN66*VLOOKUP('Données projet'!$B$11,Paramètres!$A$1:$I$89,3,0)*0.475*44/12</f>
        <v>18.060387041325512</v>
      </c>
      <c r="BR66" s="21">
        <f>EXP(-LN(2)/2)*BR65+(1-EXP(-LN(2)/2))/(LN(2)/2)*BL66*BO66*VLOOKUP('Données projet'!$B$11,Paramètres!$A$1:$I$89,3,0)*0.475*44/12</f>
        <v>9.5447295871891828E-3</v>
      </c>
      <c r="BS66" s="22">
        <f t="shared" si="9"/>
        <v>32.528497040146775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8.5</v>
      </c>
      <c r="BY66" s="12">
        <f>IF('Données projet'!$A$114&gt;35,BY65+BX66-CG65,IF(A66&lt;'Données projet'!$A$114,$BV$205^A66,IF(A66='Données projet'!$A$114,'Données projet'!$B$114,BY65+BX66-CG65)))</f>
        <v>270.5</v>
      </c>
      <c r="BZ66" s="13">
        <f>BY66*VLOOKUP('Données projet'!$B$12,Paramètres!$A$1:$I$89,3,0)*VLOOKUP('Données projet'!$B$12,Paramètres!$A$1:$I$89,5,0)</f>
        <v>244.74839999999998</v>
      </c>
      <c r="CA66" s="13">
        <f t="shared" si="39"/>
        <v>59.460004038665112</v>
      </c>
      <c r="CB66" s="20">
        <f t="shared" si="10"/>
        <v>529.82963703400833</v>
      </c>
      <c r="CC66" s="59">
        <f t="shared" si="11"/>
        <v>823.16297036734159</v>
      </c>
      <c r="CD66" s="59">
        <f ca="1">AVERAGE(OFFSET($CC$3,0,0,'Données projet'!$E$12+1,1))-AVERAGE(OFFSET($H$3,0,0,'Données projet'!$E$12+1,1))</f>
        <v>363.51171608224735</v>
      </c>
      <c r="CE66" s="59">
        <f t="shared" si="40"/>
        <v>257.9239334647138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1.2529331596682411</v>
      </c>
      <c r="CL66" s="21">
        <f>EXP(-LN(2)/25)*CL65+(1-EXP(-LN(2)/25))/(LN(2)/25)*Calculateur!CG66*Calculateur!CI66*VLOOKUP('Données projet'!$B$12,Paramètres!$A$1:$I$89,3,0)*0.475*44/12</f>
        <v>4.519162977481141</v>
      </c>
      <c r="CM66" s="21">
        <f>EXP(-LN(2)/2)*CM65+(1-EXP(-LN(2)/2))/(LN(2)/2)*CG66*CJ66*VLOOKUP('Données projet'!$B$12,Paramètres!$A$1:$I$89,3,0)*0.475*44/12</f>
        <v>2.3255173630017372E-4</v>
      </c>
      <c r="CN66" s="22">
        <f t="shared" si="12"/>
        <v>5.7723286888856817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1">
        <f t="shared" si="32"/>
        <v>10.648197775908036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67">
        <f t="shared" si="1"/>
        <v>372.73974445970646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15.8</v>
      </c>
      <c r="N67" s="13">
        <f>IF('Données projet'!$A$36&gt;35,N66+M67-V66,IF(A67&lt;'Données projet'!$A$36,$K$205^A67,IF(A67='Données projet'!$A$36,'Données projet'!$B$36,N66+M67-V66)))</f>
        <v>646.19999999999925</v>
      </c>
      <c r="O67" s="13">
        <f>N67*VLOOKUP('Données projet'!$B$9,Paramètres!$A$1:$I$89,3,0)*VLOOKUP('Données projet'!$B$9,Paramètres!$A$1:$I$89,5,0)</f>
        <v>361.22579999999965</v>
      </c>
      <c r="P67" s="13">
        <f t="shared" si="33"/>
        <v>83.869755817099659</v>
      </c>
      <c r="Q67" s="20">
        <f t="shared" ref="Q67:Q98" si="54">(O67+P67)*0.475*44/12</f>
        <v>775.20809304811462</v>
      </c>
      <c r="R67" s="59">
        <f t="shared" ref="R67:R130" si="55">Q67+(I67+J67)*44/12</f>
        <v>1068.541426381448</v>
      </c>
      <c r="S67" s="59">
        <f ca="1">AVERAGE(OFFSET($R$3,0,0,'Données projet'!$E$9+1,1))-AVERAGE(OFFSET($H$3,0,0,'Données projet'!$E$9+1,1))</f>
        <v>446.28010102877403</v>
      </c>
      <c r="T67" s="59">
        <f t="shared" si="34"/>
        <v>445.84011537290456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5.8241392029439929</v>
      </c>
      <c r="AA67" s="21">
        <f>EXP(-LN(2)/25)*AA66+(1-EXP(-LN(2)/25))/(LN(2)/25)*Calculateur!V67*Calculateur!X67*VLOOKUP('Données projet'!$B$9,Paramètres!$A$1:$I$89,3,0)*0.475*44/12</f>
        <v>15.099979741207488</v>
      </c>
      <c r="AB67" s="21">
        <f>EXP(-LN(2)/2)*AB66+(1-EXP(-LN(2)/2))/(LN(2)/2)*V67*Y67*VLOOKUP('Données projet'!$B$9,Paramètres!$A$1:$I$89,3,0)*0.475*44/12</f>
        <v>2.7825844844844128E-4</v>
      </c>
      <c r="AC67" s="22">
        <f t="shared" si="3"/>
        <v>20.924397202599931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7.8</v>
      </c>
      <c r="AI67" s="13">
        <f>IF('Données projet'!$A$62&gt;35,AI66+AH67-AQ66,IF(A67&lt;'Données projet'!$A$62,$AF$205^A67,IF(A67='Données projet'!$A$62,'Données projet'!$B$62,AI66+AH67-AQ66)))</f>
        <v>380.19999999999993</v>
      </c>
      <c r="AJ67" s="13">
        <f>AI67*VLOOKUP('Données projet'!$B$10,Paramètres!$A$1:$I$89,3,0)*VLOOKUP('Données projet'!$B$10,Paramètres!$A$1:$I$89,5,0)</f>
        <v>237.24479999999994</v>
      </c>
      <c r="AK67" s="13">
        <f t="shared" si="35"/>
        <v>57.846338010686594</v>
      </c>
      <c r="AL67" s="20">
        <f t="shared" si="4"/>
        <v>513.9503987019458</v>
      </c>
      <c r="AM67" s="59">
        <f t="shared" si="5"/>
        <v>807.28373203527917</v>
      </c>
      <c r="AN67" s="59">
        <f ca="1">AVERAGE(OFFSET($AM$3,0,0,'Données projet'!$E$10+1,1))-AVERAGE(OFFSET($H$3,0,0,'Données projet'!$E$10+1,1))</f>
        <v>285.77483300338548</v>
      </c>
      <c r="AO67" s="59">
        <f t="shared" si="36"/>
        <v>320.55212417690637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4.2554387072673228</v>
      </c>
      <c r="AV67" s="21">
        <f>EXP(-LN(2)/25)*AV66+(1-EXP(-LN(2)/25))/(LN(2)/25)*Calculateur!AQ67*Calculateur!AS67*VLOOKUP('Données projet'!$B$10,Paramètres!$A$1:$I$89,3,0)*0.475*44/12</f>
        <v>10.857606879673176</v>
      </c>
      <c r="AW67" s="21">
        <f>EXP(-LN(2)/2)*AW66+(1-EXP(-LN(2)/2))/(LN(2)/2)*AQ67*AT67*VLOOKUP('Données projet'!$B$10,Paramètres!$A$1:$I$89,3,0)*0.475*44/12</f>
        <v>1.8616631421594147E-4</v>
      </c>
      <c r="AX67" s="21">
        <f t="shared" si="6"/>
        <v>15.113231753254713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20.3</v>
      </c>
      <c r="BD67" s="12">
        <f>IF('Données projet'!$A$88&gt;35,BD66+BC67-BL66,IF(A67&lt;'Données projet'!$A$88,$BA$205^A67,IF(A67='Données projet'!$A$88,'Données projet'!$B$88,BD66+BC67-BL66)))</f>
        <v>705.19999999999948</v>
      </c>
      <c r="BE67" s="13">
        <f>BD67*VLOOKUP('Données projet'!$B$11,Paramètres!$A$1:$I$89,3,0)*VLOOKUP('Données projet'!$B$11,Paramètres!$A$1:$I$89,5,0)</f>
        <v>339.20119999999974</v>
      </c>
      <c r="BF67" s="13">
        <f t="shared" si="37"/>
        <v>79.334886698081149</v>
      </c>
      <c r="BG67" s="20">
        <f t="shared" si="7"/>
        <v>728.95035099915742</v>
      </c>
      <c r="BH67" s="59">
        <f t="shared" si="8"/>
        <v>1022.2836843324908</v>
      </c>
      <c r="BI67" s="59">
        <f ca="1">AVERAGE(OFFSET($BH$3,0,0,'Données projet'!$E$11+1,1))-AVERAGE(OFFSET($H$3,0,0,'Données projet'!$E$11+1,1))</f>
        <v>402.22278907877927</v>
      </c>
      <c r="BJ67" s="59">
        <f t="shared" si="38"/>
        <v>393.06397734082458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14.175041623158419</v>
      </c>
      <c r="BQ67" s="21">
        <f>EXP(-LN(2)/25)*BQ66+(1-EXP(-LN(2)/25))/(LN(2)/25)*Calculateur!BL67*Calculateur!BN67*VLOOKUP('Données projet'!$B$11,Paramètres!$A$1:$I$89,3,0)*0.475*44/12</f>
        <v>17.56652480792599</v>
      </c>
      <c r="BR67" s="21">
        <f>EXP(-LN(2)/2)*BR66+(1-EXP(-LN(2)/2))/(LN(2)/2)*BL67*BO67*VLOOKUP('Données projet'!$B$11,Paramètres!$A$1:$I$89,3,0)*0.475*44/12</f>
        <v>6.7491430156933476E-3</v>
      </c>
      <c r="BS67" s="22">
        <f t="shared" si="9"/>
        <v>31.748315574100101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8.5</v>
      </c>
      <c r="BY67" s="12">
        <f>IF('Données projet'!$A$114&gt;35,BY66+BX67-CG66,IF(A67&lt;'Données projet'!$A$114,$BV$205^A67,IF(A67='Données projet'!$A$114,'Données projet'!$B$114,BY66+BX67-CG66)))</f>
        <v>279</v>
      </c>
      <c r="BZ67" s="13">
        <f>BY67*VLOOKUP('Données projet'!$B$12,Paramètres!$A$1:$I$89,3,0)*VLOOKUP('Données projet'!$B$12,Paramètres!$A$1:$I$89,5,0)</f>
        <v>252.4392</v>
      </c>
      <c r="CA67" s="13">
        <f t="shared" si="39"/>
        <v>61.107963296116218</v>
      </c>
      <c r="CB67" s="20">
        <f t="shared" si="10"/>
        <v>546.09464274073571</v>
      </c>
      <c r="CC67" s="59">
        <f t="shared" si="11"/>
        <v>839.42797607406897</v>
      </c>
      <c r="CD67" s="59">
        <f ca="1">AVERAGE(OFFSET($CC$3,0,0,'Données projet'!$E$12+1,1))-AVERAGE(OFFSET($H$3,0,0,'Données projet'!$E$12+1,1))</f>
        <v>363.51171608224735</v>
      </c>
      <c r="CE67" s="59">
        <f t="shared" si="40"/>
        <v>257.9239334647138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1.2283639046209145</v>
      </c>
      <c r="CL67" s="21">
        <f>EXP(-LN(2)/25)*CL66+(1-EXP(-LN(2)/25))/(LN(2)/25)*Calculateur!CG67*Calculateur!CI67*VLOOKUP('Données projet'!$B$12,Paramètres!$A$1:$I$89,3,0)*0.475*44/12</f>
        <v>4.3955862282094671</v>
      </c>
      <c r="CM67" s="21">
        <f>EXP(-LN(2)/2)*CM66+(1-EXP(-LN(2)/2))/(LN(2)/2)*CG67*CJ67*VLOOKUP('Données projet'!$B$12,Paramètres!$A$1:$I$89,3,0)*0.475*44/12</f>
        <v>1.6443890971455866E-4</v>
      </c>
      <c r="CN67" s="22">
        <f t="shared" si="12"/>
        <v>5.6241145717400967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1">
        <f t="shared" si="32"/>
        <v>10.795076538684501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67">
        <f t="shared" ref="H68:H131" si="56">(B68+E68+F68)*44/12+(C68+D68)*0.475*44/12</f>
        <v>373.94650830487547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15.8</v>
      </c>
      <c r="N68" s="13">
        <f>IF('Données projet'!$A$36&gt;35,N67+M68-V67,IF(A68&lt;'Données projet'!$A$36,$K$205^A68,IF(A68='Données projet'!$A$36,'Données projet'!$B$36,N67+M68-V67)))</f>
        <v>661.9999999999992</v>
      </c>
      <c r="O68" s="13">
        <f>N68*VLOOKUP('Données projet'!$B$9,Paramètres!$A$1:$I$89,3,0)*VLOOKUP('Données projet'!$B$9,Paramètres!$A$1:$I$89,5,0)</f>
        <v>370.05799999999954</v>
      </c>
      <c r="P68" s="13">
        <f t="shared" si="33"/>
        <v>85.679171397668327</v>
      </c>
      <c r="Q68" s="20">
        <f t="shared" si="54"/>
        <v>793.74224018427151</v>
      </c>
      <c r="R68" s="59">
        <f t="shared" si="55"/>
        <v>1087.0755735176049</v>
      </c>
      <c r="S68" s="59">
        <f ca="1">AVERAGE(OFFSET($R$3,0,0,'Données projet'!$E$9+1,1))-AVERAGE(OFFSET($H$3,0,0,'Données projet'!$E$9+1,1))</f>
        <v>446.28010102877403</v>
      </c>
      <c r="T68" s="59">
        <f t="shared" si="34"/>
        <v>445.84011537290456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5.7099313855484075</v>
      </c>
      <c r="AA68" s="21">
        <f>EXP(-LN(2)/25)*AA67+(1-EXP(-LN(2)/25))/(LN(2)/25)*Calculateur!V68*Calculateur!X68*VLOOKUP('Données projet'!$B$9,Paramètres!$A$1:$I$89,3,0)*0.475*44/12</f>
        <v>14.687070001110746</v>
      </c>
      <c r="AB68" s="21">
        <f>EXP(-LN(2)/2)*AB67+(1-EXP(-LN(2)/2))/(LN(2)/2)*V68*Y68*VLOOKUP('Données projet'!$B$9,Paramètres!$A$1:$I$89,3,0)*0.475*44/12</f>
        <v>1.9675843582034019E-4</v>
      </c>
      <c r="AC68" s="22">
        <f t="shared" ref="AC68:AC131" si="57">SUM(Z68:AB68)</f>
        <v>20.397198145094972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7.8</v>
      </c>
      <c r="AI68" s="13">
        <f>IF('Données projet'!$A$62&gt;35,AI67+AH68-AQ67,IF(A68&lt;'Données projet'!$A$62,$AF$205^A68,IF(A68='Données projet'!$A$62,'Données projet'!$B$62,AI67+AH68-AQ67)))</f>
        <v>387.99999999999994</v>
      </c>
      <c r="AJ68" s="13">
        <f>AI68*VLOOKUP('Données projet'!$B$10,Paramètres!$A$1:$I$89,3,0)*VLOOKUP('Données projet'!$B$10,Paramètres!$A$1:$I$89,5,0)</f>
        <v>242.11199999999994</v>
      </c>
      <c r="AK68" s="13">
        <f t="shared" si="35"/>
        <v>58.893705600066006</v>
      </c>
      <c r="AL68" s="20">
        <f t="shared" ref="AL68:AL131" si="58">(AJ68+AK68)*0.475*44/12</f>
        <v>524.2516039201148</v>
      </c>
      <c r="AM68" s="59">
        <f t="shared" ref="AM68:AM131" si="59">AL68+(AD68+AE68)*44/12</f>
        <v>817.58493725344806</v>
      </c>
      <c r="AN68" s="59">
        <f ca="1">AVERAGE(OFFSET($AM$3,0,0,'Données projet'!$E$10+1,1))-AVERAGE(OFFSET($H$3,0,0,'Données projet'!$E$10+1,1))</f>
        <v>285.77483300338548</v>
      </c>
      <c r="AO68" s="59">
        <f t="shared" si="36"/>
        <v>320.55212417690637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4.1719921497791317</v>
      </c>
      <c r="AV68" s="21">
        <f>EXP(-LN(2)/25)*AV67+(1-EXP(-LN(2)/25))/(LN(2)/25)*Calculateur!AQ68*Calculateur!AS68*VLOOKUP('Données projet'!$B$10,Paramètres!$A$1:$I$89,3,0)*0.475*44/12</f>
        <v>10.560705048571782</v>
      </c>
      <c r="AW68" s="21">
        <f>EXP(-LN(2)/2)*AW67+(1-EXP(-LN(2)/2))/(LN(2)/2)*AQ68*AT68*VLOOKUP('Données projet'!$B$10,Paramètres!$A$1:$I$89,3,0)*0.475*44/12</f>
        <v>1.3163946321059777E-4</v>
      </c>
      <c r="AX68" s="21">
        <f t="shared" ref="AX68:AX131" si="60">SUM(AU68:AW68)</f>
        <v>14.732828837814123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20.3</v>
      </c>
      <c r="BD68" s="12">
        <f>IF('Données projet'!$A$88&gt;35,BD67+BC68-BL67,IF(A68&lt;'Données projet'!$A$88,$BA$205^A68,IF(A68='Données projet'!$A$88,'Données projet'!$B$88,BD67+BC68-BL67)))</f>
        <v>725.49999999999943</v>
      </c>
      <c r="BE68" s="13">
        <f>BD68*VLOOKUP('Données projet'!$B$11,Paramètres!$A$1:$I$89,3,0)*VLOOKUP('Données projet'!$B$11,Paramètres!$A$1:$I$89,5,0)</f>
        <v>348.96549999999974</v>
      </c>
      <c r="BF68" s="13">
        <f t="shared" si="37"/>
        <v>81.349460260606179</v>
      </c>
      <c r="BG68" s="20">
        <f t="shared" ref="BG68:BG131" si="61">(BE68+BF68)*0.475*44/12</f>
        <v>749.4652224538886</v>
      </c>
      <c r="BH68" s="59">
        <f t="shared" ref="BH68:BH131" si="62">BG68+(AY68+AZ68)*44/12</f>
        <v>1042.7985557872219</v>
      </c>
      <c r="BI68" s="59">
        <f ca="1">AVERAGE(OFFSET($BH$3,0,0,'Données projet'!$E$11+1,1))-AVERAGE(OFFSET($H$3,0,0,'Données projet'!$E$11+1,1))</f>
        <v>402.22278907877927</v>
      </c>
      <c r="BJ68" s="59">
        <f t="shared" si="38"/>
        <v>393.06397734082458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13.897077702849959</v>
      </c>
      <c r="BQ68" s="21">
        <f>EXP(-LN(2)/25)*BQ67+(1-EXP(-LN(2)/25))/(LN(2)/25)*Calculateur!BL68*Calculateur!BN68*VLOOKUP('Données projet'!$B$11,Paramètres!$A$1:$I$89,3,0)*0.475*44/12</f>
        <v>17.086167263269864</v>
      </c>
      <c r="BR68" s="21">
        <f>EXP(-LN(2)/2)*BR67+(1-EXP(-LN(2)/2))/(LN(2)/2)*BL68*BO68*VLOOKUP('Données projet'!$B$11,Paramètres!$A$1:$I$89,3,0)*0.475*44/12</f>
        <v>4.7723647935945914E-3</v>
      </c>
      <c r="BS68" s="22">
        <f t="shared" ref="BS68:BS131" si="63">SUM(BP68:BR68)</f>
        <v>30.988017330913419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8.5</v>
      </c>
      <c r="BY68" s="12">
        <f>IF('Données projet'!$A$114&gt;35,BY67+BX68-CG67,IF(A68&lt;'Données projet'!$A$114,$BV$205^A68,IF(A68='Données projet'!$A$114,'Données projet'!$B$114,BY67+BX68-CG67)))</f>
        <v>287.5</v>
      </c>
      <c r="BZ68" s="13">
        <f>BY68*VLOOKUP('Données projet'!$B$12,Paramètres!$A$1:$I$89,3,0)*VLOOKUP('Données projet'!$B$12,Paramètres!$A$1:$I$89,5,0)</f>
        <v>260.13</v>
      </c>
      <c r="CA68" s="13">
        <f t="shared" si="39"/>
        <v>62.750087896510983</v>
      </c>
      <c r="CB68" s="20">
        <f t="shared" ref="CB68:CB131" si="64">(BZ68+CA68)*0.475*44/12</f>
        <v>562.34948641975654</v>
      </c>
      <c r="CC68" s="59">
        <f t="shared" ref="CC68:CC131" si="65">CB68+(BT68+BU68)*44/12</f>
        <v>855.68281975308992</v>
      </c>
      <c r="CD68" s="59">
        <f ca="1">AVERAGE(OFFSET($CC$3,0,0,'Données projet'!$E$12+1,1))-AVERAGE(OFFSET($H$3,0,0,'Données projet'!$E$12+1,1))</f>
        <v>363.51171608224735</v>
      </c>
      <c r="CE68" s="59">
        <f t="shared" si="40"/>
        <v>257.9239334647138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1.2042764376793</v>
      </c>
      <c r="CL68" s="21">
        <f>EXP(-LN(2)/25)*CL67+(1-EXP(-LN(2)/25))/(LN(2)/25)*Calculateur!CG68*Calculateur!CI68*VLOOKUP('Données projet'!$B$12,Paramètres!$A$1:$I$89,3,0)*0.475*44/12</f>
        <v>4.2753886916452455</v>
      </c>
      <c r="CM68" s="21">
        <f>EXP(-LN(2)/2)*CM67+(1-EXP(-LN(2)/2))/(LN(2)/2)*CG68*CJ68*VLOOKUP('Données projet'!$B$12,Paramètres!$A$1:$I$89,3,0)*0.475*44/12</f>
        <v>1.1627586815008689E-4</v>
      </c>
      <c r="CN68" s="22">
        <f t="shared" ref="CN68:CN131" si="66">SUM(CK68:CM68)</f>
        <v>5.4797814051926954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1">
        <f t="shared" ref="D69:D132" si="86">IFERROR(EXP(-1.0587+0.8836*LN(C69)+0.284),0)</f>
        <v>10.941692499899732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67">
        <f t="shared" si="56"/>
        <v>375.15281443732528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15.8</v>
      </c>
      <c r="N69" s="13">
        <f>IF('Données projet'!$A$36&gt;35,N68+M69-V68,IF(A69&lt;'Données projet'!$A$36,$K$205^A69,IF(A69='Données projet'!$A$36,'Données projet'!$B$36,N68+M69-V68)))</f>
        <v>677.79999999999916</v>
      </c>
      <c r="O69" s="13">
        <f>N69*VLOOKUP('Données projet'!$B$9,Paramètres!$A$1:$I$89,3,0)*VLOOKUP('Données projet'!$B$9,Paramètres!$A$1:$I$89,5,0)</f>
        <v>378.89019999999948</v>
      </c>
      <c r="P69" s="13">
        <f t="shared" ref="P69:P132" si="87">EXP(-1.0587+0.8836*LN(O69)+0.284)</f>
        <v>87.483566664488848</v>
      </c>
      <c r="Q69" s="20">
        <f t="shared" si="54"/>
        <v>812.26764360731715</v>
      </c>
      <c r="R69" s="59">
        <f t="shared" si="55"/>
        <v>1105.6009769406505</v>
      </c>
      <c r="S69" s="59">
        <f ca="1">AVERAGE(OFFSET($R$3,0,0,'Données projet'!$E$9+1,1))-AVERAGE(OFFSET($H$3,0,0,'Données projet'!$E$9+1,1))</f>
        <v>446.28010102877403</v>
      </c>
      <c r="T69" s="59">
        <f t="shared" ref="T69:T132" si="88">$T$3</f>
        <v>445.84011537290456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5.5979631137920594</v>
      </c>
      <c r="AA69" s="21">
        <f>EXP(-LN(2)/25)*AA68+(1-EXP(-LN(2)/25))/(LN(2)/25)*Calculateur!V69*Calculateur!X69*VLOOKUP('Données projet'!$B$9,Paramètres!$A$1:$I$89,3,0)*0.475*44/12</f>
        <v>14.285451299570928</v>
      </c>
      <c r="AB69" s="21">
        <f>EXP(-LN(2)/2)*AB68+(1-EXP(-LN(2)/2))/(LN(2)/2)*V69*Y69*VLOOKUP('Données projet'!$B$9,Paramètres!$A$1:$I$89,3,0)*0.475*44/12</f>
        <v>1.3912922422422064E-4</v>
      </c>
      <c r="AC69" s="22">
        <f t="shared" si="57"/>
        <v>19.883553542587212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7.8</v>
      </c>
      <c r="AI69" s="13">
        <f>IF('Données projet'!$A$62&gt;35,AI68+AH69-AQ68,IF(A69&lt;'Données projet'!$A$62,$AF$205^A69,IF(A69='Données projet'!$A$62,'Données projet'!$B$62,AI68+AH69-AQ68)))</f>
        <v>395.79999999999995</v>
      </c>
      <c r="AJ69" s="13">
        <f>AI69*VLOOKUP('Données projet'!$B$10,Paramètres!$A$1:$I$89,3,0)*VLOOKUP('Données projet'!$B$10,Paramètres!$A$1:$I$89,5,0)</f>
        <v>246.97919999999999</v>
      </c>
      <c r="AK69" s="13">
        <f t="shared" ref="AK69:AK132" si="89">EXP(-1.0587+0.8836*LN(AJ69)+0.284)</f>
        <v>59.938625040227144</v>
      </c>
      <c r="AL69" s="20">
        <f t="shared" si="58"/>
        <v>534.54854527839552</v>
      </c>
      <c r="AM69" s="59">
        <f t="shared" si="59"/>
        <v>827.88187861172878</v>
      </c>
      <c r="AN69" s="59">
        <f ca="1">AVERAGE(OFFSET($AM$3,0,0,'Données projet'!$E$10+1,1))-AVERAGE(OFFSET($H$3,0,0,'Données projet'!$E$10+1,1))</f>
        <v>285.77483300338548</v>
      </c>
      <c r="AO69" s="59">
        <f t="shared" ref="AO69:AO132" si="90">$AO$3</f>
        <v>320.55212417690637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4.0901819283859098</v>
      </c>
      <c r="AV69" s="21">
        <f>EXP(-LN(2)/25)*AV68+(1-EXP(-LN(2)/25))/(LN(2)/25)*Calculateur!AQ69*Calculateur!AS69*VLOOKUP('Données projet'!$B$10,Paramètres!$A$1:$I$89,3,0)*0.475*44/12</f>
        <v>10.271922013655244</v>
      </c>
      <c r="AW69" s="21">
        <f>EXP(-LN(2)/2)*AW68+(1-EXP(-LN(2)/2))/(LN(2)/2)*AQ69*AT69*VLOOKUP('Données projet'!$B$10,Paramètres!$A$1:$I$89,3,0)*0.475*44/12</f>
        <v>9.3083157107970733E-5</v>
      </c>
      <c r="AX69" s="21">
        <f t="shared" si="60"/>
        <v>14.362197025198261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20.3</v>
      </c>
      <c r="BD69" s="12">
        <f>IF('Données projet'!$A$88&gt;35,BD68+BC69-BL68,IF(A69&lt;'Données projet'!$A$88,$BA$205^A69,IF(A69='Données projet'!$A$88,'Données projet'!$B$88,BD68+BC69-BL68)))</f>
        <v>745.79999999999939</v>
      </c>
      <c r="BE69" s="13">
        <f>BD69*VLOOKUP('Données projet'!$B$11,Paramètres!$A$1:$I$89,3,0)*VLOOKUP('Données projet'!$B$11,Paramètres!$A$1:$I$89,5,0)</f>
        <v>358.72979999999967</v>
      </c>
      <c r="BF69" s="13">
        <f t="shared" ref="BF69:BF132" si="91">EXP(-1.0587+0.8836*LN(BE69)+0.284)</f>
        <v>83.357482220164229</v>
      </c>
      <c r="BG69" s="20">
        <f t="shared" si="61"/>
        <v>769.96868320011879</v>
      </c>
      <c r="BH69" s="59">
        <f t="shared" si="62"/>
        <v>1063.3020165334522</v>
      </c>
      <c r="BI69" s="59">
        <f ca="1">AVERAGE(OFFSET($BH$3,0,0,'Données projet'!$E$11+1,1))-AVERAGE(OFFSET($H$3,0,0,'Données projet'!$E$11+1,1))</f>
        <v>402.22278907877927</v>
      </c>
      <c r="BJ69" s="59">
        <f t="shared" ref="BJ69:BJ132" si="92">$BJ$3</f>
        <v>393.06397734082458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13.624564485477498</v>
      </c>
      <c r="BQ69" s="21">
        <f>EXP(-LN(2)/25)*BQ68+(1-EXP(-LN(2)/25))/(LN(2)/25)*Calculateur!BL69*Calculateur!BN69*VLOOKUP('Données projet'!$B$11,Paramètres!$A$1:$I$89,3,0)*0.475*44/12</f>
        <v>16.618945120933265</v>
      </c>
      <c r="BR69" s="21">
        <f>EXP(-LN(2)/2)*BR68+(1-EXP(-LN(2)/2))/(LN(2)/2)*BL69*BO69*VLOOKUP('Données projet'!$B$11,Paramètres!$A$1:$I$89,3,0)*0.475*44/12</f>
        <v>3.3745715078466738E-3</v>
      </c>
      <c r="BS69" s="22">
        <f t="shared" si="63"/>
        <v>30.246884177918609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8.5</v>
      </c>
      <c r="BY69" s="12">
        <f>IF('Données projet'!$A$114&gt;35,BY68+BX69-CG68,IF(A69&lt;'Données projet'!$A$114,$BV$205^A69,IF(A69='Données projet'!$A$114,'Données projet'!$B$114,BY68+BX69-CG68)))</f>
        <v>296</v>
      </c>
      <c r="BZ69" s="13">
        <f>BY69*VLOOKUP('Données projet'!$B$12,Paramètres!$A$1:$I$89,3,0)*VLOOKUP('Données projet'!$B$12,Paramètres!$A$1:$I$89,5,0)</f>
        <v>267.82079999999996</v>
      </c>
      <c r="CA69" s="13">
        <f t="shared" ref="CA69:CA132" si="93">EXP(-1.0587+0.8836*LN(BZ69)+0.284)</f>
        <v>64.386570147897302</v>
      </c>
      <c r="CB69" s="20">
        <f t="shared" si="64"/>
        <v>578.59450300758772</v>
      </c>
      <c r="CC69" s="59">
        <f t="shared" si="65"/>
        <v>871.92783634092098</v>
      </c>
      <c r="CD69" s="59">
        <f ca="1">AVERAGE(OFFSET($CC$3,0,0,'Données projet'!$E$12+1,1))-AVERAGE(OFFSET($H$3,0,0,'Données projet'!$E$12+1,1))</f>
        <v>363.51171608224735</v>
      </c>
      <c r="CE69" s="59">
        <f t="shared" ref="CE69:CE132" si="94">$CE$3</f>
        <v>257.9239334647138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1.1806613112725066</v>
      </c>
      <c r="CL69" s="21">
        <f>EXP(-LN(2)/25)*CL68+(1-EXP(-LN(2)/25))/(LN(2)/25)*Calculateur!CG69*Calculateur!CI69*VLOOKUP('Données projet'!$B$12,Paramètres!$A$1:$I$89,3,0)*0.475*44/12</f>
        <v>4.1584779630392861</v>
      </c>
      <c r="CM69" s="21">
        <f>EXP(-LN(2)/2)*CM68+(1-EXP(-LN(2)/2))/(LN(2)/2)*CG69*CJ69*VLOOKUP('Données projet'!$B$12,Paramètres!$A$1:$I$89,3,0)*0.475*44/12</f>
        <v>8.2219454857279344E-5</v>
      </c>
      <c r="CN69" s="22">
        <f t="shared" si="66"/>
        <v>5.3392214937666491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1">
        <f t="shared" si="86"/>
        <v>11.088050101306514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67">
        <f t="shared" si="56"/>
        <v>376.3586705931088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15.8</v>
      </c>
      <c r="N70" s="13">
        <f>IF('Données projet'!$A$36&gt;35,N69+M70-V69,IF(A70&lt;'Données projet'!$A$36,$K$205^A70,IF(A70='Données projet'!$A$36,'Données projet'!$B$36,N69+M70-V69)))</f>
        <v>693.59999999999911</v>
      </c>
      <c r="O70" s="13">
        <f>N70*VLOOKUP('Données projet'!$B$9,Paramètres!$A$1:$I$89,3,0)*VLOOKUP('Données projet'!$B$9,Paramètres!$A$1:$I$89,5,0)</f>
        <v>387.72239999999948</v>
      </c>
      <c r="P70" s="13">
        <f t="shared" si="87"/>
        <v>89.283072113397623</v>
      </c>
      <c r="Q70" s="20">
        <f t="shared" si="54"/>
        <v>830.78453059749984</v>
      </c>
      <c r="R70" s="59">
        <f t="shared" si="55"/>
        <v>1124.1178639308332</v>
      </c>
      <c r="S70" s="59">
        <f ca="1">AVERAGE(OFFSET($R$3,0,0,'Données projet'!$E$9+1,1))-AVERAGE(OFFSET($H$3,0,0,'Données projet'!$E$9+1,1))</f>
        <v>446.28010102877403</v>
      </c>
      <c r="T70" s="59">
        <f t="shared" si="88"/>
        <v>445.84011537290456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5.4881904715509506</v>
      </c>
      <c r="AA70" s="21">
        <f>EXP(-LN(2)/25)*AA69+(1-EXP(-LN(2)/25))/(LN(2)/25)*Calculateur!V70*Calculateur!X70*VLOOKUP('Données projet'!$B$9,Paramètres!$A$1:$I$89,3,0)*0.475*44/12</f>
        <v>13.894814882544928</v>
      </c>
      <c r="AB70" s="21">
        <f>EXP(-LN(2)/2)*AB69+(1-EXP(-LN(2)/2))/(LN(2)/2)*V70*Y70*VLOOKUP('Données projet'!$B$9,Paramètres!$A$1:$I$89,3,0)*0.475*44/12</f>
        <v>9.8379217910170093E-5</v>
      </c>
      <c r="AC70" s="22">
        <f t="shared" si="57"/>
        <v>19.383103733313789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7.8</v>
      </c>
      <c r="AI70" s="13">
        <f>IF('Données projet'!$A$62&gt;35,AI69+AH70-AQ69,IF(A70&lt;'Données projet'!$A$62,$AF$205^A70,IF(A70='Données projet'!$A$62,'Données projet'!$B$62,AI69+AH70-AQ69)))</f>
        <v>403.59999999999997</v>
      </c>
      <c r="AJ70" s="13">
        <f>AI70*VLOOKUP('Données projet'!$B$10,Paramètres!$A$1:$I$89,3,0)*VLOOKUP('Données projet'!$B$10,Paramètres!$A$1:$I$89,5,0)</f>
        <v>251.84639999999999</v>
      </c>
      <c r="AK70" s="13">
        <f t="shared" si="89"/>
        <v>60.981150137731454</v>
      </c>
      <c r="AL70" s="20">
        <f t="shared" si="58"/>
        <v>544.84131648988216</v>
      </c>
      <c r="AM70" s="59">
        <f t="shared" si="59"/>
        <v>838.17464982321553</v>
      </c>
      <c r="AN70" s="59">
        <f ca="1">AVERAGE(OFFSET($AM$3,0,0,'Données projet'!$E$10+1,1))-AVERAGE(OFFSET($H$3,0,0,'Données projet'!$E$10+1,1))</f>
        <v>285.77483300338548</v>
      </c>
      <c r="AO70" s="59">
        <f t="shared" si="90"/>
        <v>320.55212417690637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4.0099759555349008</v>
      </c>
      <c r="AV70" s="21">
        <f>EXP(-LN(2)/25)*AV69+(1-EXP(-LN(2)/25))/(LN(2)/25)*Calculateur!AQ70*Calculateur!AS70*VLOOKUP('Données projet'!$B$10,Paramètres!$A$1:$I$89,3,0)*0.475*44/12</f>
        <v>9.9910357660149387</v>
      </c>
      <c r="AW70" s="21">
        <f>EXP(-LN(2)/2)*AW69+(1-EXP(-LN(2)/2))/(LN(2)/2)*AQ70*AT70*VLOOKUP('Données projet'!$B$10,Paramètres!$A$1:$I$89,3,0)*0.475*44/12</f>
        <v>6.5819731605298886E-5</v>
      </c>
      <c r="AX70" s="21">
        <f t="shared" si="60"/>
        <v>14.001077541281445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20.3</v>
      </c>
      <c r="BD70" s="12">
        <f>IF('Données projet'!$A$88&gt;35,BD69+BC70-BL69,IF(A70&lt;'Données projet'!$A$88,$BA$205^A70,IF(A70='Données projet'!$A$88,'Données projet'!$B$88,BD69+BC70-BL69)))</f>
        <v>766.09999999999934</v>
      </c>
      <c r="BE70" s="13">
        <f>BD70*VLOOKUP('Données projet'!$B$11,Paramètres!$A$1:$I$89,3,0)*VLOOKUP('Données projet'!$B$11,Paramètres!$A$1:$I$89,5,0)</f>
        <v>368.49409999999972</v>
      </c>
      <c r="BF70" s="13">
        <f t="shared" si="91"/>
        <v>85.359151397578415</v>
      </c>
      <c r="BG70" s="20">
        <f t="shared" si="61"/>
        <v>790.46107951744852</v>
      </c>
      <c r="BH70" s="59">
        <f t="shared" si="62"/>
        <v>1083.7944128507818</v>
      </c>
      <c r="BI70" s="59">
        <f ca="1">AVERAGE(OFFSET($BH$3,0,0,'Données projet'!$E$11+1,1))-AVERAGE(OFFSET($H$3,0,0,'Données projet'!$E$11+1,1))</f>
        <v>402.22278907877927</v>
      </c>
      <c r="BJ70" s="59">
        <f t="shared" si="92"/>
        <v>393.06397734082458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13.357395086081059</v>
      </c>
      <c r="BQ70" s="21">
        <f>EXP(-LN(2)/25)*BQ69+(1-EXP(-LN(2)/25))/(LN(2)/25)*Calculateur!BL70*Calculateur!BN70*VLOOKUP('Données projet'!$B$11,Paramètres!$A$1:$I$89,3,0)*0.475*44/12</f>
        <v>16.164499192649004</v>
      </c>
      <c r="BR70" s="21">
        <f>EXP(-LN(2)/2)*BR69+(1-EXP(-LN(2)/2))/(LN(2)/2)*BL70*BO70*VLOOKUP('Données projet'!$B$11,Paramètres!$A$1:$I$89,3,0)*0.475*44/12</f>
        <v>2.3861823967972957E-3</v>
      </c>
      <c r="BS70" s="22">
        <f t="shared" si="63"/>
        <v>29.52428046112686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8.5</v>
      </c>
      <c r="BY70" s="12">
        <f>IF('Données projet'!$A$114&gt;35,BY69+BX70-CG69,IF(A70&lt;'Données projet'!$A$114,$BV$205^A70,IF(A70='Données projet'!$A$114,'Données projet'!$B$114,BY69+BX70-CG69)))</f>
        <v>304.5</v>
      </c>
      <c r="BZ70" s="13">
        <f>BY70*VLOOKUP('Données projet'!$B$12,Paramètres!$A$1:$I$89,3,0)*VLOOKUP('Données projet'!$B$12,Paramètres!$A$1:$I$89,5,0)</f>
        <v>275.51159999999999</v>
      </c>
      <c r="CA70" s="13">
        <f t="shared" si="93"/>
        <v>66.017590685458188</v>
      </c>
      <c r="CB70" s="20">
        <f t="shared" si="64"/>
        <v>594.83000711050624</v>
      </c>
      <c r="CC70" s="59">
        <f t="shared" si="65"/>
        <v>888.16334044383962</v>
      </c>
      <c r="CD70" s="59">
        <f ca="1">AVERAGE(OFFSET($CC$3,0,0,'Données projet'!$E$12+1,1))-AVERAGE(OFFSET($H$3,0,0,'Données projet'!$E$12+1,1))</f>
        <v>363.51171608224735</v>
      </c>
      <c r="CE70" s="59">
        <f t="shared" si="94"/>
        <v>257.9239334647138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1.1575092630907455</v>
      </c>
      <c r="CL70" s="21">
        <f>EXP(-LN(2)/25)*CL69+(1-EXP(-LN(2)/25))/(LN(2)/25)*Calculateur!CG70*Calculateur!CI70*VLOOKUP('Données projet'!$B$12,Paramètres!$A$1:$I$89,3,0)*0.475*44/12</f>
        <v>4.0447641644551249</v>
      </c>
      <c r="CM70" s="21">
        <f>EXP(-LN(2)/2)*CM69+(1-EXP(-LN(2)/2))/(LN(2)/2)*CG70*CJ70*VLOOKUP('Données projet'!$B$12,Paramètres!$A$1:$I$89,3,0)*0.475*44/12</f>
        <v>5.8137934075043451E-5</v>
      </c>
      <c r="CN70" s="22">
        <f t="shared" si="66"/>
        <v>5.2023315654799456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1">
        <f t="shared" si="86"/>
        <v>11.234153644457548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67">
        <f t="shared" si="56"/>
        <v>377.56408426409683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15.8</v>
      </c>
      <c r="N71" s="13">
        <f>IF('Données projet'!$A$36&gt;35,N70+M71-V70,IF(A71&lt;'Données projet'!$A$36,$K$205^A71,IF(A71='Données projet'!$A$36,'Données projet'!$B$36,N70+M71-V70)))</f>
        <v>709.39999999999907</v>
      </c>
      <c r="O71" s="13">
        <f>N71*VLOOKUP('Données projet'!$B$9,Paramètres!$A$1:$I$89,3,0)*VLOOKUP('Données projet'!$B$9,Paramètres!$A$1:$I$89,5,0)</f>
        <v>396.55459999999948</v>
      </c>
      <c r="P71" s="13">
        <f t="shared" si="87"/>
        <v>91.077811955600495</v>
      </c>
      <c r="Q71" s="20">
        <f t="shared" si="54"/>
        <v>849.29311748933662</v>
      </c>
      <c r="R71" s="59">
        <f t="shared" si="55"/>
        <v>1142.62645082267</v>
      </c>
      <c r="S71" s="59">
        <f ca="1">AVERAGE(OFFSET($R$3,0,0,'Données projet'!$E$9+1,1))-AVERAGE(OFFSET($H$3,0,0,'Données projet'!$E$9+1,1))</f>
        <v>446.28010102877403</v>
      </c>
      <c r="T71" s="59">
        <f t="shared" si="88"/>
        <v>445.84011537290456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5.3805704038694895</v>
      </c>
      <c r="AA71" s="21">
        <f>EXP(-LN(2)/25)*AA70+(1-EXP(-LN(2)/25))/(LN(2)/25)*Calculateur!V71*Calculateur!X71*VLOOKUP('Données projet'!$B$9,Paramètres!$A$1:$I$89,3,0)*0.475*44/12</f>
        <v>13.514860438885179</v>
      </c>
      <c r="AB71" s="21">
        <f>EXP(-LN(2)/2)*AB70+(1-EXP(-LN(2)/2))/(LN(2)/2)*V71*Y71*VLOOKUP('Données projet'!$B$9,Paramètres!$A$1:$I$89,3,0)*0.475*44/12</f>
        <v>6.9564612112110321E-5</v>
      </c>
      <c r="AC71" s="22">
        <f t="shared" si="57"/>
        <v>18.895500407366782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7.8</v>
      </c>
      <c r="AI71" s="13">
        <f>IF('Données projet'!$A$62&gt;35,AI70+AH71-AQ70,IF(A71&lt;'Données projet'!$A$62,$AF$205^A71,IF(A71='Données projet'!$A$62,'Données projet'!$B$62,AI70+AH71-AQ70)))</f>
        <v>411.4</v>
      </c>
      <c r="AJ71" s="13">
        <f>AI71*VLOOKUP('Données projet'!$B$10,Paramètres!$A$1:$I$89,3,0)*VLOOKUP('Données projet'!$B$10,Paramètres!$A$1:$I$89,5,0)</f>
        <v>256.71359999999999</v>
      </c>
      <c r="AK71" s="13">
        <f t="shared" si="89"/>
        <v>62.021332500424947</v>
      </c>
      <c r="AL71" s="20">
        <f t="shared" si="58"/>
        <v>555.13000743824</v>
      </c>
      <c r="AM71" s="59">
        <f t="shared" si="59"/>
        <v>848.46334077157326</v>
      </c>
      <c r="AN71" s="59">
        <f ca="1">AVERAGE(OFFSET($AM$3,0,0,'Données projet'!$E$10+1,1))-AVERAGE(OFFSET($H$3,0,0,'Données projet'!$E$10+1,1))</f>
        <v>285.77483300338548</v>
      </c>
      <c r="AO71" s="59">
        <f t="shared" si="90"/>
        <v>320.55212417690637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3.9313427728906873</v>
      </c>
      <c r="AV71" s="21">
        <f>EXP(-LN(2)/25)*AV70+(1-EXP(-LN(2)/25))/(LN(2)/25)*Calculateur!AQ71*Calculateur!AS71*VLOOKUP('Données projet'!$B$10,Paramètres!$A$1:$I$89,3,0)*0.475*44/12</f>
        <v>9.7178303675875242</v>
      </c>
      <c r="AW71" s="21">
        <f>EXP(-LN(2)/2)*AW70+(1-EXP(-LN(2)/2))/(LN(2)/2)*AQ71*AT71*VLOOKUP('Données projet'!$B$10,Paramètres!$A$1:$I$89,3,0)*0.475*44/12</f>
        <v>4.6541578553985367E-5</v>
      </c>
      <c r="AX71" s="21">
        <f t="shared" si="60"/>
        <v>13.649219682056765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20.3</v>
      </c>
      <c r="BD71" s="12">
        <f>IF('Données projet'!$A$88&gt;35,BD70+BC71-BL70,IF(A71&lt;'Données projet'!$A$88,$BA$205^A71,IF(A71='Données projet'!$A$88,'Données projet'!$B$88,BD70+BC71-BL70)))</f>
        <v>786.3999999999993</v>
      </c>
      <c r="BE71" s="13">
        <f>BD71*VLOOKUP('Données projet'!$B$11,Paramètres!$A$1:$I$89,3,0)*VLOOKUP('Données projet'!$B$11,Paramètres!$A$1:$I$89,5,0)</f>
        <v>378.25839999999965</v>
      </c>
      <c r="BF71" s="13">
        <f t="shared" si="91"/>
        <v>87.354655477034314</v>
      </c>
      <c r="BG71" s="20">
        <f t="shared" si="61"/>
        <v>810.94273828916755</v>
      </c>
      <c r="BH71" s="59">
        <f t="shared" si="62"/>
        <v>1104.2760716225009</v>
      </c>
      <c r="BI71" s="59">
        <f ca="1">AVERAGE(OFFSET($BH$3,0,0,'Données projet'!$E$11+1,1))-AVERAGE(OFFSET($H$3,0,0,'Données projet'!$E$11+1,1))</f>
        <v>402.22278907877927</v>
      </c>
      <c r="BJ71" s="59">
        <f t="shared" si="92"/>
        <v>393.06397734082458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13.095464715649543</v>
      </c>
      <c r="BQ71" s="21">
        <f>EXP(-LN(2)/25)*BQ70+(1-EXP(-LN(2)/25))/(LN(2)/25)*Calculateur!BL71*Calculateur!BN71*VLOOKUP('Données projet'!$B$11,Paramètres!$A$1:$I$89,3,0)*0.475*44/12</f>
        <v>15.722480112171949</v>
      </c>
      <c r="BR71" s="21">
        <f>EXP(-LN(2)/2)*BR70+(1-EXP(-LN(2)/2))/(LN(2)/2)*BL71*BO71*VLOOKUP('Données projet'!$B$11,Paramètres!$A$1:$I$89,3,0)*0.475*44/12</f>
        <v>1.6872857539233369E-3</v>
      </c>
      <c r="BS71" s="22">
        <f t="shared" si="63"/>
        <v>28.819632113575416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8.5</v>
      </c>
      <c r="BY71" s="12">
        <f>IF('Données projet'!$A$114&gt;35,BY70+BX71-CG70,IF(A71&lt;'Données projet'!$A$114,$BV$205^A71,IF(A71='Données projet'!$A$114,'Données projet'!$B$114,BY70+BX71-CG70)))</f>
        <v>313</v>
      </c>
      <c r="BZ71" s="13">
        <f>BY71*VLOOKUP('Données projet'!$B$12,Paramètres!$A$1:$I$89,3,0)*VLOOKUP('Données projet'!$B$12,Paramètres!$A$1:$I$89,5,0)</f>
        <v>283.20240000000001</v>
      </c>
      <c r="CA71" s="13">
        <f t="shared" si="93"/>
        <v>67.643319485855841</v>
      </c>
      <c r="CB71" s="20">
        <f t="shared" si="64"/>
        <v>611.05629477119896</v>
      </c>
      <c r="CC71" s="59">
        <f t="shared" si="65"/>
        <v>904.38962810453222</v>
      </c>
      <c r="CD71" s="59">
        <f ca="1">AVERAGE(OFFSET($CC$3,0,0,'Données projet'!$E$12+1,1))-AVERAGE(OFFSET($H$3,0,0,'Données projet'!$E$12+1,1))</f>
        <v>363.51171608224735</v>
      </c>
      <c r="CE71" s="59">
        <f t="shared" si="94"/>
        <v>257.9239334647138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1.1348112124524736</v>
      </c>
      <c r="CL71" s="21">
        <f>EXP(-LN(2)/25)*CL70+(1-EXP(-LN(2)/25))/(LN(2)/25)*Calculateur!CG71*Calculateur!CI71*VLOOKUP('Données projet'!$B$12,Paramètres!$A$1:$I$89,3,0)*0.475*44/12</f>
        <v>3.9341598756731964</v>
      </c>
      <c r="CM71" s="21">
        <f>EXP(-LN(2)/2)*CM70+(1-EXP(-LN(2)/2))/(LN(2)/2)*CG71*CJ71*VLOOKUP('Données projet'!$B$12,Paramètres!$A$1:$I$89,3,0)*0.475*44/12</f>
        <v>4.1109727428639679E-5</v>
      </c>
      <c r="CN71" s="22">
        <f t="shared" si="66"/>
        <v>5.0690121978530982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1">
        <f t="shared" si="86"/>
        <v>11.380007297126165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67">
        <f t="shared" si="56"/>
        <v>378.76906270916135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15.8</v>
      </c>
      <c r="N72" s="13">
        <f>IF('Données projet'!$A$36&gt;35,N71+M72-V71,IF(A72&lt;'Données projet'!$A$36,$K$205^A72,IF(A72='Données projet'!$A$36,'Données projet'!$B$36,N71+M72-V71)))</f>
        <v>725.19999999999902</v>
      </c>
      <c r="O72" s="13">
        <f>N72*VLOOKUP('Données projet'!$B$9,Paramètres!$A$1:$I$89,3,0)*VLOOKUP('Données projet'!$B$9,Paramètres!$A$1:$I$89,5,0)</f>
        <v>405.38679999999943</v>
      </c>
      <c r="P72" s="13">
        <f t="shared" si="87"/>
        <v>92.867904553465792</v>
      </c>
      <c r="Q72" s="20">
        <f t="shared" si="54"/>
        <v>867.79361043061851</v>
      </c>
      <c r="R72" s="59">
        <f t="shared" si="55"/>
        <v>1161.1269437639519</v>
      </c>
      <c r="S72" s="59">
        <f ca="1">AVERAGE(OFFSET($R$3,0,0,'Données projet'!$E$9+1,1))-AVERAGE(OFFSET($H$3,0,0,'Données projet'!$E$9+1,1))</f>
        <v>446.28010102877403</v>
      </c>
      <c r="T72" s="59">
        <f t="shared" si="88"/>
        <v>445.84011537290456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5.2750607000735021</v>
      </c>
      <c r="AA72" s="21">
        <f>EXP(-LN(2)/25)*AA71+(1-EXP(-LN(2)/25))/(LN(2)/25)*Calculateur!V72*Calculateur!X72*VLOOKUP('Données projet'!$B$9,Paramètres!$A$1:$I$89,3,0)*0.475*44/12</f>
        <v>13.145295869468242</v>
      </c>
      <c r="AB72" s="21">
        <f>EXP(-LN(2)/2)*AB71+(1-EXP(-LN(2)/2))/(LN(2)/2)*V72*Y72*VLOOKUP('Données projet'!$B$9,Paramètres!$A$1:$I$89,3,0)*0.475*44/12</f>
        <v>4.9189608955085047E-5</v>
      </c>
      <c r="AC72" s="22">
        <f t="shared" si="57"/>
        <v>18.4204057591507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7.8</v>
      </c>
      <c r="AI72" s="13">
        <f>IF('Données projet'!$A$62&gt;35,AI71+AH72-AQ71,IF(A72&lt;'Données projet'!$A$62,$AF$205^A72,IF(A72='Données projet'!$A$62,'Données projet'!$B$62,AI71+AH72-AQ71)))</f>
        <v>419.2</v>
      </c>
      <c r="AJ72" s="13">
        <f>AI72*VLOOKUP('Données projet'!$B$10,Paramètres!$A$1:$I$89,3,0)*VLOOKUP('Données projet'!$B$10,Paramètres!$A$1:$I$89,5,0)</f>
        <v>261.58080000000001</v>
      </c>
      <c r="AK72" s="13">
        <f t="shared" si="89"/>
        <v>63.05922166723839</v>
      </c>
      <c r="AL72" s="20">
        <f t="shared" si="58"/>
        <v>565.4147044037735</v>
      </c>
      <c r="AM72" s="59">
        <f t="shared" si="59"/>
        <v>858.74803773710687</v>
      </c>
      <c r="AN72" s="59">
        <f ca="1">AVERAGE(OFFSET($AM$3,0,0,'Données projet'!$E$10+1,1))-AVERAGE(OFFSET($H$3,0,0,'Données projet'!$E$10+1,1))</f>
        <v>285.77483300338548</v>
      </c>
      <c r="AO72" s="59">
        <f t="shared" si="90"/>
        <v>320.55212417690637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3.8542515389966212</v>
      </c>
      <c r="AV72" s="21">
        <f>EXP(-LN(2)/25)*AV71+(1-EXP(-LN(2)/25))/(LN(2)/25)*Calculateur!AQ72*Calculateur!AS72*VLOOKUP('Données projet'!$B$10,Paramètres!$A$1:$I$89,3,0)*0.475*44/12</f>
        <v>9.452095785147355</v>
      </c>
      <c r="AW72" s="21">
        <f>EXP(-LN(2)/2)*AW71+(1-EXP(-LN(2)/2))/(LN(2)/2)*AQ72*AT72*VLOOKUP('Données projet'!$B$10,Paramètres!$A$1:$I$89,3,0)*0.475*44/12</f>
        <v>3.2909865802649443E-5</v>
      </c>
      <c r="AX72" s="21">
        <f t="shared" si="60"/>
        <v>13.306380234009779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20.3</v>
      </c>
      <c r="BD72" s="12">
        <f>IF('Données projet'!$A$88&gt;35,BD71+BC72-BL71,IF(A72&lt;'Données projet'!$A$88,$BA$205^A72,IF(A72='Données projet'!$A$88,'Données projet'!$B$88,BD71+BC72-BL71)))</f>
        <v>806.69999999999925</v>
      </c>
      <c r="BE72" s="13">
        <f>BD72*VLOOKUP('Données projet'!$B$11,Paramètres!$A$1:$I$89,3,0)*VLOOKUP('Données projet'!$B$11,Paramètres!$A$1:$I$89,5,0)</f>
        <v>388.02269999999965</v>
      </c>
      <c r="BF72" s="13">
        <f t="shared" si="91"/>
        <v>89.344171901036972</v>
      </c>
      <c r="BG72" s="20">
        <f t="shared" si="61"/>
        <v>831.41396856097208</v>
      </c>
      <c r="BH72" s="59">
        <f t="shared" si="62"/>
        <v>1124.7473018943053</v>
      </c>
      <c r="BI72" s="59">
        <f ca="1">AVERAGE(OFFSET($BH$3,0,0,'Données projet'!$E$11+1,1))-AVERAGE(OFFSET($H$3,0,0,'Données projet'!$E$11+1,1))</f>
        <v>402.22278907877927</v>
      </c>
      <c r="BJ72" s="59">
        <f t="shared" si="92"/>
        <v>393.06397734082458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12.838670640020437</v>
      </c>
      <c r="BQ72" s="21">
        <f>EXP(-LN(2)/25)*BQ71+(1-EXP(-LN(2)/25))/(LN(2)/25)*Calculateur!BL72*Calculateur!BN72*VLOOKUP('Données projet'!$B$11,Paramètres!$A$1:$I$89,3,0)*0.475*44/12</f>
        <v>15.292548066695312</v>
      </c>
      <c r="BR72" s="21">
        <f>EXP(-LN(2)/2)*BR71+(1-EXP(-LN(2)/2))/(LN(2)/2)*BL72*BO72*VLOOKUP('Données projet'!$B$11,Paramètres!$A$1:$I$89,3,0)*0.475*44/12</f>
        <v>1.1930911983986478E-3</v>
      </c>
      <c r="BS72" s="22">
        <f t="shared" si="63"/>
        <v>28.132411797914148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8.5</v>
      </c>
      <c r="BY72" s="12">
        <f>IF('Données projet'!$A$114&gt;35,BY71+BX72-CG71,IF(A72&lt;'Données projet'!$A$114,$BV$205^A72,IF(A72='Données projet'!$A$114,'Données projet'!$B$114,BY71+BX72-CG71)))</f>
        <v>321.5</v>
      </c>
      <c r="BZ72" s="13">
        <f>BY72*VLOOKUP('Données projet'!$B$12,Paramètres!$A$1:$I$89,3,0)*VLOOKUP('Données projet'!$B$12,Paramètres!$A$1:$I$89,5,0)</f>
        <v>290.89320000000004</v>
      </c>
      <c r="CA72" s="13">
        <f t="shared" si="93"/>
        <v>69.263916768293996</v>
      </c>
      <c r="CB72" s="20">
        <f t="shared" si="64"/>
        <v>627.27364503811202</v>
      </c>
      <c r="CC72" s="59">
        <f t="shared" si="65"/>
        <v>920.60697837144539</v>
      </c>
      <c r="CD72" s="59">
        <f ca="1">AVERAGE(OFFSET($CC$3,0,0,'Données projet'!$E$12+1,1))-AVERAGE(OFFSET($H$3,0,0,'Données projet'!$E$12+1,1))</f>
        <v>363.51171608224735</v>
      </c>
      <c r="CE72" s="59">
        <f t="shared" si="94"/>
        <v>257.9239334647138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1.1125582567427745</v>
      </c>
      <c r="CL72" s="21">
        <f>EXP(-LN(2)/25)*CL71+(1-EXP(-LN(2)/25))/(LN(2)/25)*Calculateur!CG72*Calculateur!CI72*VLOOKUP('Données projet'!$B$12,Paramètres!$A$1:$I$89,3,0)*0.475*44/12</f>
        <v>3.8265800669844365</v>
      </c>
      <c r="CM72" s="21">
        <f>EXP(-LN(2)/2)*CM71+(1-EXP(-LN(2)/2))/(LN(2)/2)*CG72*CJ72*VLOOKUP('Données projet'!$B$12,Paramètres!$A$1:$I$89,3,0)*0.475*44/12</f>
        <v>2.9068967037521732E-5</v>
      </c>
      <c r="CN72" s="22">
        <f t="shared" si="66"/>
        <v>4.939167392694249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1">
        <f t="shared" si="86"/>
        <v>11.525615099344252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67">
        <f t="shared" si="56"/>
        <v>379.97361296469114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741</v>
      </c>
      <c r="L73" s="12">
        <f>VLOOKUP(A73,'Données projet'!$A$35:$I$55,9,0)</f>
        <v>15.8</v>
      </c>
      <c r="M73" s="12">
        <f t="array" ref="M73">INDEX(L:L,MIN(IF(ISNUMBER(L73:L269),ROW(L73:L269),"")))</f>
        <v>15.8</v>
      </c>
      <c r="N73" s="13">
        <f>IF('Données projet'!$A$36&gt;35,N72+M73-V72,IF(A73&lt;'Données projet'!$A$36,$K$205^A73,IF(A73='Données projet'!$A$36,'Données projet'!$B$36,N72+M73-V72)))</f>
        <v>740.99999999999898</v>
      </c>
      <c r="O73" s="13">
        <f>N73*VLOOKUP('Données projet'!$B$9,Paramètres!$A$1:$I$89,3,0)*VLOOKUP('Données projet'!$B$9,Paramètres!$A$1:$I$89,5,0)</f>
        <v>414.21899999999943</v>
      </c>
      <c r="P73" s="13">
        <f t="shared" si="87"/>
        <v>94.653462817267581</v>
      </c>
      <c r="Q73" s="20">
        <f t="shared" si="54"/>
        <v>886.28620607340656</v>
      </c>
      <c r="R73" s="59">
        <f t="shared" si="55"/>
        <v>1179.6195394067399</v>
      </c>
      <c r="S73" s="59">
        <f ca="1">AVERAGE(OFFSET($R$3,0,0,'Données projet'!$E$9+1,1))-AVERAGE(OFFSET($H$3,0,0,'Données projet'!$E$9+1,1))</f>
        <v>446.28010102877403</v>
      </c>
      <c r="T73" s="59">
        <f t="shared" si="88"/>
        <v>445.84011537290456</v>
      </c>
      <c r="U73" s="15">
        <f>IF(ISNA(VLOOKUP(A73,'Données projet'!$A$35:$I$55,3,0)),0,VLOOKUP(A73,'Données projet'!$A$35:$I$55,3,0))</f>
        <v>6</v>
      </c>
      <c r="V73" s="15">
        <f>IF(ISNA(VLOOKUP(A73,'Données projet'!$A$35:$I$55,4,0)),0,VLOOKUP(A73,'Données projet'!$A$35:$I$55,4,0))</f>
        <v>80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5.1716199772143892</v>
      </c>
      <c r="AA73" s="21">
        <f>EXP(-LN(2)/25)*AA72+(1-EXP(-LN(2)/25))/(LN(2)/25)*Calculateur!V73*Calculateur!X73*VLOOKUP('Données projet'!$B$9,Paramètres!$A$1:$I$89,3,0)*0.475*44/12</f>
        <v>12.785837062636567</v>
      </c>
      <c r="AB73" s="21">
        <f>EXP(-LN(2)/2)*AB72+(1-EXP(-LN(2)/2))/(LN(2)/2)*V73*Y73*VLOOKUP('Données projet'!$B$9,Paramètres!$A$1:$I$89,3,0)*0.475*44/12</f>
        <v>3.478230605605516E-5</v>
      </c>
      <c r="AC73" s="22">
        <f t="shared" si="57"/>
        <v>17.957491822157014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427</v>
      </c>
      <c r="AG73" s="12">
        <f>VLOOKUP(A73,'Données projet'!$A$61:$I$81,9,0)</f>
        <v>7.8</v>
      </c>
      <c r="AH73" s="12">
        <f t="array" ref="AH73">INDEX(AG:AG,MIN(IF(ISNUMBER(AG73:AG269),ROW(AG73:AG269),"")))</f>
        <v>7.8</v>
      </c>
      <c r="AI73" s="13">
        <f>IF('Données projet'!$A$62&gt;35,AI72+AH73-AQ72,IF(A73&lt;'Données projet'!$A$62,$AF$205^A73,IF(A73='Données projet'!$A$62,'Données projet'!$B$62,AI72+AH73-AQ72)))</f>
        <v>427</v>
      </c>
      <c r="AJ73" s="13">
        <f>AI73*VLOOKUP('Données projet'!$B$10,Paramètres!$A$1:$I$89,3,0)*VLOOKUP('Données projet'!$B$10,Paramètres!$A$1:$I$89,5,0)</f>
        <v>266.44799999999998</v>
      </c>
      <c r="AK73" s="13">
        <f t="shared" si="89"/>
        <v>64.094865228054687</v>
      </c>
      <c r="AL73" s="20">
        <f t="shared" si="58"/>
        <v>575.69549027219523</v>
      </c>
      <c r="AM73" s="59">
        <f t="shared" si="59"/>
        <v>869.02882360552849</v>
      </c>
      <c r="AN73" s="59">
        <f ca="1">AVERAGE(OFFSET($AM$3,0,0,'Données projet'!$E$10+1,1))-AVERAGE(OFFSET($H$3,0,0,'Données projet'!$E$10+1,1))</f>
        <v>285.77483300338548</v>
      </c>
      <c r="AO73" s="59">
        <f t="shared" si="90"/>
        <v>320.55212417690637</v>
      </c>
      <c r="AP73" s="15">
        <f>IF(ISNA(VLOOKUP(A73,'Données projet'!$A$61:$I$81,3,0)),0,VLOOKUP(A73,'Données projet'!$A$61:$I$81,3,0))</f>
        <v>6</v>
      </c>
      <c r="AQ73" s="15">
        <f>IF(ISNA(VLOOKUP(A73,'Données projet'!$A$61:$I$81,4,0)),0,VLOOKUP(A73,'Données projet'!$A$61:$I$81,4,0))</f>
        <v>45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3.778672017178208</v>
      </c>
      <c r="AV73" s="21">
        <f>EXP(-LN(2)/25)*AV72+(1-EXP(-LN(2)/25))/(LN(2)/25)*Calculateur!AQ73*Calculateur!AS73*VLOOKUP('Données projet'!$B$10,Paramètres!$A$1:$I$89,3,0)*0.475*44/12</f>
        <v>9.1936277288383863</v>
      </c>
      <c r="AW73" s="21">
        <f>EXP(-LN(2)/2)*AW72+(1-EXP(-LN(2)/2))/(LN(2)/2)*AQ73*AT73*VLOOKUP('Données projet'!$B$10,Paramètres!$A$1:$I$89,3,0)*0.475*44/12</f>
        <v>2.3270789276992683E-5</v>
      </c>
      <c r="AX73" s="21">
        <f t="shared" si="60"/>
        <v>12.972323016805872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827</v>
      </c>
      <c r="BB73" s="12">
        <f>VLOOKUP(A73,'Données projet'!$A$87:$I$107,9,0)</f>
        <v>20.3</v>
      </c>
      <c r="BC73" s="12">
        <f t="array" ref="BC73">INDEX(BB:BB,MIN(IF(ISNUMBER(BB73:BB269),ROW(BB73:BB269),"")))</f>
        <v>20.3</v>
      </c>
      <c r="BD73" s="12">
        <f>IF('Données projet'!$A$88&gt;35,BD72+BC73-BL72,IF(A73&lt;'Données projet'!$A$88,$BA$205^A73,IF(A73='Données projet'!$A$88,'Données projet'!$B$88,BD72+BC73-BL72)))</f>
        <v>826.9999999999992</v>
      </c>
      <c r="BE73" s="13">
        <f>BD73*VLOOKUP('Données projet'!$B$11,Paramètres!$A$1:$I$89,3,0)*VLOOKUP('Données projet'!$B$11,Paramètres!$A$1:$I$89,5,0)</f>
        <v>397.78699999999964</v>
      </c>
      <c r="BF73" s="13">
        <f t="shared" si="91"/>
        <v>91.327868672749759</v>
      </c>
      <c r="BG73" s="20">
        <f t="shared" si="61"/>
        <v>851.87506293837168</v>
      </c>
      <c r="BH73" s="59">
        <f t="shared" si="62"/>
        <v>1145.2083962717049</v>
      </c>
      <c r="BI73" s="59">
        <f ca="1">AVERAGE(OFFSET($BH$3,0,0,'Données projet'!$E$11+1,1))-AVERAGE(OFFSET($H$3,0,0,'Données projet'!$E$11+1,1))</f>
        <v>402.22278907877927</v>
      </c>
      <c r="BJ73" s="59">
        <f t="shared" si="92"/>
        <v>393.06397734082458</v>
      </c>
      <c r="BK73" s="15">
        <f>IF(ISNA(VLOOKUP(A73,'Données projet'!$A$87:$I$107,3,0)),0,VLOOKUP(A73,'Données projet'!$A$87:$I$107,3,0))</f>
        <v>7</v>
      </c>
      <c r="BL73" s="15">
        <f>IF(ISNA(VLOOKUP(A73,'Données projet'!$A$87:$I$107,4,0)),0,VLOOKUP(A73,'Données projet'!$A$87:$I$107,4,0))</f>
        <v>110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12.586912139585499</v>
      </c>
      <c r="BQ73" s="21">
        <f>EXP(-LN(2)/25)*BQ72+(1-EXP(-LN(2)/25))/(LN(2)/25)*Calculateur!BL73*Calculateur!BN73*VLOOKUP('Données projet'!$B$11,Paramètres!$A$1:$I$89,3,0)*0.475*44/12</f>
        <v>14.874372535611379</v>
      </c>
      <c r="BR73" s="21">
        <f>EXP(-LN(2)/2)*BR72+(1-EXP(-LN(2)/2))/(LN(2)/2)*BL73*BO73*VLOOKUP('Données projet'!$B$11,Paramètres!$A$1:$I$89,3,0)*0.475*44/12</f>
        <v>8.4364287696166846E-4</v>
      </c>
      <c r="BS73" s="22">
        <f t="shared" si="63"/>
        <v>27.462128318073841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330</v>
      </c>
      <c r="BW73" s="12">
        <f>VLOOKUP(A73,'Données projet'!$A$113:$I$133,9,0)</f>
        <v>8.5</v>
      </c>
      <c r="BX73" s="12">
        <f t="array" ref="BX73">INDEX(BW:BW,MIN(IF(ISNUMBER(BW73:BW269),ROW(BW73:BW269),"")))</f>
        <v>8.5</v>
      </c>
      <c r="BY73" s="12">
        <f>IF('Données projet'!$A$114&gt;35,BY72+BX73-CG72,IF(A73&lt;'Données projet'!$A$114,$BV$205^A73,IF(A73='Données projet'!$A$114,'Données projet'!$B$114,BY72+BX73-CG72)))</f>
        <v>330</v>
      </c>
      <c r="BZ73" s="13">
        <f>BY73*VLOOKUP('Données projet'!$B$12,Paramètres!$A$1:$I$89,3,0)*VLOOKUP('Données projet'!$B$12,Paramètres!$A$1:$I$89,5,0)</f>
        <v>298.58399999999995</v>
      </c>
      <c r="CA73" s="13">
        <f t="shared" si="93"/>
        <v>70.879533797607607</v>
      </c>
      <c r="CB73" s="20">
        <f t="shared" si="64"/>
        <v>643.48232136416652</v>
      </c>
      <c r="CC73" s="59">
        <f t="shared" si="65"/>
        <v>936.81565469749989</v>
      </c>
      <c r="CD73" s="59">
        <f ca="1">AVERAGE(OFFSET($CC$3,0,0,'Données projet'!$E$12+1,1))-AVERAGE(OFFSET($H$3,0,0,'Données projet'!$E$12+1,1))</f>
        <v>363.51171608224735</v>
      </c>
      <c r="CE73" s="59">
        <f t="shared" si="94"/>
        <v>257.9239334647138</v>
      </c>
      <c r="CF73" s="15">
        <f>IF(ISNA(VLOOKUP(A73,'Données projet'!$A$113:$I$133,3,0)),0,VLOOKUP(A73,'Données projet'!$A$113:$I$133,3,0))</f>
        <v>6</v>
      </c>
      <c r="CG73" s="15">
        <f>IF(ISNA(VLOOKUP(A73,'Données projet'!$A$113:$I$133,4,0)),0,VLOOKUP(A73,'Données projet'!$A$113:$I$133,4,0))</f>
        <v>56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1.0907416679215798</v>
      </c>
      <c r="CL73" s="21">
        <f>EXP(-LN(2)/25)*CL72+(1-EXP(-LN(2)/25))/(LN(2)/25)*Calculateur!CG73*Calculateur!CI73*VLOOKUP('Données projet'!$B$12,Paramètres!$A$1:$I$89,3,0)*0.475*44/12</f>
        <v>3.7219420338216471</v>
      </c>
      <c r="CM73" s="21">
        <f>EXP(-LN(2)/2)*CM72+(1-EXP(-LN(2)/2))/(LN(2)/2)*CG73*CJ73*VLOOKUP('Données projet'!$B$12,Paramètres!$A$1:$I$89,3,0)*0.475*44/12</f>
        <v>2.0554863714319843E-5</v>
      </c>
      <c r="CN73" s="22">
        <f t="shared" si="66"/>
        <v>4.8127042566069411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1">
        <f t="shared" si="86"/>
        <v>11.670980969085333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67">
        <f t="shared" si="56"/>
        <v>381.17774185449025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12.9</v>
      </c>
      <c r="N74" s="13">
        <f>IF('Données projet'!$A$36&gt;35,N73+M74-V73,IF(A74&lt;'Données projet'!$A$36,$K$205^A74,IF(A74='Données projet'!$A$36,'Données projet'!$B$36,N73+M74-V73)))</f>
        <v>673.89999999999895</v>
      </c>
      <c r="O74" s="13">
        <f>N74*VLOOKUP('Données projet'!$B$9,Paramètres!$A$1:$I$89,3,0)*VLOOKUP('Données projet'!$B$9,Paramètres!$A$1:$I$89,5,0)</f>
        <v>376.71009999999939</v>
      </c>
      <c r="P74" s="13">
        <f t="shared" si="87"/>
        <v>87.038637418312646</v>
      </c>
      <c r="Q74" s="20">
        <f t="shared" si="54"/>
        <v>807.69571767022671</v>
      </c>
      <c r="R74" s="59">
        <f t="shared" si="55"/>
        <v>1101.02905100356</v>
      </c>
      <c r="S74" s="59">
        <f ca="1">AVERAGE(OFFSET($R$3,0,0,'Données projet'!$E$9+1,1))-AVERAGE(OFFSET($H$3,0,0,'Données projet'!$E$9+1,1))</f>
        <v>446.28010102877403</v>
      </c>
      <c r="T74" s="59">
        <f t="shared" si="88"/>
        <v>445.84011537290456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5.0702076638379321</v>
      </c>
      <c r="AA74" s="21">
        <f>EXP(-LN(2)/25)*AA73+(1-EXP(-LN(2)/25))/(LN(2)/25)*Calculateur!V74*Calculateur!X74*VLOOKUP('Données projet'!$B$9,Paramètres!$A$1:$I$89,3,0)*0.475*44/12</f>
        <v>12.436207675780821</v>
      </c>
      <c r="AB74" s="21">
        <f>EXP(-LN(2)/2)*AB73+(1-EXP(-LN(2)/2))/(LN(2)/2)*V74*Y74*VLOOKUP('Données projet'!$B$9,Paramètres!$A$1:$I$89,3,0)*0.475*44/12</f>
        <v>2.4594804477542523E-5</v>
      </c>
      <c r="AC74" s="22">
        <f t="shared" si="57"/>
        <v>17.506439934423234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6</v>
      </c>
      <c r="AI74" s="13">
        <f>IF('Données projet'!$A$62&gt;35,AI73+AH74-AQ73,IF(A74&lt;'Données projet'!$A$62,$AF$205^A74,IF(A74='Données projet'!$A$62,'Données projet'!$B$62,AI73+AH74-AQ73)))</f>
        <v>388</v>
      </c>
      <c r="AJ74" s="13">
        <f>AI74*VLOOKUP('Données projet'!$B$10,Paramètres!$A$1:$I$89,3,0)*VLOOKUP('Données projet'!$B$10,Paramètres!$A$1:$I$89,5,0)</f>
        <v>242.11199999999999</v>
      </c>
      <c r="AK74" s="13">
        <f t="shared" si="89"/>
        <v>58.893705600066006</v>
      </c>
      <c r="AL74" s="20">
        <f t="shared" si="58"/>
        <v>524.25160392011492</v>
      </c>
      <c r="AM74" s="59">
        <f t="shared" si="59"/>
        <v>817.58493725344829</v>
      </c>
      <c r="AN74" s="59">
        <f ca="1">AVERAGE(OFFSET($AM$3,0,0,'Données projet'!$E$10+1,1))-AVERAGE(OFFSET($H$3,0,0,'Données projet'!$E$10+1,1))</f>
        <v>285.77483300338548</v>
      </c>
      <c r="AO74" s="59">
        <f t="shared" si="90"/>
        <v>320.55212417690637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3.7045745636836975</v>
      </c>
      <c r="AV74" s="21">
        <f>EXP(-LN(2)/25)*AV73+(1-EXP(-LN(2)/25))/(LN(2)/25)*Calculateur!AQ74*Calculateur!AS74*VLOOKUP('Données projet'!$B$10,Paramètres!$A$1:$I$89,3,0)*0.475*44/12</f>
        <v>8.9422274951214309</v>
      </c>
      <c r="AW74" s="21">
        <f>EXP(-LN(2)/2)*AW73+(1-EXP(-LN(2)/2))/(LN(2)/2)*AQ74*AT74*VLOOKUP('Données projet'!$B$10,Paramètres!$A$1:$I$89,3,0)*0.475*44/12</f>
        <v>1.6454932901324722E-5</v>
      </c>
      <c r="AX74" s="21">
        <f t="shared" si="60"/>
        <v>12.64681851373803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17.5</v>
      </c>
      <c r="BD74" s="12">
        <f>IF('Données projet'!$A$88&gt;35,BD73+BC74-BL73,IF(A74&lt;'Données projet'!$A$88,$BA$205^A74,IF(A74='Données projet'!$A$88,'Données projet'!$B$88,BD73+BC74-BL73)))</f>
        <v>734.4999999999992</v>
      </c>
      <c r="BE74" s="13">
        <f>BD74*VLOOKUP('Données projet'!$B$11,Paramètres!$A$1:$I$89,3,0)*VLOOKUP('Données projet'!$B$11,Paramètres!$A$1:$I$89,5,0)</f>
        <v>353.29449999999963</v>
      </c>
      <c r="BF74" s="13">
        <f t="shared" si="91"/>
        <v>82.240512667208606</v>
      </c>
      <c r="BG74" s="20">
        <f t="shared" si="61"/>
        <v>758.55681372872095</v>
      </c>
      <c r="BH74" s="59">
        <f t="shared" si="62"/>
        <v>1051.8901470620542</v>
      </c>
      <c r="BI74" s="59">
        <f ca="1">AVERAGE(OFFSET($BH$3,0,0,'Données projet'!$E$11+1,1))-AVERAGE(OFFSET($H$3,0,0,'Données projet'!$E$11+1,1))</f>
        <v>402.22278907877927</v>
      </c>
      <c r="BJ74" s="59">
        <f t="shared" si="92"/>
        <v>393.06397734082458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12.340090469786565</v>
      </c>
      <c r="BQ74" s="21">
        <f>EXP(-LN(2)/25)*BQ73+(1-EXP(-LN(2)/25))/(LN(2)/25)*Calculateur!BL74*Calculateur!BN74*VLOOKUP('Données projet'!$B$11,Paramètres!$A$1:$I$89,3,0)*0.475*44/12</f>
        <v>14.46763203641583</v>
      </c>
      <c r="BR74" s="21">
        <f>EXP(-LN(2)/2)*BR73+(1-EXP(-LN(2)/2))/(LN(2)/2)*BL74*BO74*VLOOKUP('Données projet'!$B$11,Paramètres!$A$1:$I$89,3,0)*0.475*44/12</f>
        <v>5.9654559919932392E-4</v>
      </c>
      <c r="BS74" s="22">
        <f t="shared" si="63"/>
        <v>26.808319051801593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7.4</v>
      </c>
      <c r="BY74" s="12">
        <f>IF('Données projet'!$A$114&gt;35,BY73+BX74-CG73,IF(A74&lt;'Données projet'!$A$114,$BV$205^A74,IF(A74='Données projet'!$A$114,'Données projet'!$B$114,BY73+BX74-CG73)))</f>
        <v>281.39999999999998</v>
      </c>
      <c r="BZ74" s="13">
        <f>BY74*VLOOKUP('Données projet'!$B$12,Paramètres!$A$1:$I$89,3,0)*VLOOKUP('Données projet'!$B$12,Paramètres!$A$1:$I$89,5,0)</f>
        <v>254.61071999999999</v>
      </c>
      <c r="CA74" s="13">
        <f t="shared" si="93"/>
        <v>61.572204587965679</v>
      </c>
      <c r="CB74" s="20">
        <f t="shared" si="64"/>
        <v>550.68526032404009</v>
      </c>
      <c r="CC74" s="59">
        <f t="shared" si="65"/>
        <v>844.01859365737346</v>
      </c>
      <c r="CD74" s="59">
        <f ca="1">AVERAGE(OFFSET($CC$3,0,0,'Données projet'!$E$12+1,1))-AVERAGE(OFFSET($H$3,0,0,'Données projet'!$E$12+1,1))</f>
        <v>363.51171608224735</v>
      </c>
      <c r="CE74" s="59">
        <f t="shared" si="94"/>
        <v>257.9239334647138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1.0693528891003634</v>
      </c>
      <c r="CL74" s="21">
        <f>EXP(-LN(2)/25)*CL73+(1-EXP(-LN(2)/25))/(LN(2)/25)*Calculateur!CG74*Calculateur!CI74*VLOOKUP('Données projet'!$B$12,Paramètres!$A$1:$I$89,3,0)*0.475*44/12</f>
        <v>3.6201653331783694</v>
      </c>
      <c r="CM74" s="21">
        <f>EXP(-LN(2)/2)*CM73+(1-EXP(-LN(2)/2))/(LN(2)/2)*CG74*CJ74*VLOOKUP('Données projet'!$B$12,Paramètres!$A$1:$I$89,3,0)*0.475*44/12</f>
        <v>1.4534483518760868E-5</v>
      </c>
      <c r="CN74" s="22">
        <f t="shared" si="66"/>
        <v>4.6895327567622518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1">
        <f t="shared" si="86"/>
        <v>11.816108707618389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67">
        <f t="shared" si="56"/>
        <v>382.38145599910195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12.9</v>
      </c>
      <c r="N75" s="13">
        <f>IF('Données projet'!$A$36&gt;35,N74+M75-V74,IF(A75&lt;'Données projet'!$A$36,$K$205^A75,IF(A75='Données projet'!$A$36,'Données projet'!$B$36,N74+M75-V74)))</f>
        <v>686.79999999999893</v>
      </c>
      <c r="O75" s="13">
        <f>N75*VLOOKUP('Données projet'!$B$9,Paramètres!$A$1:$I$89,3,0)*VLOOKUP('Données projet'!$B$9,Paramètres!$A$1:$I$89,5,0)</f>
        <v>383.92119999999943</v>
      </c>
      <c r="P75" s="13">
        <f t="shared" si="87"/>
        <v>88.509192685867021</v>
      </c>
      <c r="Q75" s="20">
        <f t="shared" si="54"/>
        <v>822.81626726121738</v>
      </c>
      <c r="R75" s="59">
        <f t="shared" si="55"/>
        <v>1116.1496005945507</v>
      </c>
      <c r="S75" s="59">
        <f ca="1">AVERAGE(OFFSET($R$3,0,0,'Données projet'!$E$9+1,1))-AVERAGE(OFFSET($H$3,0,0,'Données projet'!$E$9+1,1))</f>
        <v>446.28010102877403</v>
      </c>
      <c r="T75" s="59">
        <f t="shared" si="88"/>
        <v>445.84011537290456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4.9707839840713843</v>
      </c>
      <c r="AA75" s="21">
        <f>EXP(-LN(2)/25)*AA74+(1-EXP(-LN(2)/25))/(LN(2)/25)*Calculateur!V75*Calculateur!X75*VLOOKUP('Données projet'!$B$9,Paramètres!$A$1:$I$89,3,0)*0.475*44/12</f>
        <v>12.096138922894855</v>
      </c>
      <c r="AB75" s="21">
        <f>EXP(-LN(2)/2)*AB74+(1-EXP(-LN(2)/2))/(LN(2)/2)*V75*Y75*VLOOKUP('Données projet'!$B$9,Paramètres!$A$1:$I$89,3,0)*0.475*44/12</f>
        <v>1.739115302802758E-5</v>
      </c>
      <c r="AC75" s="22">
        <f t="shared" si="57"/>
        <v>17.06694029811927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6</v>
      </c>
      <c r="AI75" s="13">
        <f>IF('Données projet'!$A$62&gt;35,AI74+AH75-AQ74,IF(A75&lt;'Données projet'!$A$62,$AF$205^A75,IF(A75='Données projet'!$A$62,'Données projet'!$B$62,AI74+AH75-AQ74)))</f>
        <v>394</v>
      </c>
      <c r="AJ75" s="13">
        <f>AI75*VLOOKUP('Données projet'!$B$10,Paramètres!$A$1:$I$89,3,0)*VLOOKUP('Données projet'!$B$10,Paramètres!$A$1:$I$89,5,0)</f>
        <v>245.85600000000002</v>
      </c>
      <c r="AK75" s="13">
        <f t="shared" si="89"/>
        <v>59.697704223314012</v>
      </c>
      <c r="AL75" s="20">
        <f t="shared" si="58"/>
        <v>532.17270152227195</v>
      </c>
      <c r="AM75" s="59">
        <f t="shared" si="59"/>
        <v>825.50603485560532</v>
      </c>
      <c r="AN75" s="59">
        <f ca="1">AVERAGE(OFFSET($AM$3,0,0,'Données projet'!$E$10+1,1))-AVERAGE(OFFSET($H$3,0,0,'Données projet'!$E$10+1,1))</f>
        <v>285.77483300338548</v>
      </c>
      <c r="AO75" s="59">
        <f t="shared" si="90"/>
        <v>320.55212417690637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3.6319301160572302</v>
      </c>
      <c r="AV75" s="21">
        <f>EXP(-LN(2)/25)*AV74+(1-EXP(-LN(2)/25))/(LN(2)/25)*Calculateur!AQ75*Calculateur!AS75*VLOOKUP('Données projet'!$B$10,Paramètres!$A$1:$I$89,3,0)*0.475*44/12</f>
        <v>8.6977018140160283</v>
      </c>
      <c r="AW75" s="21">
        <f>EXP(-LN(2)/2)*AW74+(1-EXP(-LN(2)/2))/(LN(2)/2)*AQ75*AT75*VLOOKUP('Données projet'!$B$10,Paramètres!$A$1:$I$89,3,0)*0.475*44/12</f>
        <v>1.1635394638496342E-5</v>
      </c>
      <c r="AX75" s="21">
        <f t="shared" si="60"/>
        <v>12.329643565467897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17.5</v>
      </c>
      <c r="BD75" s="12">
        <f>IF('Données projet'!$A$88&gt;35,BD74+BC75-BL74,IF(A75&lt;'Données projet'!$A$88,$BA$205^A75,IF(A75='Données projet'!$A$88,'Données projet'!$B$88,BD74+BC75-BL74)))</f>
        <v>751.9999999999992</v>
      </c>
      <c r="BE75" s="13">
        <f>BD75*VLOOKUP('Données projet'!$B$11,Paramètres!$A$1:$I$89,3,0)*VLOOKUP('Données projet'!$B$11,Paramètres!$A$1:$I$89,5,0)</f>
        <v>361.71199999999965</v>
      </c>
      <c r="BF75" s="13">
        <f t="shared" si="91"/>
        <v>83.969494418440931</v>
      </c>
      <c r="BG75" s="20">
        <f t="shared" si="61"/>
        <v>776.22860277878408</v>
      </c>
      <c r="BH75" s="59">
        <f t="shared" si="62"/>
        <v>1069.5619361121173</v>
      </c>
      <c r="BI75" s="59">
        <f ca="1">AVERAGE(OFFSET($BH$3,0,0,'Données projet'!$E$11+1,1))-AVERAGE(OFFSET($H$3,0,0,'Données projet'!$E$11+1,1))</f>
        <v>402.22278907877927</v>
      </c>
      <c r="BJ75" s="59">
        <f t="shared" si="92"/>
        <v>393.06397734082458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12.098108822386036</v>
      </c>
      <c r="BQ75" s="21">
        <f>EXP(-LN(2)/25)*BQ74+(1-EXP(-LN(2)/25))/(LN(2)/25)*Calculateur!BL75*Calculateur!BN75*VLOOKUP('Données projet'!$B$11,Paramètres!$A$1:$I$89,3,0)*0.475*44/12</f>
        <v>14.072013877560337</v>
      </c>
      <c r="BR75" s="21">
        <f>EXP(-LN(2)/2)*BR74+(1-EXP(-LN(2)/2))/(LN(2)/2)*BL75*BO75*VLOOKUP('Données projet'!$B$11,Paramètres!$A$1:$I$89,3,0)*0.475*44/12</f>
        <v>4.2182143848083423E-4</v>
      </c>
      <c r="BS75" s="22">
        <f t="shared" si="63"/>
        <v>26.170544521384855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7.4</v>
      </c>
      <c r="BY75" s="12">
        <f>IF('Données projet'!$A$114&gt;35,BY74+BX75-CG74,IF(A75&lt;'Données projet'!$A$114,$BV$205^A75,IF(A75='Données projet'!$A$114,'Données projet'!$B$114,BY74+BX75-CG74)))</f>
        <v>288.79999999999995</v>
      </c>
      <c r="BZ75" s="13">
        <f>BY75*VLOOKUP('Données projet'!$B$12,Paramètres!$A$1:$I$89,3,0)*VLOOKUP('Données projet'!$B$12,Paramètres!$A$1:$I$89,5,0)</f>
        <v>261.30623999999995</v>
      </c>
      <c r="CA75" s="13">
        <f t="shared" si="93"/>
        <v>63.000734275359598</v>
      </c>
      <c r="CB75" s="20">
        <f t="shared" si="64"/>
        <v>564.83464686291791</v>
      </c>
      <c r="CC75" s="59">
        <f t="shared" si="65"/>
        <v>858.16798019625116</v>
      </c>
      <c r="CD75" s="59">
        <f ca="1">AVERAGE(OFFSET($CC$3,0,0,'Données projet'!$E$12+1,1))-AVERAGE(OFFSET($H$3,0,0,'Données projet'!$E$12+1,1))</f>
        <v>363.51171608224735</v>
      </c>
      <c r="CE75" s="59">
        <f t="shared" si="94"/>
        <v>257.9239334647138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1.0483835311859642</v>
      </c>
      <c r="CL75" s="21">
        <f>EXP(-LN(2)/25)*CL74+(1-EXP(-LN(2)/25))/(LN(2)/25)*Calculateur!CG75*Calculateur!CI75*VLOOKUP('Données projet'!$B$12,Paramètres!$A$1:$I$89,3,0)*0.475*44/12</f>
        <v>3.521171721766386</v>
      </c>
      <c r="CM75" s="21">
        <f>EXP(-LN(2)/2)*CM74+(1-EXP(-LN(2)/2))/(LN(2)/2)*CG75*CJ75*VLOOKUP('Données projet'!$B$12,Paramètres!$A$1:$I$89,3,0)*0.475*44/12</f>
        <v>1.0277431857159923E-5</v>
      </c>
      <c r="CN75" s="22">
        <f t="shared" si="66"/>
        <v>4.5695655303842075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1">
        <f t="shared" si="86"/>
        <v>11.961002004555786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67">
        <f t="shared" si="56"/>
        <v>383.58476182460123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12.9</v>
      </c>
      <c r="N76" s="13">
        <f>IF('Données projet'!$A$36&gt;35,N75+M76-V75,IF(A76&lt;'Données projet'!$A$36,$K$205^A76,IF(A76='Données projet'!$A$36,'Données projet'!$B$36,N75+M76-V75)))</f>
        <v>699.69999999999891</v>
      </c>
      <c r="O76" s="13">
        <f>N76*VLOOKUP('Données projet'!$B$9,Paramètres!$A$1:$I$89,3,0)*VLOOKUP('Données projet'!$B$9,Paramètres!$A$1:$I$89,5,0)</f>
        <v>391.13229999999942</v>
      </c>
      <c r="P76" s="13">
        <f t="shared" si="87"/>
        <v>89.976536171230705</v>
      </c>
      <c r="Q76" s="20">
        <f t="shared" si="54"/>
        <v>837.93122299822573</v>
      </c>
      <c r="R76" s="59">
        <f t="shared" si="55"/>
        <v>1131.2645563315591</v>
      </c>
      <c r="S76" s="59">
        <f ca="1">AVERAGE(OFFSET($R$3,0,0,'Données projet'!$E$9+1,1))-AVERAGE(OFFSET($H$3,0,0,'Données projet'!$E$9+1,1))</f>
        <v>446.28010102877403</v>
      </c>
      <c r="T76" s="59">
        <f t="shared" si="88"/>
        <v>445.84011537290456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4.873309942022602</v>
      </c>
      <c r="AA76" s="21">
        <f>EXP(-LN(2)/25)*AA75+(1-EXP(-LN(2)/25))/(LN(2)/25)*Calculateur!V76*Calculateur!X76*VLOOKUP('Données projet'!$B$9,Paramètres!$A$1:$I$89,3,0)*0.475*44/12</f>
        <v>11.765369367939996</v>
      </c>
      <c r="AB76" s="21">
        <f>EXP(-LN(2)/2)*AB75+(1-EXP(-LN(2)/2))/(LN(2)/2)*V76*Y76*VLOOKUP('Données projet'!$B$9,Paramètres!$A$1:$I$89,3,0)*0.475*44/12</f>
        <v>1.2297402238771262E-5</v>
      </c>
      <c r="AC76" s="22">
        <f t="shared" si="57"/>
        <v>16.638691607364837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6</v>
      </c>
      <c r="AI76" s="13">
        <f>IF('Données projet'!$A$62&gt;35,AI75+AH76-AQ75,IF(A76&lt;'Données projet'!$A$62,$AF$205^A76,IF(A76='Données projet'!$A$62,'Données projet'!$B$62,AI75+AH76-AQ75)))</f>
        <v>400</v>
      </c>
      <c r="AJ76" s="13">
        <f>AI76*VLOOKUP('Données projet'!$B$10,Paramètres!$A$1:$I$89,3,0)*VLOOKUP('Données projet'!$B$10,Paramètres!$A$1:$I$89,5,0)</f>
        <v>249.60000000000002</v>
      </c>
      <c r="AK76" s="13">
        <f t="shared" si="89"/>
        <v>60.500278891753695</v>
      </c>
      <c r="AL76" s="20">
        <f t="shared" si="58"/>
        <v>540.0913190698044</v>
      </c>
      <c r="AM76" s="59">
        <f t="shared" si="59"/>
        <v>833.42465240313777</v>
      </c>
      <c r="AN76" s="59">
        <f ca="1">AVERAGE(OFFSET($AM$3,0,0,'Données projet'!$E$10+1,1))-AVERAGE(OFFSET($H$3,0,0,'Données projet'!$E$10+1,1))</f>
        <v>285.77483300338548</v>
      </c>
      <c r="AO76" s="59">
        <f t="shared" si="90"/>
        <v>320.55212417690637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3.5607101817399802</v>
      </c>
      <c r="AV76" s="21">
        <f>EXP(-LN(2)/25)*AV75+(1-EXP(-LN(2)/25))/(LN(2)/25)*Calculateur!AQ76*Calculateur!AS76*VLOOKUP('Données projet'!$B$10,Paramètres!$A$1:$I$89,3,0)*0.475*44/12</f>
        <v>8.4598627005195013</v>
      </c>
      <c r="AW76" s="21">
        <f>EXP(-LN(2)/2)*AW75+(1-EXP(-LN(2)/2))/(LN(2)/2)*AQ76*AT76*VLOOKUP('Données projet'!$B$10,Paramètres!$A$1:$I$89,3,0)*0.475*44/12</f>
        <v>8.2274664506623608E-6</v>
      </c>
      <c r="AX76" s="21">
        <f t="shared" si="60"/>
        <v>12.020581109725931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17.5</v>
      </c>
      <c r="BD76" s="12">
        <f>IF('Données projet'!$A$88&gt;35,BD75+BC76-BL75,IF(A76&lt;'Données projet'!$A$88,$BA$205^A76,IF(A76='Données projet'!$A$88,'Données projet'!$B$88,BD75+BC76-BL75)))</f>
        <v>769.4999999999992</v>
      </c>
      <c r="BE76" s="13">
        <f>BD76*VLOOKUP('Données projet'!$B$11,Paramètres!$A$1:$I$89,3,0)*VLOOKUP('Données projet'!$B$11,Paramètres!$A$1:$I$89,5,0)</f>
        <v>370.12949999999961</v>
      </c>
      <c r="BF76" s="13">
        <f t="shared" si="91"/>
        <v>85.693798635610591</v>
      </c>
      <c r="BG76" s="20">
        <f t="shared" si="61"/>
        <v>793.89224512368764</v>
      </c>
      <c r="BH76" s="59">
        <f t="shared" si="62"/>
        <v>1087.2255784570209</v>
      </c>
      <c r="BI76" s="59">
        <f ca="1">AVERAGE(OFFSET($BH$3,0,0,'Données projet'!$E$11+1,1))-AVERAGE(OFFSET($H$3,0,0,'Données projet'!$E$11+1,1))</f>
        <v>402.22278907877927</v>
      </c>
      <c r="BJ76" s="59">
        <f t="shared" si="92"/>
        <v>393.06397734082458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11.8608722874968</v>
      </c>
      <c r="BQ76" s="21">
        <f>EXP(-LN(2)/25)*BQ75+(1-EXP(-LN(2)/25))/(LN(2)/25)*Calculateur!BL76*Calculateur!BN76*VLOOKUP('Données projet'!$B$11,Paramètres!$A$1:$I$89,3,0)*0.475*44/12</f>
        <v>13.687213918063403</v>
      </c>
      <c r="BR76" s="21">
        <f>EXP(-LN(2)/2)*BR75+(1-EXP(-LN(2)/2))/(LN(2)/2)*BL76*BO76*VLOOKUP('Données projet'!$B$11,Paramètres!$A$1:$I$89,3,0)*0.475*44/12</f>
        <v>2.9827279959966196E-4</v>
      </c>
      <c r="BS76" s="22">
        <f t="shared" si="63"/>
        <v>25.548384478359804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7.4</v>
      </c>
      <c r="BY76" s="12">
        <f>IF('Données projet'!$A$114&gt;35,BY75+BX76-CG75,IF(A76&lt;'Données projet'!$A$114,$BV$205^A76,IF(A76='Données projet'!$A$114,'Données projet'!$B$114,BY75+BX76-CG75)))</f>
        <v>296.19999999999993</v>
      </c>
      <c r="BZ76" s="13">
        <f>BY76*VLOOKUP('Données projet'!$B$12,Paramètres!$A$1:$I$89,3,0)*VLOOKUP('Données projet'!$B$12,Paramètres!$A$1:$I$89,5,0)</f>
        <v>268.00175999999993</v>
      </c>
      <c r="CA76" s="13">
        <f t="shared" si="93"/>
        <v>64.425009159185578</v>
      </c>
      <c r="CB76" s="20">
        <f t="shared" si="64"/>
        <v>578.97662295224802</v>
      </c>
      <c r="CC76" s="59">
        <f t="shared" si="65"/>
        <v>872.30995628558139</v>
      </c>
      <c r="CD76" s="59">
        <f ca="1">AVERAGE(OFFSET($CC$3,0,0,'Données projet'!$E$12+1,1))-AVERAGE(OFFSET($H$3,0,0,'Données projet'!$E$12+1,1))</f>
        <v>363.51171608224735</v>
      </c>
      <c r="CE76" s="59">
        <f t="shared" si="94"/>
        <v>257.9239334647138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1.0278253695902209</v>
      </c>
      <c r="CL76" s="21">
        <f>EXP(-LN(2)/25)*CL75+(1-EXP(-LN(2)/25))/(LN(2)/25)*Calculateur!CG76*Calculateur!CI76*VLOOKUP('Données projet'!$B$12,Paramètres!$A$1:$I$89,3,0)*0.475*44/12</f>
        <v>3.4248850958643113</v>
      </c>
      <c r="CM76" s="21">
        <f>EXP(-LN(2)/2)*CM75+(1-EXP(-LN(2)/2))/(LN(2)/2)*CG76*CJ76*VLOOKUP('Données projet'!$B$12,Paramètres!$A$1:$I$89,3,0)*0.475*44/12</f>
        <v>7.2672417593804347E-6</v>
      </c>
      <c r="CN76" s="22">
        <f t="shared" si="66"/>
        <v>4.4527177326962919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1">
        <f t="shared" si="86"/>
        <v>12.105664442616701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67">
        <f t="shared" si="56"/>
        <v>384.78766557089068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12.9</v>
      </c>
      <c r="N77" s="13">
        <f>IF('Données projet'!$A$36&gt;35,N76+M77-V76,IF(A77&lt;'Données projet'!$A$36,$K$205^A77,IF(A77='Données projet'!$A$36,'Données projet'!$B$36,N76+M77-V76)))</f>
        <v>712.59999999999889</v>
      </c>
      <c r="O77" s="13">
        <f>N77*VLOOKUP('Données projet'!$B$9,Paramètres!$A$1:$I$89,3,0)*VLOOKUP('Données projet'!$B$9,Paramètres!$A$1:$I$89,5,0)</f>
        <v>398.34339999999935</v>
      </c>
      <c r="P77" s="13">
        <f t="shared" si="87"/>
        <v>91.440733917504517</v>
      </c>
      <c r="Q77" s="20">
        <f t="shared" si="54"/>
        <v>853.04069990631922</v>
      </c>
      <c r="R77" s="59">
        <f t="shared" si="55"/>
        <v>1146.3740332396526</v>
      </c>
      <c r="S77" s="59">
        <f ca="1">AVERAGE(OFFSET($R$3,0,0,'Données projet'!$E$9+1,1))-AVERAGE(OFFSET($H$3,0,0,'Données projet'!$E$9+1,1))</f>
        <v>446.28010102877403</v>
      </c>
      <c r="T77" s="59">
        <f t="shared" si="88"/>
        <v>445.84011537290456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4.777747306485101</v>
      </c>
      <c r="AA77" s="21">
        <f>EXP(-LN(2)/25)*AA76+(1-EXP(-LN(2)/25))/(LN(2)/25)*Calculateur!V77*Calculateur!X77*VLOOKUP('Données projet'!$B$9,Paramètres!$A$1:$I$89,3,0)*0.475*44/12</f>
        <v>11.443644723859792</v>
      </c>
      <c r="AB77" s="21">
        <f>EXP(-LN(2)/2)*AB76+(1-EXP(-LN(2)/2))/(LN(2)/2)*V77*Y77*VLOOKUP('Données projet'!$B$9,Paramètres!$A$1:$I$89,3,0)*0.475*44/12</f>
        <v>8.6955765140137901E-6</v>
      </c>
      <c r="AC77" s="22">
        <f t="shared" si="57"/>
        <v>16.221400725921409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6</v>
      </c>
      <c r="AI77" s="13">
        <f>IF('Données projet'!$A$62&gt;35,AI76+AH77-AQ76,IF(A77&lt;'Données projet'!$A$62,$AF$205^A77,IF(A77='Données projet'!$A$62,'Données projet'!$B$62,AI76+AH77-AQ76)))</f>
        <v>406</v>
      </c>
      <c r="AJ77" s="13">
        <f>AI77*VLOOKUP('Données projet'!$B$10,Paramètres!$A$1:$I$89,3,0)*VLOOKUP('Données projet'!$B$10,Paramètres!$A$1:$I$89,5,0)</f>
        <v>253.34399999999999</v>
      </c>
      <c r="AK77" s="13">
        <f t="shared" si="89"/>
        <v>61.301453431926305</v>
      </c>
      <c r="AL77" s="20">
        <f t="shared" si="58"/>
        <v>548.00749806060492</v>
      </c>
      <c r="AM77" s="59">
        <f t="shared" si="59"/>
        <v>841.34083139393829</v>
      </c>
      <c r="AN77" s="59">
        <f ca="1">AVERAGE(OFFSET($AM$3,0,0,'Données projet'!$E$10+1,1))-AVERAGE(OFFSET($H$3,0,0,'Données projet'!$E$10+1,1))</f>
        <v>285.77483300338548</v>
      </c>
      <c r="AO77" s="59">
        <f t="shared" si="90"/>
        <v>320.55212417690637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3.4908868268948208</v>
      </c>
      <c r="AV77" s="21">
        <f>EXP(-LN(2)/25)*AV76+(1-EXP(-LN(2)/25))/(LN(2)/25)*Calculateur!AQ77*Calculateur!AS77*VLOOKUP('Données projet'!$B$10,Paramètres!$A$1:$I$89,3,0)*0.475*44/12</f>
        <v>8.2285273100889516</v>
      </c>
      <c r="AW77" s="21">
        <f>EXP(-LN(2)/2)*AW76+(1-EXP(-LN(2)/2))/(LN(2)/2)*AQ77*AT77*VLOOKUP('Données projet'!$B$10,Paramètres!$A$1:$I$89,3,0)*0.475*44/12</f>
        <v>5.8176973192481708E-6</v>
      </c>
      <c r="AX77" s="21">
        <f t="shared" si="60"/>
        <v>11.719419954681092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17.5</v>
      </c>
      <c r="BD77" s="12">
        <f>IF('Données projet'!$A$88&gt;35,BD76+BC77-BL76,IF(A77&lt;'Données projet'!$A$88,$BA$205^A77,IF(A77='Données projet'!$A$88,'Données projet'!$B$88,BD76+BC77-BL76)))</f>
        <v>786.9999999999992</v>
      </c>
      <c r="BE77" s="13">
        <f>BD77*VLOOKUP('Données projet'!$B$11,Paramètres!$A$1:$I$89,3,0)*VLOOKUP('Données projet'!$B$11,Paramètres!$A$1:$I$89,5,0)</f>
        <v>378.54699999999963</v>
      </c>
      <c r="BF77" s="13">
        <f t="shared" si="91"/>
        <v>87.413543941244455</v>
      </c>
      <c r="BG77" s="20">
        <f t="shared" si="61"/>
        <v>811.54794736433348</v>
      </c>
      <c r="BH77" s="59">
        <f t="shared" si="62"/>
        <v>1104.8812806976669</v>
      </c>
      <c r="BI77" s="59">
        <f ca="1">AVERAGE(OFFSET($BH$3,0,0,'Données projet'!$E$11+1,1))-AVERAGE(OFFSET($H$3,0,0,'Données projet'!$E$11+1,1))</f>
        <v>402.22278907877927</v>
      </c>
      <c r="BJ77" s="59">
        <f t="shared" si="92"/>
        <v>393.06397734082458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11.628287816356744</v>
      </c>
      <c r="BQ77" s="21">
        <f>EXP(-LN(2)/25)*BQ76+(1-EXP(-LN(2)/25))/(LN(2)/25)*Calculateur!BL77*Calculateur!BN77*VLOOKUP('Données projet'!$B$11,Paramètres!$A$1:$I$89,3,0)*0.475*44/12</f>
        <v>13.312936333694662</v>
      </c>
      <c r="BR77" s="21">
        <f>EXP(-LN(2)/2)*BR76+(1-EXP(-LN(2)/2))/(LN(2)/2)*BL77*BO77*VLOOKUP('Données projet'!$B$11,Paramètres!$A$1:$I$89,3,0)*0.475*44/12</f>
        <v>2.1091071924041711E-4</v>
      </c>
      <c r="BS77" s="22">
        <f t="shared" si="63"/>
        <v>24.941435060770644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7.4</v>
      </c>
      <c r="BY77" s="12">
        <f>IF('Données projet'!$A$114&gt;35,BY76+BX77-CG76,IF(A77&lt;'Données projet'!$A$114,$BV$205^A77,IF(A77='Données projet'!$A$114,'Données projet'!$B$114,BY76+BX77-CG76)))</f>
        <v>303.59999999999991</v>
      </c>
      <c r="BZ77" s="13">
        <f>BY77*VLOOKUP('Données projet'!$B$12,Paramètres!$A$1:$I$89,3,0)*VLOOKUP('Données projet'!$B$12,Paramètres!$A$1:$I$89,5,0)</f>
        <v>274.69727999999992</v>
      </c>
      <c r="CA77" s="13">
        <f t="shared" si="93"/>
        <v>65.845147763387502</v>
      </c>
      <c r="CB77" s="20">
        <f t="shared" si="64"/>
        <v>593.11139502123308</v>
      </c>
      <c r="CC77" s="59">
        <f t="shared" si="65"/>
        <v>886.44472835456645</v>
      </c>
      <c r="CD77" s="59">
        <f ca="1">AVERAGE(OFFSET($CC$3,0,0,'Données projet'!$E$12+1,1))-AVERAGE(OFFSET($H$3,0,0,'Données projet'!$E$12+1,1))</f>
        <v>363.51171608224735</v>
      </c>
      <c r="CE77" s="59">
        <f t="shared" si="94"/>
        <v>257.9239334647138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1.0076703410041297</v>
      </c>
      <c r="CL77" s="21">
        <f>EXP(-LN(2)/25)*CL76+(1-EXP(-LN(2)/25))/(LN(2)/25)*Calculateur!CG77*Calculateur!CI77*VLOOKUP('Données projet'!$B$12,Paramètres!$A$1:$I$89,3,0)*0.475*44/12</f>
        <v>3.3312314328110224</v>
      </c>
      <c r="CM77" s="21">
        <f>EXP(-LN(2)/2)*CM76+(1-EXP(-LN(2)/2))/(LN(2)/2)*CG77*CJ77*VLOOKUP('Données projet'!$B$12,Paramètres!$A$1:$I$89,3,0)*0.475*44/12</f>
        <v>5.1387159285799624E-6</v>
      </c>
      <c r="CN77" s="22">
        <f t="shared" si="66"/>
        <v>4.3389069125310806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1">
        <f t="shared" si="86"/>
        <v>12.250099502125838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67">
        <f t="shared" si="56"/>
        <v>385.99017329953574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12.9</v>
      </c>
      <c r="N78" s="13">
        <f>IF('Données projet'!$A$36&gt;35,N77+M78-V77,IF(A78&lt;'Données projet'!$A$36,$K$205^A78,IF(A78='Données projet'!$A$36,'Données projet'!$B$36,N77+M78-V77)))</f>
        <v>725.49999999999886</v>
      </c>
      <c r="O78" s="13">
        <f>N78*VLOOKUP('Données projet'!$B$9,Paramètres!$A$1:$I$89,3,0)*VLOOKUP('Données projet'!$B$9,Paramètres!$A$1:$I$89,5,0)</f>
        <v>405.55449999999939</v>
      </c>
      <c r="P78" s="13">
        <f t="shared" si="87"/>
        <v>92.901849439756845</v>
      </c>
      <c r="Q78" s="20">
        <f t="shared" si="54"/>
        <v>868.14480860757533</v>
      </c>
      <c r="R78" s="59">
        <f t="shared" si="55"/>
        <v>1161.4781419409087</v>
      </c>
      <c r="S78" s="59">
        <f ca="1">AVERAGE(OFFSET($R$3,0,0,'Données projet'!$E$9+1,1))-AVERAGE(OFFSET($H$3,0,0,'Données projet'!$E$9+1,1))</f>
        <v>446.28010102877403</v>
      </c>
      <c r="T78" s="59">
        <f t="shared" si="88"/>
        <v>445.84011537290456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4.6840585959430383</v>
      </c>
      <c r="AA78" s="21">
        <f>EXP(-LN(2)/25)*AA77+(1-EXP(-LN(2)/25))/(LN(2)/25)*Calculateur!V78*Calculateur!X78*VLOOKUP('Données projet'!$B$9,Paramètres!$A$1:$I$89,3,0)*0.475*44/12</f>
        <v>11.130717657090726</v>
      </c>
      <c r="AB78" s="21">
        <f>EXP(-LN(2)/2)*AB77+(1-EXP(-LN(2)/2))/(LN(2)/2)*V78*Y78*VLOOKUP('Données projet'!$B$9,Paramètres!$A$1:$I$89,3,0)*0.475*44/12</f>
        <v>6.1487011193856308E-6</v>
      </c>
      <c r="AC78" s="22">
        <f t="shared" si="57"/>
        <v>15.814782401734883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6</v>
      </c>
      <c r="AI78" s="13">
        <f>IF('Données projet'!$A$62&gt;35,AI77+AH78-AQ77,IF(A78&lt;'Données projet'!$A$62,$AF$205^A78,IF(A78='Données projet'!$A$62,'Données projet'!$B$62,AI77+AH78-AQ77)))</f>
        <v>412</v>
      </c>
      <c r="AJ78" s="13">
        <f>AI78*VLOOKUP('Données projet'!$B$10,Paramètres!$A$1:$I$89,3,0)*VLOOKUP('Données projet'!$B$10,Paramètres!$A$1:$I$89,5,0)</f>
        <v>257.08800000000002</v>
      </c>
      <c r="AK78" s="13">
        <f t="shared" si="89"/>
        <v>62.101250925713771</v>
      </c>
      <c r="AL78" s="20">
        <f t="shared" si="58"/>
        <v>555.92127869561818</v>
      </c>
      <c r="AM78" s="59">
        <f t="shared" si="59"/>
        <v>849.25461202895144</v>
      </c>
      <c r="AN78" s="59">
        <f ca="1">AVERAGE(OFFSET($AM$3,0,0,'Données projet'!$E$10+1,1))-AVERAGE(OFFSET($H$3,0,0,'Données projet'!$E$10+1,1))</f>
        <v>285.77483300338548</v>
      </c>
      <c r="AO78" s="59">
        <f t="shared" si="90"/>
        <v>320.55212417690637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3.4224326654501338</v>
      </c>
      <c r="AV78" s="21">
        <f>EXP(-LN(2)/25)*AV77+(1-EXP(-LN(2)/25))/(LN(2)/25)*Calculateur!AQ78*Calculateur!AS78*VLOOKUP('Données projet'!$B$10,Paramètres!$A$1:$I$89,3,0)*0.475*44/12</f>
        <v>8.0035177980751246</v>
      </c>
      <c r="AW78" s="21">
        <f>EXP(-LN(2)/2)*AW77+(1-EXP(-LN(2)/2))/(LN(2)/2)*AQ78*AT78*VLOOKUP('Données projet'!$B$10,Paramètres!$A$1:$I$89,3,0)*0.475*44/12</f>
        <v>4.1137332253311804E-6</v>
      </c>
      <c r="AX78" s="21">
        <f t="shared" si="60"/>
        <v>11.425954577258484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17.5</v>
      </c>
      <c r="BD78" s="12">
        <f>IF('Données projet'!$A$88&gt;35,BD77+BC78-BL77,IF(A78&lt;'Données projet'!$A$88,$BA$205^A78,IF(A78='Données projet'!$A$88,'Données projet'!$B$88,BD77+BC78-BL77)))</f>
        <v>804.4999999999992</v>
      </c>
      <c r="BE78" s="13">
        <f>BD78*VLOOKUP('Données projet'!$B$11,Paramètres!$A$1:$I$89,3,0)*VLOOKUP('Données projet'!$B$11,Paramètres!$A$1:$I$89,5,0)</f>
        <v>386.96449999999959</v>
      </c>
      <c r="BF78" s="13">
        <f t="shared" si="91"/>
        <v>89.128843381212619</v>
      </c>
      <c r="BG78" s="20">
        <f t="shared" si="61"/>
        <v>829.19590638894454</v>
      </c>
      <c r="BH78" s="59">
        <f t="shared" si="62"/>
        <v>1122.5292397222779</v>
      </c>
      <c r="BI78" s="59">
        <f ca="1">AVERAGE(OFFSET($BH$3,0,0,'Données projet'!$E$11+1,1))-AVERAGE(OFFSET($H$3,0,0,'Données projet'!$E$11+1,1))</f>
        <v>402.22278907877927</v>
      </c>
      <c r="BJ78" s="59">
        <f t="shared" si="92"/>
        <v>393.06397734082458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11.400264184833224</v>
      </c>
      <c r="BQ78" s="21">
        <f>EXP(-LN(2)/25)*BQ77+(1-EXP(-LN(2)/25))/(LN(2)/25)*Calculateur!BL78*Calculateur!BN78*VLOOKUP('Données projet'!$B$11,Paramètres!$A$1:$I$89,3,0)*0.475*44/12</f>
        <v>12.948893389552886</v>
      </c>
      <c r="BR78" s="21">
        <f>EXP(-LN(2)/2)*BR77+(1-EXP(-LN(2)/2))/(LN(2)/2)*BL78*BO78*VLOOKUP('Données projet'!$B$11,Paramètres!$A$1:$I$89,3,0)*0.475*44/12</f>
        <v>1.4913639979983098E-4</v>
      </c>
      <c r="BS78" s="22">
        <f t="shared" si="63"/>
        <v>24.34930671078591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7.4</v>
      </c>
      <c r="BY78" s="12">
        <f>IF('Données projet'!$A$114&gt;35,BY77+BX78-CG77,IF(A78&lt;'Données projet'!$A$114,$BV$205^A78,IF(A78='Données projet'!$A$114,'Données projet'!$B$114,BY77+BX78-CG77)))</f>
        <v>310.99999999999989</v>
      </c>
      <c r="BZ78" s="13">
        <f>BY78*VLOOKUP('Données projet'!$B$12,Paramètres!$A$1:$I$89,3,0)*VLOOKUP('Données projet'!$B$12,Paramètres!$A$1:$I$89,5,0)</f>
        <v>281.39279999999985</v>
      </c>
      <c r="CA78" s="13">
        <f t="shared" si="93"/>
        <v>67.261262504634658</v>
      </c>
      <c r="CB78" s="20">
        <f t="shared" si="64"/>
        <v>607.23915886223847</v>
      </c>
      <c r="CC78" s="59">
        <f t="shared" si="65"/>
        <v>900.57249219557184</v>
      </c>
      <c r="CD78" s="59">
        <f ca="1">AVERAGE(OFFSET($CC$3,0,0,'Données projet'!$E$12+1,1))-AVERAGE(OFFSET($H$3,0,0,'Données projet'!$E$12+1,1))</f>
        <v>363.51171608224735</v>
      </c>
      <c r="CE78" s="59">
        <f t="shared" si="94"/>
        <v>257.9239334647138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0.98791054023525815</v>
      </c>
      <c r="CL78" s="21">
        <f>EXP(-LN(2)/25)*CL77+(1-EXP(-LN(2)/25))/(LN(2)/25)*Calculateur!CG78*Calculateur!CI78*VLOOKUP('Données projet'!$B$12,Paramètres!$A$1:$I$89,3,0)*0.475*44/12</f>
        <v>3.2401387340989576</v>
      </c>
      <c r="CM78" s="21">
        <f>EXP(-LN(2)/2)*CM77+(1-EXP(-LN(2)/2))/(LN(2)/2)*CG78*CJ78*VLOOKUP('Données projet'!$B$12,Paramètres!$A$1:$I$89,3,0)*0.475*44/12</f>
        <v>3.6336208796902182E-6</v>
      </c>
      <c r="CN78" s="22">
        <f t="shared" si="66"/>
        <v>4.2280529079550959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1">
        <f t="shared" si="86"/>
        <v>12.394310565265254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67">
        <f t="shared" si="56"/>
        <v>387.19229090117022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12.9</v>
      </c>
      <c r="N79" s="13">
        <f>IF('Données projet'!$A$36&gt;35,N78+M79-V78,IF(A79&lt;'Données projet'!$A$36,$K$205^A79,IF(A79='Données projet'!$A$36,'Données projet'!$B$36,N78+M79-V78)))</f>
        <v>738.39999999999884</v>
      </c>
      <c r="O79" s="13">
        <f>N79*VLOOKUP('Données projet'!$B$9,Paramètres!$A$1:$I$89,3,0)*VLOOKUP('Données projet'!$B$9,Paramètres!$A$1:$I$89,5,0)</f>
        <v>412.76559999999932</v>
      </c>
      <c r="P79" s="13">
        <f t="shared" si="87"/>
        <v>94.359943864992076</v>
      </c>
      <c r="Q79" s="20">
        <f t="shared" si="54"/>
        <v>883.24365556486009</v>
      </c>
      <c r="R79" s="59">
        <f t="shared" si="55"/>
        <v>1176.5769888981933</v>
      </c>
      <c r="S79" s="59">
        <f ca="1">AVERAGE(OFFSET($R$3,0,0,'Données projet'!$E$9+1,1))-AVERAGE(OFFSET($H$3,0,0,'Données projet'!$E$9+1,1))</f>
        <v>446.28010102877403</v>
      </c>
      <c r="T79" s="59">
        <f t="shared" si="88"/>
        <v>445.84011537290456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4.5922070638702346</v>
      </c>
      <c r="AA79" s="21">
        <f>EXP(-LN(2)/25)*AA78+(1-EXP(-LN(2)/25))/(LN(2)/25)*Calculateur!V79*Calculateur!X79*VLOOKUP('Données projet'!$B$9,Paramètres!$A$1:$I$89,3,0)*0.475*44/12</f>
        <v>10.826347597418577</v>
      </c>
      <c r="AB79" s="21">
        <f>EXP(-LN(2)/2)*AB78+(1-EXP(-LN(2)/2))/(LN(2)/2)*V79*Y79*VLOOKUP('Données projet'!$B$9,Paramètres!$A$1:$I$89,3,0)*0.475*44/12</f>
        <v>4.347788257006895E-6</v>
      </c>
      <c r="AC79" s="22">
        <f t="shared" si="57"/>
        <v>15.41855900907707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6</v>
      </c>
      <c r="AI79" s="13">
        <f>IF('Données projet'!$A$62&gt;35,AI78+AH79-AQ78,IF(A79&lt;'Données projet'!$A$62,$AF$205^A79,IF(A79='Données projet'!$A$62,'Données projet'!$B$62,AI78+AH79-AQ78)))</f>
        <v>418</v>
      </c>
      <c r="AJ79" s="13">
        <f>AI79*VLOOKUP('Données projet'!$B$10,Paramètres!$A$1:$I$89,3,0)*VLOOKUP('Données projet'!$B$10,Paramètres!$A$1:$I$89,5,0)</f>
        <v>260.83199999999999</v>
      </c>
      <c r="AK79" s="13">
        <f t="shared" si="89"/>
        <v>62.899693744110721</v>
      </c>
      <c r="AL79" s="20">
        <f t="shared" si="58"/>
        <v>563.83269993765953</v>
      </c>
      <c r="AM79" s="59">
        <f t="shared" si="59"/>
        <v>857.16603327099278</v>
      </c>
      <c r="AN79" s="59">
        <f ca="1">AVERAGE(OFFSET($AM$3,0,0,'Données projet'!$E$10+1,1))-AVERAGE(OFFSET($H$3,0,0,'Données projet'!$E$10+1,1))</f>
        <v>285.77483300338548</v>
      </c>
      <c r="AO79" s="59">
        <f t="shared" si="90"/>
        <v>320.55212417690637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3.3553208483584611</v>
      </c>
      <c r="AV79" s="21">
        <f>EXP(-LN(2)/25)*AV78+(1-EXP(-LN(2)/25))/(LN(2)/25)*Calculateur!AQ79*Calculateur!AS79*VLOOKUP('Données projet'!$B$10,Paramètres!$A$1:$I$89,3,0)*0.475*44/12</f>
        <v>7.7846611830000514</v>
      </c>
      <c r="AW79" s="21">
        <f>EXP(-LN(2)/2)*AW78+(1-EXP(-LN(2)/2))/(LN(2)/2)*AQ79*AT79*VLOOKUP('Données projet'!$B$10,Paramètres!$A$1:$I$89,3,0)*0.475*44/12</f>
        <v>2.9088486596240854E-6</v>
      </c>
      <c r="AX79" s="21">
        <f t="shared" si="60"/>
        <v>11.139984940207171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17.5</v>
      </c>
      <c r="BD79" s="12">
        <f>IF('Données projet'!$A$88&gt;35,BD78+BC79-BL78,IF(A79&lt;'Données projet'!$A$88,$BA$205^A79,IF(A79='Données projet'!$A$88,'Données projet'!$B$88,BD78+BC79-BL78)))</f>
        <v>821.9999999999992</v>
      </c>
      <c r="BE79" s="13">
        <f>BD79*VLOOKUP('Données projet'!$B$11,Paramètres!$A$1:$I$89,3,0)*VLOOKUP('Données projet'!$B$11,Paramètres!$A$1:$I$89,5,0)</f>
        <v>395.38199999999961</v>
      </c>
      <c r="BF79" s="13">
        <f t="shared" si="91"/>
        <v>90.839804802410697</v>
      </c>
      <c r="BG79" s="20">
        <f t="shared" si="61"/>
        <v>846.83631003086464</v>
      </c>
      <c r="BH79" s="59">
        <f t="shared" si="62"/>
        <v>1140.169643364198</v>
      </c>
      <c r="BI79" s="59">
        <f ca="1">AVERAGE(OFFSET($BH$3,0,0,'Données projet'!$E$11+1,1))-AVERAGE(OFFSET($H$3,0,0,'Données projet'!$E$11+1,1))</f>
        <v>402.22278907877927</v>
      </c>
      <c r="BJ79" s="59">
        <f t="shared" si="92"/>
        <v>393.06397734082458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11.176711957643199</v>
      </c>
      <c r="BQ79" s="21">
        <f>EXP(-LN(2)/25)*BQ78+(1-EXP(-LN(2)/25))/(LN(2)/25)*Calculateur!BL79*Calculateur!BN79*VLOOKUP('Données projet'!$B$11,Paramètres!$A$1:$I$89,3,0)*0.475*44/12</f>
        <v>12.594805218862854</v>
      </c>
      <c r="BR79" s="21">
        <f>EXP(-LN(2)/2)*BR78+(1-EXP(-LN(2)/2))/(LN(2)/2)*BL79*BO79*VLOOKUP('Données projet'!$B$11,Paramètres!$A$1:$I$89,3,0)*0.475*44/12</f>
        <v>1.0545535962020856E-4</v>
      </c>
      <c r="BS79" s="22">
        <f t="shared" si="63"/>
        <v>23.771622631865672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7.4</v>
      </c>
      <c r="BY79" s="12">
        <f>IF('Données projet'!$A$114&gt;35,BY78+BX79-CG78,IF(A79&lt;'Données projet'!$A$114,$BV$205^A79,IF(A79='Données projet'!$A$114,'Données projet'!$B$114,BY78+BX79-CG78)))</f>
        <v>318.39999999999986</v>
      </c>
      <c r="BZ79" s="13">
        <f>BY79*VLOOKUP('Données projet'!$B$12,Paramètres!$A$1:$I$89,3,0)*VLOOKUP('Données projet'!$B$12,Paramètres!$A$1:$I$89,5,0)</f>
        <v>288.0883199999999</v>
      </c>
      <c r="CA79" s="13">
        <f t="shared" si="93"/>
        <v>68.673460144735557</v>
      </c>
      <c r="CB79" s="20">
        <f t="shared" si="64"/>
        <v>621.36010041874761</v>
      </c>
      <c r="CC79" s="59">
        <f t="shared" si="65"/>
        <v>914.69343375208086</v>
      </c>
      <c r="CD79" s="59">
        <f ca="1">AVERAGE(OFFSET($CC$3,0,0,'Données projet'!$E$12+1,1))-AVERAGE(OFFSET($H$3,0,0,'Données projet'!$E$12+1,1))</f>
        <v>363.51171608224735</v>
      </c>
      <c r="CE79" s="59">
        <f t="shared" si="94"/>
        <v>257.9239334647138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0.9685382171071758</v>
      </c>
      <c r="CL79" s="21">
        <f>EXP(-LN(2)/25)*CL78+(1-EXP(-LN(2)/25))/(LN(2)/25)*Calculateur!CG79*Calculateur!CI79*VLOOKUP('Données projet'!$B$12,Paramètres!$A$1:$I$89,3,0)*0.475*44/12</f>
        <v>3.1515369700235309</v>
      </c>
      <c r="CM79" s="21">
        <f>EXP(-LN(2)/2)*CM78+(1-EXP(-LN(2)/2))/(LN(2)/2)*CG79*CJ79*VLOOKUP('Données projet'!$B$12,Paramètres!$A$1:$I$89,3,0)*0.475*44/12</f>
        <v>2.5693579642899816E-6</v>
      </c>
      <c r="CN79" s="22">
        <f t="shared" si="66"/>
        <v>4.120077756488671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1">
        <f t="shared" si="86"/>
        <v>12.538300920096166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67">
        <f t="shared" si="56"/>
        <v>388.39402410250074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12.9</v>
      </c>
      <c r="N80" s="13">
        <f>IF('Données projet'!$A$36&gt;35,N79+M80-V79,IF(A80&lt;'Données projet'!$A$36,$K$205^A80,IF(A80='Données projet'!$A$36,'Données projet'!$B$36,N79+M80-V79)))</f>
        <v>751.29999999999882</v>
      </c>
      <c r="O80" s="13">
        <f>N80*VLOOKUP('Données projet'!$B$9,Paramètres!$A$1:$I$89,3,0)*VLOOKUP('Données projet'!$B$9,Paramètres!$A$1:$I$89,5,0)</f>
        <v>419.97669999999937</v>
      </c>
      <c r="P80" s="13">
        <f t="shared" si="87"/>
        <v>95.815076062060939</v>
      </c>
      <c r="Q80" s="20">
        <f t="shared" si="54"/>
        <v>898.33734330808841</v>
      </c>
      <c r="R80" s="59">
        <f t="shared" si="55"/>
        <v>1191.6706766414218</v>
      </c>
      <c r="S80" s="59">
        <f ca="1">AVERAGE(OFFSET($R$3,0,0,'Données projet'!$E$9+1,1))-AVERAGE(OFFSET($H$3,0,0,'Données projet'!$E$9+1,1))</f>
        <v>446.28010102877403</v>
      </c>
      <c r="T80" s="59">
        <f t="shared" si="88"/>
        <v>445.84011537290456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4.5021566843174758</v>
      </c>
      <c r="AA80" s="21">
        <f>EXP(-LN(2)/25)*AA79+(1-EXP(-LN(2)/25))/(LN(2)/25)*Calculateur!V80*Calculateur!X80*VLOOKUP('Données projet'!$B$9,Paramètres!$A$1:$I$89,3,0)*0.475*44/12</f>
        <v>10.530300553034289</v>
      </c>
      <c r="AB80" s="21">
        <f>EXP(-LN(2)/2)*AB79+(1-EXP(-LN(2)/2))/(LN(2)/2)*V80*Y80*VLOOKUP('Données projet'!$B$9,Paramètres!$A$1:$I$89,3,0)*0.475*44/12</f>
        <v>3.0743505596928154E-6</v>
      </c>
      <c r="AC80" s="22">
        <f t="shared" si="57"/>
        <v>15.032460311702323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6</v>
      </c>
      <c r="AI80" s="13">
        <f>IF('Données projet'!$A$62&gt;35,AI79+AH80-AQ79,IF(A80&lt;'Données projet'!$A$62,$AF$205^A80,IF(A80='Données projet'!$A$62,'Données projet'!$B$62,AI79+AH80-AQ79)))</f>
        <v>424</v>
      </c>
      <c r="AJ80" s="13">
        <f>AI80*VLOOKUP('Données projet'!$B$10,Paramètres!$A$1:$I$89,3,0)*VLOOKUP('Données projet'!$B$10,Paramètres!$A$1:$I$89,5,0)</f>
        <v>264.57599999999996</v>
      </c>
      <c r="AK80" s="13">
        <f t="shared" si="89"/>
        <v>63.696803579002321</v>
      </c>
      <c r="AL80" s="20">
        <f t="shared" si="58"/>
        <v>571.74179956676232</v>
      </c>
      <c r="AM80" s="59">
        <f t="shared" si="59"/>
        <v>865.0751329000957</v>
      </c>
      <c r="AN80" s="59">
        <f ca="1">AVERAGE(OFFSET($AM$3,0,0,'Données projet'!$E$10+1,1))-AVERAGE(OFFSET($H$3,0,0,'Données projet'!$E$10+1,1))</f>
        <v>285.77483300338548</v>
      </c>
      <c r="AO80" s="59">
        <f t="shared" si="90"/>
        <v>320.55212417690637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3.2895250530657898</v>
      </c>
      <c r="AV80" s="21">
        <f>EXP(-LN(2)/25)*AV79+(1-EXP(-LN(2)/25))/(LN(2)/25)*Calculateur!AQ80*Calculateur!AS80*VLOOKUP('Données projet'!$B$10,Paramètres!$A$1:$I$89,3,0)*0.475*44/12</f>
        <v>7.5717892135733758</v>
      </c>
      <c r="AW80" s="21">
        <f>EXP(-LN(2)/2)*AW79+(1-EXP(-LN(2)/2))/(LN(2)/2)*AQ80*AT80*VLOOKUP('Données projet'!$B$10,Paramètres!$A$1:$I$89,3,0)*0.475*44/12</f>
        <v>2.0568666126655902E-6</v>
      </c>
      <c r="AX80" s="21">
        <f t="shared" si="60"/>
        <v>10.861316323505779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17.5</v>
      </c>
      <c r="BD80" s="12">
        <f>IF('Données projet'!$A$88&gt;35,BD79+BC80-BL79,IF(A80&lt;'Données projet'!$A$88,$BA$205^A80,IF(A80='Données projet'!$A$88,'Données projet'!$B$88,BD79+BC80-BL79)))</f>
        <v>839.4999999999992</v>
      </c>
      <c r="BE80" s="13">
        <f>BD80*VLOOKUP('Données projet'!$B$11,Paramètres!$A$1:$I$89,3,0)*VLOOKUP('Données projet'!$B$11,Paramètres!$A$1:$I$89,5,0)</f>
        <v>403.79949999999968</v>
      </c>
      <c r="BF80" s="13">
        <f t="shared" si="91"/>
        <v>92.546531197372275</v>
      </c>
      <c r="BG80" s="20">
        <f t="shared" si="61"/>
        <v>864.46933766875611</v>
      </c>
      <c r="BH80" s="59">
        <f t="shared" si="62"/>
        <v>1157.8026710020895</v>
      </c>
      <c r="BI80" s="59">
        <f ca="1">AVERAGE(OFFSET($BH$3,0,0,'Données projet'!$E$11+1,1))-AVERAGE(OFFSET($H$3,0,0,'Données projet'!$E$11+1,1))</f>
        <v>402.22278907877927</v>
      </c>
      <c r="BJ80" s="59">
        <f t="shared" si="92"/>
        <v>393.06397734082458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10.957543453274976</v>
      </c>
      <c r="BQ80" s="21">
        <f>EXP(-LN(2)/25)*BQ79+(1-EXP(-LN(2)/25))/(LN(2)/25)*Calculateur!BL80*Calculateur!BN80*VLOOKUP('Données projet'!$B$11,Paramètres!$A$1:$I$89,3,0)*0.475*44/12</f>
        <v>12.250399607821029</v>
      </c>
      <c r="BR80" s="21">
        <f>EXP(-LN(2)/2)*BR79+(1-EXP(-LN(2)/2))/(LN(2)/2)*BL80*BO80*VLOOKUP('Données projet'!$B$11,Paramètres!$A$1:$I$89,3,0)*0.475*44/12</f>
        <v>7.456819989991549E-5</v>
      </c>
      <c r="BS80" s="22">
        <f t="shared" si="63"/>
        <v>23.208017629295902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7.4</v>
      </c>
      <c r="BY80" s="12">
        <f>IF('Données projet'!$A$114&gt;35,BY79+BX80-CG79,IF(A80&lt;'Données projet'!$A$114,$BV$205^A80,IF(A80='Données projet'!$A$114,'Données projet'!$B$114,BY79+BX80-CG79)))</f>
        <v>325.79999999999984</v>
      </c>
      <c r="BZ80" s="13">
        <f>BY80*VLOOKUP('Données projet'!$B$12,Paramètres!$A$1:$I$89,3,0)*VLOOKUP('Données projet'!$B$12,Paramètres!$A$1:$I$89,5,0)</f>
        <v>294.78383999999983</v>
      </c>
      <c r="CA80" s="13">
        <f t="shared" si="93"/>
        <v>70.081842199807596</v>
      </c>
      <c r="CB80" s="20">
        <f t="shared" si="64"/>
        <v>635.47439649799799</v>
      </c>
      <c r="CC80" s="59">
        <f t="shared" si="65"/>
        <v>928.80772983133124</v>
      </c>
      <c r="CD80" s="59">
        <f ca="1">AVERAGE(OFFSET($CC$3,0,0,'Données projet'!$E$12+1,1))-AVERAGE(OFFSET($H$3,0,0,'Données projet'!$E$12+1,1))</f>
        <v>363.51171608224735</v>
      </c>
      <c r="CE80" s="59">
        <f t="shared" si="94"/>
        <v>257.9239334647138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0.94954577341968482</v>
      </c>
      <c r="CL80" s="21">
        <f>EXP(-LN(2)/25)*CL79+(1-EXP(-LN(2)/25))/(LN(2)/25)*Calculateur!CG80*Calculateur!CI80*VLOOKUP('Données projet'!$B$12,Paramètres!$A$1:$I$89,3,0)*0.475*44/12</f>
        <v>3.0653580258461113</v>
      </c>
      <c r="CM80" s="21">
        <f>EXP(-LN(2)/2)*CM79+(1-EXP(-LN(2)/2))/(LN(2)/2)*CG80*CJ80*VLOOKUP('Données projet'!$B$12,Paramètres!$A$1:$I$89,3,0)*0.475*44/12</f>
        <v>1.8168104398451093E-6</v>
      </c>
      <c r="CN80" s="22">
        <f t="shared" si="66"/>
        <v>4.014905616076236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1">
        <f t="shared" si="86"/>
        <v>12.682073764365757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67">
        <f t="shared" si="56"/>
        <v>389.59537847293694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12.9</v>
      </c>
      <c r="N81" s="13">
        <f>IF('Données projet'!$A$36&gt;35,N80+M81-V80,IF(A81&lt;'Données projet'!$A$36,$K$205^A81,IF(A81='Données projet'!$A$36,'Données projet'!$B$36,N80+M81-V80)))</f>
        <v>764.19999999999879</v>
      </c>
      <c r="O81" s="13">
        <f>N81*VLOOKUP('Données projet'!$B$9,Paramètres!$A$1:$I$89,3,0)*VLOOKUP('Données projet'!$B$9,Paramètres!$A$1:$I$89,5,0)</f>
        <v>427.18779999999936</v>
      </c>
      <c r="P81" s="13">
        <f t="shared" si="87"/>
        <v>97.267302762395772</v>
      </c>
      <c r="Q81" s="20">
        <f t="shared" si="54"/>
        <v>913.42597064450467</v>
      </c>
      <c r="R81" s="59">
        <f t="shared" si="55"/>
        <v>1206.759303977838</v>
      </c>
      <c r="S81" s="59">
        <f ca="1">AVERAGE(OFFSET($R$3,0,0,'Données projet'!$E$9+1,1))-AVERAGE(OFFSET($H$3,0,0,'Données projet'!$E$9+1,1))</f>
        <v>446.28010102877403</v>
      </c>
      <c r="T81" s="59">
        <f t="shared" si="88"/>
        <v>445.84011537290456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4.4138721377824384</v>
      </c>
      <c r="AA81" s="21">
        <f>EXP(-LN(2)/25)*AA80+(1-EXP(-LN(2)/25))/(LN(2)/25)*Calculateur!V81*Calculateur!X81*VLOOKUP('Données projet'!$B$9,Paramètres!$A$1:$I$89,3,0)*0.475*44/12</f>
        <v>10.242348930647127</v>
      </c>
      <c r="AB81" s="21">
        <f>EXP(-LN(2)/2)*AB80+(1-EXP(-LN(2)/2))/(LN(2)/2)*V81*Y81*VLOOKUP('Données projet'!$B$9,Paramètres!$A$1:$I$89,3,0)*0.475*44/12</f>
        <v>2.1738941285034475E-6</v>
      </c>
      <c r="AC81" s="22">
        <f t="shared" si="57"/>
        <v>14.656223242323694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6</v>
      </c>
      <c r="AI81" s="13">
        <f>IF('Données projet'!$A$62&gt;35,AI80+AH81-AQ80,IF(A81&lt;'Données projet'!$A$62,$AF$205^A81,IF(A81='Données projet'!$A$62,'Données projet'!$B$62,AI80+AH81-AQ80)))</f>
        <v>430</v>
      </c>
      <c r="AJ81" s="13">
        <f>AI81*VLOOKUP('Données projet'!$B$10,Paramètres!$A$1:$I$89,3,0)*VLOOKUP('Données projet'!$B$10,Paramètres!$A$1:$I$89,5,0)</f>
        <v>268.32</v>
      </c>
      <c r="AK81" s="13">
        <f t="shared" si="89"/>
        <v>64.492601473092478</v>
      </c>
      <c r="AL81" s="20">
        <f t="shared" si="58"/>
        <v>579.64861423230275</v>
      </c>
      <c r="AM81" s="59">
        <f t="shared" si="59"/>
        <v>872.98194756563612</v>
      </c>
      <c r="AN81" s="59">
        <f ca="1">AVERAGE(OFFSET($AM$3,0,0,'Données projet'!$E$10+1,1))-AVERAGE(OFFSET($H$3,0,0,'Données projet'!$E$10+1,1))</f>
        <v>285.77483300338548</v>
      </c>
      <c r="AO81" s="59">
        <f t="shared" si="90"/>
        <v>320.55212417690637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3.2250194731873352</v>
      </c>
      <c r="AV81" s="21">
        <f>EXP(-LN(2)/25)*AV80+(1-EXP(-LN(2)/25))/(LN(2)/25)*Calculateur!AQ81*Calculateur!AS81*VLOOKUP('Données projet'!$B$10,Paramètres!$A$1:$I$89,3,0)*0.475*44/12</f>
        <v>7.3647382393451224</v>
      </c>
      <c r="AW81" s="21">
        <f>EXP(-LN(2)/2)*AW80+(1-EXP(-LN(2)/2))/(LN(2)/2)*AQ81*AT81*VLOOKUP('Données projet'!$B$10,Paramètres!$A$1:$I$89,3,0)*0.475*44/12</f>
        <v>1.4544243298120427E-6</v>
      </c>
      <c r="AX81" s="21">
        <f t="shared" si="60"/>
        <v>10.589759166956787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17.5</v>
      </c>
      <c r="BD81" s="12">
        <f>IF('Données projet'!$A$88&gt;35,BD80+BC81-BL80,IF(A81&lt;'Données projet'!$A$88,$BA$205^A81,IF(A81='Données projet'!$A$88,'Données projet'!$B$88,BD80+BC81-BL80)))</f>
        <v>856.9999999999992</v>
      </c>
      <c r="BE81" s="13">
        <f>BD81*VLOOKUP('Données projet'!$B$11,Paramètres!$A$1:$I$89,3,0)*VLOOKUP('Données projet'!$B$11,Paramètres!$A$1:$I$89,5,0)</f>
        <v>412.21699999999959</v>
      </c>
      <c r="BF81" s="13">
        <f t="shared" si="91"/>
        <v>94.249121019335064</v>
      </c>
      <c r="BG81" s="20">
        <f t="shared" si="61"/>
        <v>882.09516077534101</v>
      </c>
      <c r="BH81" s="59">
        <f t="shared" si="62"/>
        <v>1175.4284941086744</v>
      </c>
      <c r="BI81" s="59">
        <f ca="1">AVERAGE(OFFSET($BH$3,0,0,'Données projet'!$E$11+1,1))-AVERAGE(OFFSET($H$3,0,0,'Données projet'!$E$11+1,1))</f>
        <v>402.22278907877927</v>
      </c>
      <c r="BJ81" s="59">
        <f t="shared" si="92"/>
        <v>393.06397734082458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10.742672709597825</v>
      </c>
      <c r="BQ81" s="21">
        <f>EXP(-LN(2)/25)*BQ80+(1-EXP(-LN(2)/25))/(LN(2)/25)*Calculateur!BL81*Calculateur!BN81*VLOOKUP('Données projet'!$B$11,Paramètres!$A$1:$I$89,3,0)*0.475*44/12</f>
        <v>11.915411786324647</v>
      </c>
      <c r="BR81" s="21">
        <f>EXP(-LN(2)/2)*BR80+(1-EXP(-LN(2)/2))/(LN(2)/2)*BL81*BO81*VLOOKUP('Données projet'!$B$11,Paramètres!$A$1:$I$89,3,0)*0.475*44/12</f>
        <v>5.2727679810104278E-5</v>
      </c>
      <c r="BS81" s="22">
        <f t="shared" si="63"/>
        <v>22.658137223602285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7.4</v>
      </c>
      <c r="BY81" s="12">
        <f>IF('Données projet'!$A$114&gt;35,BY80+BX81-CG80,IF(A81&lt;'Données projet'!$A$114,$BV$205^A81,IF(A81='Données projet'!$A$114,'Données projet'!$B$114,BY80+BX81-CG80)))</f>
        <v>333.19999999999982</v>
      </c>
      <c r="BZ81" s="13">
        <f>BY81*VLOOKUP('Données projet'!$B$12,Paramètres!$A$1:$I$89,3,0)*VLOOKUP('Données projet'!$B$12,Paramètres!$A$1:$I$89,5,0)</f>
        <v>301.47935999999982</v>
      </c>
      <c r="CA81" s="13">
        <f t="shared" si="93"/>
        <v>71.486505311225272</v>
      </c>
      <c r="CB81" s="20">
        <f t="shared" si="64"/>
        <v>649.58221541705041</v>
      </c>
      <c r="CC81" s="59">
        <f t="shared" si="65"/>
        <v>942.91554875038378</v>
      </c>
      <c r="CD81" s="59">
        <f ca="1">AVERAGE(OFFSET($CC$3,0,0,'Données projet'!$E$12+1,1))-AVERAGE(OFFSET($H$3,0,0,'Données projet'!$E$12+1,1))</f>
        <v>363.51171608224735</v>
      </c>
      <c r="CE81" s="59">
        <f t="shared" si="94"/>
        <v>257.9239334647138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0.93092575996865867</v>
      </c>
      <c r="CL81" s="21">
        <f>EXP(-LN(2)/25)*CL80+(1-EXP(-LN(2)/25))/(LN(2)/25)*Calculateur!CG81*Calculateur!CI81*VLOOKUP('Données projet'!$B$12,Paramètres!$A$1:$I$89,3,0)*0.475*44/12</f>
        <v>2.9815356494291767</v>
      </c>
      <c r="CM81" s="21">
        <f>EXP(-LN(2)/2)*CM80+(1-EXP(-LN(2)/2))/(LN(2)/2)*CG81*CJ81*VLOOKUP('Données projet'!$B$12,Paramètres!$A$1:$I$89,3,0)*0.475*44/12</f>
        <v>1.284678982144991E-6</v>
      </c>
      <c r="CN81" s="22">
        <f t="shared" si="66"/>
        <v>3.9124626940768175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1">
        <f t="shared" si="86"/>
        <v>12.82563220911333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67">
        <f t="shared" si="56"/>
        <v>390.79635943087231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12.9</v>
      </c>
      <c r="N82" s="13">
        <f>IF('Données projet'!$A$36&gt;35,N81+M82-V81,IF(A82&lt;'Données projet'!$A$36,$K$205^A82,IF(A82='Données projet'!$A$36,'Données projet'!$B$36,N81+M82-V81)))</f>
        <v>777.09999999999877</v>
      </c>
      <c r="O82" s="13">
        <f>N82*VLOOKUP('Données projet'!$B$9,Paramètres!$A$1:$I$89,3,0)*VLOOKUP('Données projet'!$B$9,Paramètres!$A$1:$I$89,5,0)</f>
        <v>434.39889999999929</v>
      </c>
      <c r="P82" s="13">
        <f t="shared" si="87"/>
        <v>98.716678672362434</v>
      </c>
      <c r="Q82" s="20">
        <f t="shared" si="54"/>
        <v>928.50963285436319</v>
      </c>
      <c r="R82" s="59">
        <f t="shared" si="55"/>
        <v>1221.8429661876964</v>
      </c>
      <c r="S82" s="59">
        <f ca="1">AVERAGE(OFFSET($R$3,0,0,'Données projet'!$E$9+1,1))-AVERAGE(OFFSET($H$3,0,0,'Données projet'!$E$9+1,1))</f>
        <v>446.28010102877403</v>
      </c>
      <c r="T82" s="59">
        <f t="shared" si="88"/>
        <v>445.84011537290456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4.3273187973566962</v>
      </c>
      <c r="AA82" s="21">
        <f>EXP(-LN(2)/25)*AA81+(1-EXP(-LN(2)/25))/(LN(2)/25)*Calculateur!V82*Calculateur!X82*VLOOKUP('Données projet'!$B$9,Paramètres!$A$1:$I$89,3,0)*0.475*44/12</f>
        <v>9.9622713605168602</v>
      </c>
      <c r="AB82" s="21">
        <f>EXP(-LN(2)/2)*AB81+(1-EXP(-LN(2)/2))/(LN(2)/2)*V82*Y82*VLOOKUP('Données projet'!$B$9,Paramètres!$A$1:$I$89,3,0)*0.475*44/12</f>
        <v>1.5371752798464077E-6</v>
      </c>
      <c r="AC82" s="22">
        <f t="shared" si="57"/>
        <v>14.289591695048836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6</v>
      </c>
      <c r="AI82" s="13">
        <f>IF('Données projet'!$A$62&gt;35,AI81+AH82-AQ81,IF(A82&lt;'Données projet'!$A$62,$AF$205^A82,IF(A82='Données projet'!$A$62,'Données projet'!$B$62,AI81+AH82-AQ81)))</f>
        <v>436</v>
      </c>
      <c r="AJ82" s="13">
        <f>AI82*VLOOKUP('Données projet'!$B$10,Paramètres!$A$1:$I$89,3,0)*VLOOKUP('Données projet'!$B$10,Paramètres!$A$1:$I$89,5,0)</f>
        <v>272.06400000000002</v>
      </c>
      <c r="AK82" s="13">
        <f t="shared" si="89"/>
        <v>65.28710784811372</v>
      </c>
      <c r="AL82" s="20">
        <f t="shared" si="58"/>
        <v>587.55317950213146</v>
      </c>
      <c r="AM82" s="59">
        <f t="shared" si="59"/>
        <v>880.88651283546483</v>
      </c>
      <c r="AN82" s="59">
        <f ca="1">AVERAGE(OFFSET($AM$3,0,0,'Données projet'!$E$10+1,1))-AVERAGE(OFFSET($H$3,0,0,'Données projet'!$E$10+1,1))</f>
        <v>285.77483300338548</v>
      </c>
      <c r="AO82" s="59">
        <f t="shared" si="90"/>
        <v>320.55212417690637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3.1617788083857783</v>
      </c>
      <c r="AV82" s="21">
        <f>EXP(-LN(2)/25)*AV81+(1-EXP(-LN(2)/25))/(LN(2)/25)*Calculateur!AQ82*Calculateur!AS82*VLOOKUP('Données projet'!$B$10,Paramètres!$A$1:$I$89,3,0)*0.475*44/12</f>
        <v>7.1633490848954784</v>
      </c>
      <c r="AW82" s="21">
        <f>EXP(-LN(2)/2)*AW81+(1-EXP(-LN(2)/2))/(LN(2)/2)*AQ82*AT82*VLOOKUP('Données projet'!$B$10,Paramètres!$A$1:$I$89,3,0)*0.475*44/12</f>
        <v>1.0284333063327951E-6</v>
      </c>
      <c r="AX82" s="21">
        <f t="shared" si="60"/>
        <v>10.325128921714564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17.5</v>
      </c>
      <c r="BD82" s="12">
        <f>IF('Données projet'!$A$88&gt;35,BD81+BC82-BL81,IF(A82&lt;'Données projet'!$A$88,$BA$205^A82,IF(A82='Données projet'!$A$88,'Données projet'!$B$88,BD81+BC82-BL81)))</f>
        <v>874.4999999999992</v>
      </c>
      <c r="BE82" s="13">
        <f>BD82*VLOOKUP('Données projet'!$B$11,Paramètres!$A$1:$I$89,3,0)*VLOOKUP('Données projet'!$B$11,Paramètres!$A$1:$I$89,5,0)</f>
        <v>420.63449999999966</v>
      </c>
      <c r="BF82" s="13">
        <f t="shared" si="91"/>
        <v>95.947668470845713</v>
      </c>
      <c r="BG82" s="20">
        <f t="shared" si="61"/>
        <v>899.71394342005567</v>
      </c>
      <c r="BH82" s="59">
        <f t="shared" si="62"/>
        <v>1193.047276753389</v>
      </c>
      <c r="BI82" s="59">
        <f ca="1">AVERAGE(OFFSET($BH$3,0,0,'Données projet'!$E$11+1,1))-AVERAGE(OFFSET($H$3,0,0,'Données projet'!$E$11+1,1))</f>
        <v>402.22278907877927</v>
      </c>
      <c r="BJ82" s="59">
        <f t="shared" si="92"/>
        <v>393.06397734082458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10.53201545014597</v>
      </c>
      <c r="BQ82" s="21">
        <f>EXP(-LN(2)/25)*BQ81+(1-EXP(-LN(2)/25))/(LN(2)/25)*Calculateur!BL82*Calculateur!BN82*VLOOKUP('Données projet'!$B$11,Paramètres!$A$1:$I$89,3,0)*0.475*44/12</f>
        <v>11.589584224423326</v>
      </c>
      <c r="BR82" s="21">
        <f>EXP(-LN(2)/2)*BR81+(1-EXP(-LN(2)/2))/(LN(2)/2)*BL82*BO82*VLOOKUP('Données projet'!$B$11,Paramètres!$A$1:$I$89,3,0)*0.475*44/12</f>
        <v>3.7284099949957745E-5</v>
      </c>
      <c r="BS82" s="22">
        <f t="shared" si="63"/>
        <v>22.121636958669246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7.4</v>
      </c>
      <c r="BY82" s="12">
        <f>IF('Données projet'!$A$114&gt;35,BY81+BX82-CG81,IF(A82&lt;'Données projet'!$A$114,$BV$205^A82,IF(A82='Données projet'!$A$114,'Données projet'!$B$114,BY81+BX82-CG81)))</f>
        <v>340.5999999999998</v>
      </c>
      <c r="BZ82" s="13">
        <f>BY82*VLOOKUP('Données projet'!$B$12,Paramètres!$A$1:$I$89,3,0)*VLOOKUP('Données projet'!$B$12,Paramètres!$A$1:$I$89,5,0)</f>
        <v>308.1748799999998</v>
      </c>
      <c r="CA82" s="13">
        <f t="shared" si="93"/>
        <v>72.887541582684676</v>
      </c>
      <c r="CB82" s="20">
        <f t="shared" si="64"/>
        <v>663.6837175898421</v>
      </c>
      <c r="CC82" s="59">
        <f t="shared" si="65"/>
        <v>957.01705092317547</v>
      </c>
      <c r="CD82" s="59">
        <f ca="1">AVERAGE(OFFSET($CC$3,0,0,'Données projet'!$E$12+1,1))-AVERAGE(OFFSET($H$3,0,0,'Données projet'!$E$12+1,1))</f>
        <v>363.51171608224735</v>
      </c>
      <c r="CE82" s="59">
        <f t="shared" si="94"/>
        <v>257.9239334647138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0.91267087362432042</v>
      </c>
      <c r="CL82" s="21">
        <f>EXP(-LN(2)/25)*CL81+(1-EXP(-LN(2)/25))/(LN(2)/25)*Calculateur!CG82*Calculateur!CI82*VLOOKUP('Données projet'!$B$12,Paramètres!$A$1:$I$89,3,0)*0.475*44/12</f>
        <v>2.9000054003033906</v>
      </c>
      <c r="CM82" s="21">
        <f>EXP(-LN(2)/2)*CM81+(1-EXP(-LN(2)/2))/(LN(2)/2)*CG82*CJ82*VLOOKUP('Données projet'!$B$12,Paramètres!$A$1:$I$89,3,0)*0.475*44/12</f>
        <v>9.0840521992255487E-7</v>
      </c>
      <c r="CN82" s="22">
        <f t="shared" si="66"/>
        <v>3.8126771823329308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1">
        <f t="shared" si="86"/>
        <v>12.968979282088567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67">
        <f t="shared" si="56"/>
        <v>391.99697224963751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790</v>
      </c>
      <c r="L83" s="12">
        <f>VLOOKUP(A83,'Données projet'!$A$35:$I$55,9,0)</f>
        <v>12.9</v>
      </c>
      <c r="M83" s="12">
        <f t="array" ref="M83">INDEX(L:L,MIN(IF(ISNUMBER(L83:L279),ROW(L83:L279),"")))</f>
        <v>12.9</v>
      </c>
      <c r="N83" s="13">
        <f>IF('Données projet'!$A$36&gt;35,N82+M83-V82,IF(A83&lt;'Données projet'!$A$36,$K$205^A83,IF(A83='Données projet'!$A$36,'Données projet'!$B$36,N82+M83-V82)))</f>
        <v>789.99999999999875</v>
      </c>
      <c r="O83" s="13">
        <f>N83*VLOOKUP('Données projet'!$B$9,Paramètres!$A$1:$I$89,3,0)*VLOOKUP('Données projet'!$B$9,Paramètres!$A$1:$I$89,5,0)</f>
        <v>441.60999999999933</v>
      </c>
      <c r="P83" s="13">
        <f t="shared" si="87"/>
        <v>100.16325657794113</v>
      </c>
      <c r="Q83" s="20">
        <f t="shared" si="54"/>
        <v>943.58842187324615</v>
      </c>
      <c r="R83" s="59">
        <f t="shared" si="55"/>
        <v>1236.9217552065795</v>
      </c>
      <c r="S83" s="59">
        <f ca="1">AVERAGE(OFFSET($R$3,0,0,'Données projet'!$E$9+1,1))-AVERAGE(OFFSET($H$3,0,0,'Données projet'!$E$9+1,1))</f>
        <v>446.28010102877403</v>
      </c>
      <c r="T83" s="59">
        <f t="shared" si="88"/>
        <v>445.84011537290456</v>
      </c>
      <c r="U83" s="15">
        <f>IF(ISNA(VLOOKUP(A83,'Données projet'!$A$35:$I$55,3,0)),0,VLOOKUP(A83,'Données projet'!$A$35:$I$55,3,0))</f>
        <v>7</v>
      </c>
      <c r="V83" s="15">
        <f>IF(ISNA(VLOOKUP(A83,'Données projet'!$A$35:$I$55,4,0)),0,VLOOKUP(A83,'Données projet'!$A$35:$I$55,4,0))</f>
        <v>790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4.2424627151443781</v>
      </c>
      <c r="AA83" s="21">
        <f>EXP(-LN(2)/25)*AA82+(1-EXP(-LN(2)/25))/(LN(2)/25)*Calculateur!V83*Calculateur!X83*VLOOKUP('Données projet'!$B$9,Paramètres!$A$1:$I$89,3,0)*0.475*44/12</f>
        <v>9.6898525262704442</v>
      </c>
      <c r="AB83" s="21">
        <f>EXP(-LN(2)/2)*AB82+(1-EXP(-LN(2)/2))/(LN(2)/2)*V83*Y83*VLOOKUP('Données projet'!$B$9,Paramètres!$A$1:$I$89,3,0)*0.475*44/12</f>
        <v>1.0869470642517238E-6</v>
      </c>
      <c r="AC83" s="22">
        <f t="shared" si="57"/>
        <v>13.932316328361887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442</v>
      </c>
      <c r="AG83" s="12">
        <f>VLOOKUP(A83,'Données projet'!$A$61:$I$81,9,0)</f>
        <v>6</v>
      </c>
      <c r="AH83" s="12">
        <f t="array" ref="AH83">INDEX(AG:AG,MIN(IF(ISNUMBER(AG83:AG279),ROW(AG83:AG279),"")))</f>
        <v>6</v>
      </c>
      <c r="AI83" s="13">
        <f>IF('Données projet'!$A$62&gt;35,AI82+AH83-AQ82,IF(A83&lt;'Données projet'!$A$62,$AF$205^A83,IF(A83='Données projet'!$A$62,'Données projet'!$B$62,AI82+AH83-AQ82)))</f>
        <v>442</v>
      </c>
      <c r="AJ83" s="13">
        <f>AI83*VLOOKUP('Données projet'!$B$10,Paramètres!$A$1:$I$89,3,0)*VLOOKUP('Données projet'!$B$10,Paramètres!$A$1:$I$89,5,0)</f>
        <v>275.80799999999999</v>
      </c>
      <c r="AK83" s="13">
        <f t="shared" si="89"/>
        <v>66.08034253144065</v>
      </c>
      <c r="AL83" s="20">
        <f t="shared" si="58"/>
        <v>595.45552990892566</v>
      </c>
      <c r="AM83" s="59">
        <f t="shared" si="59"/>
        <v>888.78886324225891</v>
      </c>
      <c r="AN83" s="59">
        <f ca="1">AVERAGE(OFFSET($AM$3,0,0,'Données projet'!$E$10+1,1))-AVERAGE(OFFSET($H$3,0,0,'Données projet'!$E$10+1,1))</f>
        <v>285.77483300338548</v>
      </c>
      <c r="AO83" s="59">
        <f t="shared" si="90"/>
        <v>320.55212417690637</v>
      </c>
      <c r="AP83" s="15">
        <f>IF(ISNA(VLOOKUP(A83,'Données projet'!$A$61:$I$81,3,0)),0,VLOOKUP(A83,'Données projet'!$A$61:$I$81,3,0))</f>
        <v>7</v>
      </c>
      <c r="AQ83" s="15">
        <f>IF(ISNA(VLOOKUP(A83,'Données projet'!$A$61:$I$81,4,0)),0,VLOOKUP(A83,'Données projet'!$A$61:$I$81,4,0))</f>
        <v>442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3.0997782544479833</v>
      </c>
      <c r="AV83" s="21">
        <f>EXP(-LN(2)/25)*AV82+(1-EXP(-LN(2)/25))/(LN(2)/25)*Calculateur!AQ83*Calculateur!AS83*VLOOKUP('Données projet'!$B$10,Paramètres!$A$1:$I$89,3,0)*0.475*44/12</f>
        <v>6.9674669274648551</v>
      </c>
      <c r="AW83" s="21">
        <f>EXP(-LN(2)/2)*AW82+(1-EXP(-LN(2)/2))/(LN(2)/2)*AQ83*AT83*VLOOKUP('Données projet'!$B$10,Paramètres!$A$1:$I$89,3,0)*0.475*44/12</f>
        <v>7.2721216490602135E-7</v>
      </c>
      <c r="AX83" s="21">
        <f t="shared" si="60"/>
        <v>10.067245909125003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892</v>
      </c>
      <c r="BB83" s="12">
        <f>VLOOKUP(A83,'Données projet'!$A$87:$I$107,9,0)</f>
        <v>17.5</v>
      </c>
      <c r="BC83" s="12">
        <f t="array" ref="BC83">INDEX(BB:BB,MIN(IF(ISNUMBER(BB83:BB279),ROW(BB83:BB279),"")))</f>
        <v>17.5</v>
      </c>
      <c r="BD83" s="12">
        <f>IF('Données projet'!$A$88&gt;35,BD82+BC83-BL82,IF(A83&lt;'Données projet'!$A$88,$BA$205^A83,IF(A83='Données projet'!$A$88,'Données projet'!$B$88,BD82+BC83-BL82)))</f>
        <v>891.9999999999992</v>
      </c>
      <c r="BE83" s="13">
        <f>BD83*VLOOKUP('Données projet'!$B$11,Paramètres!$A$1:$I$89,3,0)*VLOOKUP('Données projet'!$B$11,Paramètres!$A$1:$I$89,5,0)</f>
        <v>429.05199999999962</v>
      </c>
      <c r="BF83" s="13">
        <f t="shared" si="91"/>
        <v>97.642263768610974</v>
      </c>
      <c r="BG83" s="20">
        <f t="shared" si="61"/>
        <v>917.32584273033024</v>
      </c>
      <c r="BH83" s="59">
        <f t="shared" si="62"/>
        <v>1210.6591760636636</v>
      </c>
      <c r="BI83" s="59">
        <f ca="1">AVERAGE(OFFSET($BH$3,0,0,'Données projet'!$E$11+1,1))-AVERAGE(OFFSET($H$3,0,0,'Données projet'!$E$11+1,1))</f>
        <v>402.22278907877927</v>
      </c>
      <c r="BJ83" s="59">
        <f t="shared" si="92"/>
        <v>393.06397734082458</v>
      </c>
      <c r="BK83" s="15">
        <f>IF(ISNA(VLOOKUP(A83,'Données projet'!$A$87:$I$107,3,0)),0,VLOOKUP(A83,'Données projet'!$A$87:$I$107,3,0))</f>
        <v>8</v>
      </c>
      <c r="BL83" s="21">
        <f>IF(ISNA(VLOOKUP(A83,'Données projet'!$A$87:$I$107,4,0)),0,VLOOKUP(A83,'Données projet'!$A$87:$I$107,4,0))</f>
        <v>892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10.325489051063725</v>
      </c>
      <c r="BQ83" s="21">
        <f>EXP(-LN(2)/25)*BQ82+(1-EXP(-LN(2)/25))/(LN(2)/25)*Calculateur!BL83*Calculateur!BN83*VLOOKUP('Données projet'!$B$11,Paramètres!$A$1:$I$89,3,0)*0.475*44/12</f>
        <v>11.272666434336724</v>
      </c>
      <c r="BR83" s="21">
        <f>EXP(-LN(2)/2)*BR82+(1-EXP(-LN(2)/2))/(LN(2)/2)*BL83*BO83*VLOOKUP('Données projet'!$B$11,Paramètres!$A$1:$I$89,3,0)*0.475*44/12</f>
        <v>2.6363839905052139E-5</v>
      </c>
      <c r="BS83" s="22">
        <f t="shared" si="63"/>
        <v>21.598181849240351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348</v>
      </c>
      <c r="BW83" s="12">
        <f>VLOOKUP(A83,'Données projet'!$A$113:$I$133,9,0)</f>
        <v>7.4</v>
      </c>
      <c r="BX83" s="12">
        <f t="array" ref="BX83">INDEX(BW:BW,MIN(IF(ISNUMBER(BW83:BW279),ROW(BW83:BW279),"")))</f>
        <v>7.4</v>
      </c>
      <c r="BY83" s="12">
        <f>IF('Données projet'!$A$114&gt;35,BY82+BX83-CG82,IF(A83&lt;'Données projet'!$A$114,$BV$205^A83,IF(A83='Données projet'!$A$114,'Données projet'!$B$114,BY82+BX83-CG82)))</f>
        <v>347.99999999999977</v>
      </c>
      <c r="BZ83" s="13">
        <f>BY83*VLOOKUP('Données projet'!$B$12,Paramètres!$A$1:$I$89,3,0)*VLOOKUP('Données projet'!$B$12,Paramètres!$A$1:$I$89,5,0)</f>
        <v>314.87039999999979</v>
      </c>
      <c r="CA83" s="13">
        <f t="shared" si="93"/>
        <v>74.285038887149881</v>
      </c>
      <c r="CB83" s="20">
        <f t="shared" si="64"/>
        <v>677.7790560617857</v>
      </c>
      <c r="CC83" s="59">
        <f t="shared" si="65"/>
        <v>971.11238939511895</v>
      </c>
      <c r="CD83" s="59">
        <f ca="1">AVERAGE(OFFSET($CC$3,0,0,'Données projet'!$E$12+1,1))-AVERAGE(OFFSET($H$3,0,0,'Données projet'!$E$12+1,1))</f>
        <v>363.51171608224735</v>
      </c>
      <c r="CE83" s="59">
        <f t="shared" si="94"/>
        <v>257.9239334647138</v>
      </c>
      <c r="CF83" s="15">
        <f>IF(ISNA(VLOOKUP(A83,'Données projet'!$A$113:$I$133,3,0)),0,VLOOKUP(A83,'Données projet'!$A$113:$I$133,3,0))</f>
        <v>7</v>
      </c>
      <c r="CG83" s="15">
        <f>IF(ISNA(VLOOKUP(A83,'Données projet'!$A$113:$I$133,4,0)),0,VLOOKUP(A83,'Données projet'!$A$113:$I$133,4,0))</f>
        <v>56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0.8947739544668134</v>
      </c>
      <c r="CL83" s="21">
        <f>EXP(-LN(2)/25)*CL82+(1-EXP(-LN(2)/25))/(LN(2)/25)*Calculateur!CG83*Calculateur!CI83*VLOOKUP('Données projet'!$B$12,Paramètres!$A$1:$I$89,3,0)*0.475*44/12</f>
        <v>2.8207046001274385</v>
      </c>
      <c r="CM83" s="21">
        <f>EXP(-LN(2)/2)*CM82+(1-EXP(-LN(2)/2))/(LN(2)/2)*CG83*CJ83*VLOOKUP('Données projet'!$B$12,Paramètres!$A$1:$I$89,3,0)*0.475*44/12</f>
        <v>6.4233949107249562E-7</v>
      </c>
      <c r="CN83" s="22">
        <f t="shared" si="66"/>
        <v>3.7154791969337428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1">
        <f t="shared" si="86"/>
        <v>13.112117930994097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67">
        <f t="shared" si="56"/>
        <v>393.19722206314799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-1.2505552149377763E-12</v>
      </c>
      <c r="O84" s="13">
        <f>N84*VLOOKUP('Données projet'!$B$9,Paramètres!$A$1:$I$89,3,0)*VLOOKUP('Données projet'!$B$9,Paramètres!$A$1:$I$89,5,0)</f>
        <v>-6.9906036515021697E-13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446.28010102877403</v>
      </c>
      <c r="T84" s="59">
        <f t="shared" si="88"/>
        <v>445.84011537290456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4.1592706089471445</v>
      </c>
      <c r="AA84" s="21">
        <f>EXP(-LN(2)/25)*AA83+(1-EXP(-LN(2)/25))/(LN(2)/25)*Calculateur!V84*Calculateur!X84*VLOOKUP('Données projet'!$B$9,Paramètres!$A$1:$I$89,3,0)*0.475*44/12</f>
        <v>9.4248829993723806</v>
      </c>
      <c r="AB84" s="21">
        <f>EXP(-LN(2)/2)*AB83+(1-EXP(-LN(2)/2))/(LN(2)/2)*V84*Y84*VLOOKUP('Données projet'!$B$9,Paramètres!$A$1:$I$89,3,0)*0.475*44/12</f>
        <v>7.6858763992320385E-7</v>
      </c>
      <c r="AC84" s="22">
        <f t="shared" si="57"/>
        <v>13.584154376907165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>
        <f>AI84*VLOOKUP('Données projet'!$B$10,Paramètres!$A$1:$I$89,3,0)*VLOOKUP('Données projet'!$B$10,Paramètres!$A$1:$I$89,5,0)</f>
        <v>0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285.77483300338548</v>
      </c>
      <c r="AO84" s="59">
        <f t="shared" si="90"/>
        <v>320.55212417690637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3.0389934935563048</v>
      </c>
      <c r="AV84" s="21">
        <f>EXP(-LN(2)/25)*AV83+(1-EXP(-LN(2)/25))/(LN(2)/25)*Calculateur!AQ84*Calculateur!AS84*VLOOKUP('Données projet'!$B$10,Paramètres!$A$1:$I$89,3,0)*0.475*44/12</f>
        <v>6.7769411779301674</v>
      </c>
      <c r="AW84" s="21">
        <f>EXP(-LN(2)/2)*AW83+(1-EXP(-LN(2)/2))/(LN(2)/2)*AQ84*AT84*VLOOKUP('Données projet'!$B$10,Paramètres!$A$1:$I$89,3,0)*0.475*44/12</f>
        <v>5.1421665316639755E-7</v>
      </c>
      <c r="AX84" s="21">
        <f t="shared" si="60"/>
        <v>9.8159351857031254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-7.9580786405131221E-13</v>
      </c>
      <c r="BE84" s="13">
        <f>BD84*VLOOKUP('Données projet'!$B$11,Paramètres!$A$1:$I$89,3,0)*VLOOKUP('Données projet'!$B$11,Paramètres!$A$1:$I$89,5,0)</f>
        <v>-3.8278358260868117E-13</v>
      </c>
      <c r="BF84" s="13" t="e">
        <f t="shared" si="91"/>
        <v>#NUM!</v>
      </c>
      <c r="BG84" s="20" t="e">
        <f t="shared" si="61"/>
        <v>#NUM!</v>
      </c>
      <c r="BH84" s="59" t="e">
        <f t="shared" si="62"/>
        <v>#NUM!</v>
      </c>
      <c r="BI84" s="59">
        <f ca="1">AVERAGE(OFFSET($BH$3,0,0,'Données projet'!$E$11+1,1))-AVERAGE(OFFSET($H$3,0,0,'Données projet'!$E$11+1,1))</f>
        <v>402.22278907877927</v>
      </c>
      <c r="BJ84" s="59">
        <f t="shared" si="92"/>
        <v>393.06397734082458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10.123012508698817</v>
      </c>
      <c r="BQ84" s="21">
        <f>EXP(-LN(2)/25)*BQ83+(1-EXP(-LN(2)/25))/(LN(2)/25)*Calculateur!BL84*Calculateur!BN84*VLOOKUP('Données projet'!$B$11,Paramètres!$A$1:$I$89,3,0)*0.475*44/12</f>
        <v>10.964414777886022</v>
      </c>
      <c r="BR84" s="21">
        <f>EXP(-LN(2)/2)*BR83+(1-EXP(-LN(2)/2))/(LN(2)/2)*BL84*BO84*VLOOKUP('Données projet'!$B$11,Paramètres!$A$1:$I$89,3,0)*0.475*44/12</f>
        <v>1.8642049974978873E-5</v>
      </c>
      <c r="BS84" s="22">
        <f t="shared" si="63"/>
        <v>21.087445928634818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6.6</v>
      </c>
      <c r="BY84" s="12">
        <f>IF('Données projet'!$A$114&gt;35,BY83+BX84-CG83,IF(A84&lt;'Données projet'!$A$114,$BV$205^A84,IF(A84='Données projet'!$A$114,'Données projet'!$B$114,BY83+BX84-CG83)))</f>
        <v>298.5999999999998</v>
      </c>
      <c r="BZ84" s="13">
        <f>BY84*VLOOKUP('Données projet'!$B$12,Paramètres!$A$1:$I$89,3,0)*VLOOKUP('Données projet'!$B$12,Paramètres!$A$1:$I$89,5,0)</f>
        <v>270.17327999999981</v>
      </c>
      <c r="CA84" s="13">
        <f t="shared" si="93"/>
        <v>64.886042303882988</v>
      </c>
      <c r="CB84" s="20">
        <f t="shared" si="64"/>
        <v>583.56165301259591</v>
      </c>
      <c r="CC84" s="59">
        <f t="shared" si="65"/>
        <v>876.89498634592928</v>
      </c>
      <c r="CD84" s="59">
        <f ca="1">AVERAGE(OFFSET($CC$3,0,0,'Données projet'!$E$12+1,1))-AVERAGE(OFFSET($H$3,0,0,'Données projet'!$E$12+1,1))</f>
        <v>363.51171608224735</v>
      </c>
      <c r="CE84" s="59">
        <f t="shared" si="94"/>
        <v>257.9239334647138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0.87722798297794224</v>
      </c>
      <c r="CL84" s="21">
        <f>EXP(-LN(2)/25)*CL83+(1-EXP(-LN(2)/25))/(LN(2)/25)*Calculateur!CG84*Calculateur!CI84*VLOOKUP('Données projet'!$B$12,Paramètres!$A$1:$I$89,3,0)*0.475*44/12</f>
        <v>2.7435722845025454</v>
      </c>
      <c r="CM84" s="21">
        <f>EXP(-LN(2)/2)*CM83+(1-EXP(-LN(2)/2))/(LN(2)/2)*CG84*CJ84*VLOOKUP('Données projet'!$B$12,Paramètres!$A$1:$I$89,3,0)*0.475*44/12</f>
        <v>4.5420260996127749E-7</v>
      </c>
      <c r="CN84" s="22">
        <f t="shared" si="66"/>
        <v>3.6208007216830973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1">
        <f t="shared" si="86"/>
        <v>13.255051026563269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67">
        <f t="shared" si="56"/>
        <v>394.39711387126425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-1.2505552149377763E-12</v>
      </c>
      <c r="O85" s="13">
        <f>N85*VLOOKUP('Données projet'!$B$9,Paramètres!$A$1:$I$89,3,0)*VLOOKUP('Données projet'!$B$9,Paramètres!$A$1:$I$89,5,0)</f>
        <v>-6.9906036515021697E-13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446.28010102877403</v>
      </c>
      <c r="T85" s="59">
        <f t="shared" si="88"/>
        <v>445.84011537290456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4.0777098492102644</v>
      </c>
      <c r="AA85" s="21">
        <f>EXP(-LN(2)/25)*AA84+(1-EXP(-LN(2)/25))/(LN(2)/25)*Calculateur!V85*Calculateur!X85*VLOOKUP('Données projet'!$B$9,Paramètres!$A$1:$I$89,3,0)*0.475*44/12</f>
        <v>9.167159078121486</v>
      </c>
      <c r="AB85" s="21">
        <f>EXP(-LN(2)/2)*AB84+(1-EXP(-LN(2)/2))/(LN(2)/2)*V85*Y85*VLOOKUP('Données projet'!$B$9,Paramètres!$A$1:$I$89,3,0)*0.475*44/12</f>
        <v>5.4347353212586188E-7</v>
      </c>
      <c r="AC85" s="22">
        <f t="shared" si="57"/>
        <v>13.244869470805284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>
        <f>AI85*VLOOKUP('Données projet'!$B$10,Paramètres!$A$1:$I$89,3,0)*VLOOKUP('Données projet'!$B$10,Paramètres!$A$1:$I$89,5,0)</f>
        <v>0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285.77483300338548</v>
      </c>
      <c r="AO85" s="59">
        <f t="shared" si="90"/>
        <v>320.55212417690637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2.9794006847506687</v>
      </c>
      <c r="AV85" s="21">
        <f>EXP(-LN(2)/25)*AV84+(1-EXP(-LN(2)/25))/(LN(2)/25)*Calculateur!AQ85*Calculateur!AS85*VLOOKUP('Données projet'!$B$10,Paramètres!$A$1:$I$89,3,0)*0.475*44/12</f>
        <v>6.591625365035819</v>
      </c>
      <c r="AW85" s="21">
        <f>EXP(-LN(2)/2)*AW84+(1-EXP(-LN(2)/2))/(LN(2)/2)*AQ85*AT85*VLOOKUP('Données projet'!$B$10,Paramètres!$A$1:$I$89,3,0)*0.475*44/12</f>
        <v>3.6360608245301068E-7</v>
      </c>
      <c r="AX85" s="21">
        <f t="shared" si="60"/>
        <v>9.5710264133925698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-7.9580786405131221E-13</v>
      </c>
      <c r="BE85" s="13">
        <f>BD85*VLOOKUP('Données projet'!$B$11,Paramètres!$A$1:$I$89,3,0)*VLOOKUP('Données projet'!$B$11,Paramètres!$A$1:$I$89,5,0)</f>
        <v>-3.8278358260868117E-13</v>
      </c>
      <c r="BF85" s="13" t="e">
        <f t="shared" si="91"/>
        <v>#NUM!</v>
      </c>
      <c r="BG85" s="20" t="e">
        <f t="shared" si="61"/>
        <v>#NUM!</v>
      </c>
      <c r="BH85" s="59" t="e">
        <f t="shared" si="62"/>
        <v>#NUM!</v>
      </c>
      <c r="BI85" s="59">
        <f ca="1">AVERAGE(OFFSET($BH$3,0,0,'Données projet'!$E$11+1,1))-AVERAGE(OFFSET($H$3,0,0,'Données projet'!$E$11+1,1))</f>
        <v>402.22278907877927</v>
      </c>
      <c r="BJ85" s="59">
        <f t="shared" si="92"/>
        <v>393.06397734082458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9.9245064078311902</v>
      </c>
      <c r="BQ85" s="21">
        <f>EXP(-LN(2)/25)*BQ84+(1-EXP(-LN(2)/25))/(LN(2)/25)*Calculateur!BL85*Calculateur!BN85*VLOOKUP('Données projet'!$B$11,Paramètres!$A$1:$I$89,3,0)*0.475*44/12</f>
        <v>10.664592279191215</v>
      </c>
      <c r="BR85" s="21">
        <f>EXP(-LN(2)/2)*BR84+(1-EXP(-LN(2)/2))/(LN(2)/2)*BL85*BO85*VLOOKUP('Données projet'!$B$11,Paramètres!$A$1:$I$89,3,0)*0.475*44/12</f>
        <v>1.318191995252607E-5</v>
      </c>
      <c r="BS85" s="22">
        <f t="shared" si="63"/>
        <v>20.589111868942361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6.6</v>
      </c>
      <c r="BY85" s="12">
        <f>IF('Données projet'!$A$114&gt;35,BY84+BX85-CG84,IF(A85&lt;'Données projet'!$A$114,$BV$205^A85,IF(A85='Données projet'!$A$114,'Données projet'!$B$114,BY84+BX85-CG84)))</f>
        <v>305.19999999999982</v>
      </c>
      <c r="BZ85" s="13">
        <f>BY85*VLOOKUP('Données projet'!$B$12,Paramètres!$A$1:$I$89,3,0)*VLOOKUP('Données projet'!$B$12,Paramètres!$A$1:$I$89,5,0)</f>
        <v>276.1449599999998</v>
      </c>
      <c r="CA85" s="13">
        <f t="shared" si="93"/>
        <v>66.151671938851194</v>
      </c>
      <c r="CB85" s="20">
        <f t="shared" si="64"/>
        <v>596.16663396016543</v>
      </c>
      <c r="CC85" s="59">
        <f t="shared" si="65"/>
        <v>889.49996729349868</v>
      </c>
      <c r="CD85" s="59">
        <f ca="1">AVERAGE(OFFSET($CC$3,0,0,'Données projet'!$E$12+1,1))-AVERAGE(OFFSET($H$3,0,0,'Données projet'!$E$12+1,1))</f>
        <v>363.51171608224735</v>
      </c>
      <c r="CE85" s="59">
        <f t="shared" si="94"/>
        <v>257.9239334647138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0.86002607728798197</v>
      </c>
      <c r="CL85" s="21">
        <f>EXP(-LN(2)/25)*CL84+(1-EXP(-LN(2)/25))/(LN(2)/25)*Calculateur!CG85*Calculateur!CI85*VLOOKUP('Données projet'!$B$12,Paramètres!$A$1:$I$89,3,0)*0.475*44/12</f>
        <v>2.6685491561046275</v>
      </c>
      <c r="CM85" s="21">
        <f>EXP(-LN(2)/2)*CM84+(1-EXP(-LN(2)/2))/(LN(2)/2)*CG85*CJ85*VLOOKUP('Données projet'!$B$12,Paramètres!$A$1:$I$89,3,0)*0.475*44/12</f>
        <v>3.2116974553624786E-7</v>
      </c>
      <c r="CN85" s="22">
        <f t="shared" si="66"/>
        <v>3.5285755545623547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1">
        <f t="shared" si="86"/>
        <v>13.397781365483624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67">
        <f t="shared" si="56"/>
        <v>395.59665254488391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-1.2505552149377763E-12</v>
      </c>
      <c r="O86" s="13">
        <f>N86*VLOOKUP('Données projet'!$B$9,Paramètres!$A$1:$I$89,3,0)*VLOOKUP('Données projet'!$B$9,Paramètres!$A$1:$I$89,5,0)</f>
        <v>-6.9906036515021697E-13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446.28010102877403</v>
      </c>
      <c r="T86" s="59">
        <f t="shared" si="88"/>
        <v>445.84011537290456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3.9977484462246728</v>
      </c>
      <c r="AA86" s="21">
        <f>EXP(-LN(2)/25)*AA85+(1-EXP(-LN(2)/25))/(LN(2)/25)*Calculateur!V86*Calculateur!X86*VLOOKUP('Données projet'!$B$9,Paramètres!$A$1:$I$89,3,0)*0.475*44/12</f>
        <v>8.9164826310503091</v>
      </c>
      <c r="AB86" s="21">
        <f>EXP(-LN(2)/2)*AB85+(1-EXP(-LN(2)/2))/(LN(2)/2)*V86*Y86*VLOOKUP('Données projet'!$B$9,Paramètres!$A$1:$I$89,3,0)*0.475*44/12</f>
        <v>3.8429381996160193E-7</v>
      </c>
      <c r="AC86" s="22">
        <f t="shared" si="57"/>
        <v>12.914231461568802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>
        <f>AI86*VLOOKUP('Données projet'!$B$10,Paramètres!$A$1:$I$89,3,0)*VLOOKUP('Données projet'!$B$10,Paramètres!$A$1:$I$89,5,0)</f>
        <v>0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285.77483300338548</v>
      </c>
      <c r="AO86" s="59">
        <f t="shared" si="90"/>
        <v>320.55212417690637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2.9209764545776866</v>
      </c>
      <c r="AV86" s="21">
        <f>EXP(-LN(2)/25)*AV85+(1-EXP(-LN(2)/25))/(LN(2)/25)*Calculateur!AQ86*Calculateur!AS86*VLOOKUP('Données projet'!$B$10,Paramètres!$A$1:$I$89,3,0)*0.475*44/12</f>
        <v>6.4113770227904023</v>
      </c>
      <c r="AW86" s="21">
        <f>EXP(-LN(2)/2)*AW85+(1-EXP(-LN(2)/2))/(LN(2)/2)*AQ86*AT86*VLOOKUP('Données projet'!$B$10,Paramètres!$A$1:$I$89,3,0)*0.475*44/12</f>
        <v>2.5710832658319877E-7</v>
      </c>
      <c r="AX86" s="21">
        <f t="shared" si="60"/>
        <v>9.3323537344764151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-7.9580786405131221E-13</v>
      </c>
      <c r="BE86" s="13">
        <f>BD86*VLOOKUP('Données projet'!$B$11,Paramètres!$A$1:$I$89,3,0)*VLOOKUP('Données projet'!$B$11,Paramètres!$A$1:$I$89,5,0)</f>
        <v>-3.8278358260868117E-13</v>
      </c>
      <c r="BF86" s="13" t="e">
        <f t="shared" si="91"/>
        <v>#NUM!</v>
      </c>
      <c r="BG86" s="20" t="e">
        <f t="shared" si="61"/>
        <v>#NUM!</v>
      </c>
      <c r="BH86" s="59" t="e">
        <f t="shared" si="62"/>
        <v>#NUM!</v>
      </c>
      <c r="BI86" s="59">
        <f ca="1">AVERAGE(OFFSET($BH$3,0,0,'Données projet'!$E$11+1,1))-AVERAGE(OFFSET($H$3,0,0,'Données projet'!$E$11+1,1))</f>
        <v>402.22278907877927</v>
      </c>
      <c r="BJ86" s="59">
        <f t="shared" si="92"/>
        <v>393.06397734082458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9.7298928905248108</v>
      </c>
      <c r="BQ86" s="21">
        <f>EXP(-LN(2)/25)*BQ85+(1-EXP(-LN(2)/25))/(LN(2)/25)*Calculateur!BL86*Calculateur!BN86*VLOOKUP('Données projet'!$B$11,Paramètres!$A$1:$I$89,3,0)*0.475*44/12</f>
        <v>10.372968442490198</v>
      </c>
      <c r="BR86" s="21">
        <f>EXP(-LN(2)/2)*BR85+(1-EXP(-LN(2)/2))/(LN(2)/2)*BL86*BO86*VLOOKUP('Données projet'!$B$11,Paramètres!$A$1:$I$89,3,0)*0.475*44/12</f>
        <v>9.3210249874894363E-6</v>
      </c>
      <c r="BS86" s="22">
        <f t="shared" si="63"/>
        <v>20.102870654039993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6.6</v>
      </c>
      <c r="BY86" s="12">
        <f>IF('Données projet'!$A$114&gt;35,BY85+BX86-CG85,IF(A86&lt;'Données projet'!$A$114,$BV$205^A86,IF(A86='Données projet'!$A$114,'Données projet'!$B$114,BY85+BX86-CG85)))</f>
        <v>311.79999999999984</v>
      </c>
      <c r="BZ86" s="13">
        <f>BY86*VLOOKUP('Données projet'!$B$12,Paramètres!$A$1:$I$89,3,0)*VLOOKUP('Données projet'!$B$12,Paramètres!$A$1:$I$89,5,0)</f>
        <v>282.11663999999985</v>
      </c>
      <c r="CA86" s="13">
        <f t="shared" si="93"/>
        <v>67.414119514142243</v>
      </c>
      <c r="CB86" s="20">
        <f t="shared" si="64"/>
        <v>608.76607282046416</v>
      </c>
      <c r="CC86" s="59">
        <f t="shared" si="65"/>
        <v>902.09940615379742</v>
      </c>
      <c r="CD86" s="59">
        <f ca="1">AVERAGE(OFFSET($CC$3,0,0,'Données projet'!$E$12+1,1))-AVERAGE(OFFSET($H$3,0,0,'Données projet'!$E$12+1,1))</f>
        <v>363.51171608224735</v>
      </c>
      <c r="CE86" s="59">
        <f t="shared" si="94"/>
        <v>257.9239334647138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0.84316149047647537</v>
      </c>
      <c r="CL86" s="21">
        <f>EXP(-LN(2)/25)*CL85+(1-EXP(-LN(2)/25))/(LN(2)/25)*Calculateur!CG86*Calculateur!CI86*VLOOKUP('Données projet'!$B$12,Paramètres!$A$1:$I$89,3,0)*0.475*44/12</f>
        <v>2.5955775390980453</v>
      </c>
      <c r="CM86" s="21">
        <f>EXP(-LN(2)/2)*CM85+(1-EXP(-LN(2)/2))/(LN(2)/2)*CG86*CJ86*VLOOKUP('Données projet'!$B$12,Paramètres!$A$1:$I$89,3,0)*0.475*44/12</f>
        <v>2.2710130498063877E-7</v>
      </c>
      <c r="CN86" s="22">
        <f t="shared" si="66"/>
        <v>3.4387392566758255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1">
        <f t="shared" si="86"/>
        <v>13.540311673175388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67">
        <f t="shared" si="56"/>
        <v>396.79584283078037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-1.2505552149377763E-12</v>
      </c>
      <c r="O87" s="13">
        <f>N87*VLOOKUP('Données projet'!$B$9,Paramètres!$A$1:$I$89,3,0)*VLOOKUP('Données projet'!$B$9,Paramètres!$A$1:$I$89,5,0)</f>
        <v>-6.9906036515021697E-13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446.28010102877403</v>
      </c>
      <c r="T87" s="59">
        <f t="shared" si="88"/>
        <v>445.84011537290456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3.9193550375799888</v>
      </c>
      <c r="AA87" s="21">
        <f>EXP(-LN(2)/25)*AA86+(1-EXP(-LN(2)/25))/(LN(2)/25)*Calculateur!V87*Calculateur!X87*VLOOKUP('Données projet'!$B$9,Paramètres!$A$1:$I$89,3,0)*0.475*44/12</f>
        <v>8.672660944606795</v>
      </c>
      <c r="AB87" s="21">
        <f>EXP(-LN(2)/2)*AB86+(1-EXP(-LN(2)/2))/(LN(2)/2)*V87*Y87*VLOOKUP('Données projet'!$B$9,Paramètres!$A$1:$I$89,3,0)*0.475*44/12</f>
        <v>2.7173676606293094E-7</v>
      </c>
      <c r="AC87" s="22">
        <f t="shared" si="57"/>
        <v>12.59201625392355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>
        <f>AI87*VLOOKUP('Données projet'!$B$10,Paramètres!$A$1:$I$89,3,0)*VLOOKUP('Données projet'!$B$10,Paramètres!$A$1:$I$89,5,0)</f>
        <v>0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285.77483300338548</v>
      </c>
      <c r="AO87" s="59">
        <f t="shared" si="90"/>
        <v>320.55212417690637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2.8636978879231352</v>
      </c>
      <c r="AV87" s="21">
        <f>EXP(-LN(2)/25)*AV86+(1-EXP(-LN(2)/25))/(LN(2)/25)*Calculateur!AQ87*Calculateur!AS87*VLOOKUP('Données projet'!$B$10,Paramètres!$A$1:$I$89,3,0)*0.475*44/12</f>
        <v>6.2360575809425347</v>
      </c>
      <c r="AW87" s="21">
        <f>EXP(-LN(2)/2)*AW86+(1-EXP(-LN(2)/2))/(LN(2)/2)*AQ87*AT87*VLOOKUP('Données projet'!$B$10,Paramètres!$A$1:$I$89,3,0)*0.475*44/12</f>
        <v>1.8180304122650534E-7</v>
      </c>
      <c r="AX87" s="21">
        <f t="shared" si="60"/>
        <v>9.0997556506687118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-7.9580786405131221E-13</v>
      </c>
      <c r="BE87" s="13">
        <f>BD87*VLOOKUP('Données projet'!$B$11,Paramètres!$A$1:$I$89,3,0)*VLOOKUP('Données projet'!$B$11,Paramètres!$A$1:$I$89,5,0)</f>
        <v>-3.8278358260868117E-13</v>
      </c>
      <c r="BF87" s="13" t="e">
        <f t="shared" si="91"/>
        <v>#NUM!</v>
      </c>
      <c r="BG87" s="20" t="e">
        <f t="shared" si="61"/>
        <v>#NUM!</v>
      </c>
      <c r="BH87" s="59" t="e">
        <f t="shared" si="62"/>
        <v>#NUM!</v>
      </c>
      <c r="BI87" s="59">
        <f ca="1">AVERAGE(OFFSET($BH$3,0,0,'Données projet'!$E$11+1,1))-AVERAGE(OFFSET($H$3,0,0,'Données projet'!$E$11+1,1))</f>
        <v>402.22278907877927</v>
      </c>
      <c r="BJ87" s="59">
        <f t="shared" si="92"/>
        <v>393.06397734082458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9.539095625590285</v>
      </c>
      <c r="BQ87" s="21">
        <f>EXP(-LN(2)/25)*BQ86+(1-EXP(-LN(2)/25))/(LN(2)/25)*Calculateur!BL87*Calculateur!BN87*VLOOKUP('Données projet'!$B$11,Paramètres!$A$1:$I$89,3,0)*0.475*44/12</f>
        <v>10.089319074939601</v>
      </c>
      <c r="BR87" s="21">
        <f>EXP(-LN(2)/2)*BR86+(1-EXP(-LN(2)/2))/(LN(2)/2)*BL87*BO87*VLOOKUP('Données projet'!$B$11,Paramètres!$A$1:$I$89,3,0)*0.475*44/12</f>
        <v>6.5909599762630348E-6</v>
      </c>
      <c r="BS87" s="22">
        <f t="shared" si="63"/>
        <v>19.628421291489865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6.6</v>
      </c>
      <c r="BY87" s="12">
        <f>IF('Données projet'!$A$114&gt;35,BY86+BX87-CG86,IF(A87&lt;'Données projet'!$A$114,$BV$205^A87,IF(A87='Données projet'!$A$114,'Données projet'!$B$114,BY86+BX87-CG86)))</f>
        <v>318.39999999999986</v>
      </c>
      <c r="BZ87" s="13">
        <f>BY87*VLOOKUP('Données projet'!$B$12,Paramètres!$A$1:$I$89,3,0)*VLOOKUP('Données projet'!$B$12,Paramètres!$A$1:$I$89,5,0)</f>
        <v>288.0883199999999</v>
      </c>
      <c r="CA87" s="13">
        <f t="shared" si="93"/>
        <v>68.673460144735557</v>
      </c>
      <c r="CB87" s="20">
        <f t="shared" si="64"/>
        <v>621.36010041874761</v>
      </c>
      <c r="CC87" s="59">
        <f t="shared" si="65"/>
        <v>914.69343375208086</v>
      </c>
      <c r="CD87" s="59">
        <f ca="1">AVERAGE(OFFSET($CC$3,0,0,'Données projet'!$E$12+1,1))-AVERAGE(OFFSET($H$3,0,0,'Données projet'!$E$12+1,1))</f>
        <v>363.51171608224735</v>
      </c>
      <c r="CE87" s="59">
        <f t="shared" si="94"/>
        <v>257.9239334647138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0.82662760792596013</v>
      </c>
      <c r="CL87" s="21">
        <f>EXP(-LN(2)/25)*CL86+(1-EXP(-LN(2)/25))/(LN(2)/25)*Calculateur!CG87*Calculateur!CI87*VLOOKUP('Données projet'!$B$12,Paramètres!$A$1:$I$89,3,0)*0.475*44/12</f>
        <v>2.5246013347959186</v>
      </c>
      <c r="CM87" s="21">
        <f>EXP(-LN(2)/2)*CM86+(1-EXP(-LN(2)/2))/(LN(2)/2)*CG87*CJ87*VLOOKUP('Données projet'!$B$12,Paramètres!$A$1:$I$89,3,0)*0.475*44/12</f>
        <v>1.6058487276812396E-7</v>
      </c>
      <c r="CN87" s="22">
        <f t="shared" si="66"/>
        <v>3.3512291033067516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1">
        <f t="shared" si="86"/>
        <v>13.68264460643392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67">
        <f t="shared" si="56"/>
        <v>397.99468935620564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-1.2505552149377763E-12</v>
      </c>
      <c r="O88" s="13">
        <f>N88*VLOOKUP('Données projet'!$B$9,Paramètres!$A$1:$I$89,3,0)*VLOOKUP('Données projet'!$B$9,Paramètres!$A$1:$I$89,5,0)</f>
        <v>-6.9906036515021697E-13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446.28010102877403</v>
      </c>
      <c r="T88" s="59">
        <f t="shared" si="88"/>
        <v>445.84011537290456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3.8424988758635688</v>
      </c>
      <c r="AA88" s="21">
        <f>EXP(-LN(2)/25)*AA87+(1-EXP(-LN(2)/25))/(LN(2)/25)*Calculateur!V88*Calculateur!X88*VLOOKUP('Données projet'!$B$9,Paramètres!$A$1:$I$89,3,0)*0.475*44/12</f>
        <v>8.4355065750011047</v>
      </c>
      <c r="AB88" s="21">
        <f>EXP(-LN(2)/2)*AB87+(1-EXP(-LN(2)/2))/(LN(2)/2)*V88*Y88*VLOOKUP('Données projet'!$B$9,Paramètres!$A$1:$I$89,3,0)*0.475*44/12</f>
        <v>1.9214690998080096E-7</v>
      </c>
      <c r="AC88" s="22">
        <f t="shared" si="57"/>
        <v>12.278005643011584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>
        <f>AI88*VLOOKUP('Données projet'!$B$10,Paramètres!$A$1:$I$89,3,0)*VLOOKUP('Données projet'!$B$10,Paramètres!$A$1:$I$89,5,0)</f>
        <v>0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285.77483300338548</v>
      </c>
      <c r="AO88" s="59">
        <f t="shared" si="90"/>
        <v>320.55212417690637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2.8075425190242034</v>
      </c>
      <c r="AV88" s="21">
        <f>EXP(-LN(2)/25)*AV87+(1-EXP(-LN(2)/25))/(LN(2)/25)*Calculateur!AQ88*Calculateur!AS88*VLOOKUP('Données projet'!$B$10,Paramètres!$A$1:$I$89,3,0)*0.475*44/12</f>
        <v>6.065532258451646</v>
      </c>
      <c r="AW88" s="21">
        <f>EXP(-LN(2)/2)*AW87+(1-EXP(-LN(2)/2))/(LN(2)/2)*AQ88*AT88*VLOOKUP('Données projet'!$B$10,Paramètres!$A$1:$I$89,3,0)*0.475*44/12</f>
        <v>1.2855416329159939E-7</v>
      </c>
      <c r="AX88" s="21">
        <f t="shared" si="60"/>
        <v>8.8730749060300127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-7.9580786405131221E-13</v>
      </c>
      <c r="BE88" s="13">
        <f>BD88*VLOOKUP('Données projet'!$B$11,Paramètres!$A$1:$I$89,3,0)*VLOOKUP('Données projet'!$B$11,Paramètres!$A$1:$I$89,5,0)</f>
        <v>-3.8278358260868117E-13</v>
      </c>
      <c r="BF88" s="13" t="e">
        <f t="shared" si="91"/>
        <v>#NUM!</v>
      </c>
      <c r="BG88" s="20" t="e">
        <f t="shared" si="61"/>
        <v>#NUM!</v>
      </c>
      <c r="BH88" s="59" t="e">
        <f t="shared" si="62"/>
        <v>#NUM!</v>
      </c>
      <c r="BI88" s="59">
        <f ca="1">AVERAGE(OFFSET($BH$3,0,0,'Données projet'!$E$11+1,1))-AVERAGE(OFFSET($H$3,0,0,'Données projet'!$E$11+1,1))</f>
        <v>402.22278907877927</v>
      </c>
      <c r="BJ88" s="59">
        <f t="shared" si="92"/>
        <v>393.06397734082458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9.3520397786462848</v>
      </c>
      <c r="BQ88" s="21">
        <f>EXP(-LN(2)/25)*BQ87+(1-EXP(-LN(2)/25))/(LN(2)/25)*Calculateur!BL88*Calculateur!BN88*VLOOKUP('Données projet'!$B$11,Paramètres!$A$1:$I$89,3,0)*0.475*44/12</f>
        <v>9.8134261142611461</v>
      </c>
      <c r="BR88" s="21">
        <f>EXP(-LN(2)/2)*BR87+(1-EXP(-LN(2)/2))/(LN(2)/2)*BL88*BO88*VLOOKUP('Données projet'!$B$11,Paramètres!$A$1:$I$89,3,0)*0.475*44/12</f>
        <v>4.6605124937447181E-6</v>
      </c>
      <c r="BS88" s="22">
        <f t="shared" si="63"/>
        <v>19.165470553419926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6.6</v>
      </c>
      <c r="BY88" s="12">
        <f>IF('Données projet'!$A$114&gt;35,BY87+BX88-CG87,IF(A88&lt;'Données projet'!$A$114,$BV$205^A88,IF(A88='Données projet'!$A$114,'Données projet'!$B$114,BY87+BX88-CG87)))</f>
        <v>324.99999999999989</v>
      </c>
      <c r="BZ88" s="13">
        <f>BY88*VLOOKUP('Données projet'!$B$12,Paramètres!$A$1:$I$89,3,0)*VLOOKUP('Données projet'!$B$12,Paramètres!$A$1:$I$89,5,0)</f>
        <v>294.05999999999989</v>
      </c>
      <c r="CA88" s="13">
        <f t="shared" si="93"/>
        <v>69.929765653573313</v>
      </c>
      <c r="CB88" s="20">
        <f t="shared" si="64"/>
        <v>633.94884184663999</v>
      </c>
      <c r="CC88" s="59">
        <f t="shared" si="65"/>
        <v>927.28217517997336</v>
      </c>
      <c r="CD88" s="59">
        <f ca="1">AVERAGE(OFFSET($CC$3,0,0,'Données projet'!$E$12+1,1))-AVERAGE(OFFSET($H$3,0,0,'Données projet'!$E$12+1,1))</f>
        <v>363.51171608224735</v>
      </c>
      <c r="CE88" s="59">
        <f t="shared" si="94"/>
        <v>257.9239334647138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0.81041794472758799</v>
      </c>
      <c r="CL88" s="21">
        <f>EXP(-LN(2)/25)*CL87+(1-EXP(-LN(2)/25))/(LN(2)/25)*Calculateur!CG88*Calculateur!CI88*VLOOKUP('Données projet'!$B$12,Paramètres!$A$1:$I$89,3,0)*0.475*44/12</f>
        <v>2.4555659785329103</v>
      </c>
      <c r="CM88" s="21">
        <f>EXP(-LN(2)/2)*CM87+(1-EXP(-LN(2)/2))/(LN(2)/2)*CG88*CJ88*VLOOKUP('Données projet'!$B$12,Paramètres!$A$1:$I$89,3,0)*0.475*44/12</f>
        <v>1.1355065249031941E-7</v>
      </c>
      <c r="CN88" s="22">
        <f t="shared" si="66"/>
        <v>3.2659840368111506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1">
        <f t="shared" si="86"/>
        <v>13.824782755944199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67">
        <f t="shared" si="56"/>
        <v>399.19319663326939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-1.2505552149377763E-12</v>
      </c>
      <c r="O89" s="13">
        <f>N89*VLOOKUP('Données projet'!$B$9,Paramètres!$A$1:$I$89,3,0)*VLOOKUP('Données projet'!$B$9,Paramètres!$A$1:$I$89,5,0)</f>
        <v>-6.9906036515021697E-13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446.28010102877403</v>
      </c>
      <c r="T89" s="59">
        <f t="shared" si="88"/>
        <v>445.84011537290456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3.767149816600778</v>
      </c>
      <c r="AA89" s="21">
        <f>EXP(-LN(2)/25)*AA88+(1-EXP(-LN(2)/25))/(LN(2)/25)*Calculateur!V89*Calculateur!X89*VLOOKUP('Données projet'!$B$9,Paramètres!$A$1:$I$89,3,0)*0.475*44/12</f>
        <v>8.2048372041036881</v>
      </c>
      <c r="AB89" s="21">
        <f>EXP(-LN(2)/2)*AB88+(1-EXP(-LN(2)/2))/(LN(2)/2)*V89*Y89*VLOOKUP('Données projet'!$B$9,Paramètres!$A$1:$I$89,3,0)*0.475*44/12</f>
        <v>1.3586838303146547E-7</v>
      </c>
      <c r="AC89" s="22">
        <f t="shared" si="57"/>
        <v>11.971987156572849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>
        <f>AI89*VLOOKUP('Données projet'!$B$10,Paramètres!$A$1:$I$89,3,0)*VLOOKUP('Données projet'!$B$10,Paramètres!$A$1:$I$89,5,0)</f>
        <v>0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285.77483300338548</v>
      </c>
      <c r="AO89" s="59">
        <f t="shared" si="90"/>
        <v>320.55212417690637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2.7524883226579866</v>
      </c>
      <c r="AV89" s="21">
        <f>EXP(-LN(2)/25)*AV88+(1-EXP(-LN(2)/25))/(LN(2)/25)*Calculateur!AQ89*Calculateur!AS89*VLOOKUP('Données projet'!$B$10,Paramètres!$A$1:$I$89,3,0)*0.475*44/12</f>
        <v>5.8996699598718072</v>
      </c>
      <c r="AW89" s="21">
        <f>EXP(-LN(2)/2)*AW88+(1-EXP(-LN(2)/2))/(LN(2)/2)*AQ89*AT89*VLOOKUP('Données projet'!$B$10,Paramètres!$A$1:$I$89,3,0)*0.475*44/12</f>
        <v>9.0901520613252669E-8</v>
      </c>
      <c r="AX89" s="21">
        <f t="shared" si="60"/>
        <v>8.6521583734313143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-7.9580786405131221E-13</v>
      </c>
      <c r="BE89" s="13">
        <f>BD89*VLOOKUP('Données projet'!$B$11,Paramètres!$A$1:$I$89,3,0)*VLOOKUP('Données projet'!$B$11,Paramètres!$A$1:$I$89,5,0)</f>
        <v>-3.8278358260868117E-13</v>
      </c>
      <c r="BF89" s="13" t="e">
        <f t="shared" si="91"/>
        <v>#NUM!</v>
      </c>
      <c r="BG89" s="20" t="e">
        <f t="shared" si="61"/>
        <v>#NUM!</v>
      </c>
      <c r="BH89" s="59" t="e">
        <f t="shared" si="62"/>
        <v>#NUM!</v>
      </c>
      <c r="BI89" s="59">
        <f ca="1">AVERAGE(OFFSET($BH$3,0,0,'Données projet'!$E$11+1,1))-AVERAGE(OFFSET($H$3,0,0,'Données projet'!$E$11+1,1))</f>
        <v>402.22278907877927</v>
      </c>
      <c r="BJ89" s="59">
        <f t="shared" si="92"/>
        <v>393.06397734082458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9.1686519827680542</v>
      </c>
      <c r="BQ89" s="21">
        <f>EXP(-LN(2)/25)*BQ88+(1-EXP(-LN(2)/25))/(LN(2)/25)*Calculateur!BL89*Calculateur!BN89*VLOOKUP('Données projet'!$B$11,Paramètres!$A$1:$I$89,3,0)*0.475*44/12</f>
        <v>9.545077461101025</v>
      </c>
      <c r="BR89" s="21">
        <f>EXP(-LN(2)/2)*BR88+(1-EXP(-LN(2)/2))/(LN(2)/2)*BL89*BO89*VLOOKUP('Données projet'!$B$11,Paramètres!$A$1:$I$89,3,0)*0.475*44/12</f>
        <v>3.2954799881315174E-6</v>
      </c>
      <c r="BS89" s="22">
        <f t="shared" si="63"/>
        <v>18.713732739349066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6.6</v>
      </c>
      <c r="BY89" s="12">
        <f>IF('Données projet'!$A$114&gt;35,BY88+BX89-CG88,IF(A89&lt;'Données projet'!$A$114,$BV$205^A89,IF(A89='Données projet'!$A$114,'Données projet'!$B$114,BY88+BX89-CG88)))</f>
        <v>331.59999999999991</v>
      </c>
      <c r="BZ89" s="13">
        <f>BY89*VLOOKUP('Données projet'!$B$12,Paramètres!$A$1:$I$89,3,0)*VLOOKUP('Données projet'!$B$12,Paramètres!$A$1:$I$89,5,0)</f>
        <v>300.03167999999994</v>
      </c>
      <c r="CA89" s="13">
        <f t="shared" si="93"/>
        <v>71.183104779714938</v>
      </c>
      <c r="CB89" s="20">
        <f t="shared" si="64"/>
        <v>646.53241682467001</v>
      </c>
      <c r="CC89" s="59">
        <f t="shared" si="65"/>
        <v>939.86575015800327</v>
      </c>
      <c r="CD89" s="59">
        <f ca="1">AVERAGE(OFFSET($CC$3,0,0,'Données projet'!$E$12+1,1))-AVERAGE(OFFSET($H$3,0,0,'Données projet'!$E$12+1,1))</f>
        <v>363.51171608224735</v>
      </c>
      <c r="CE89" s="59">
        <f t="shared" si="94"/>
        <v>257.9239334647138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0.7945261431376176</v>
      </c>
      <c r="CL89" s="21">
        <f>EXP(-LN(2)/25)*CL88+(1-EXP(-LN(2)/25))/(LN(2)/25)*Calculateur!CG89*Calculateur!CI89*VLOOKUP('Données projet'!$B$12,Paramètres!$A$1:$I$89,3,0)*0.475*44/12</f>
        <v>2.3884183977173254</v>
      </c>
      <c r="CM89" s="21">
        <f>EXP(-LN(2)/2)*CM88+(1-EXP(-LN(2)/2))/(LN(2)/2)*CG89*CJ89*VLOOKUP('Données projet'!$B$12,Paramètres!$A$1:$I$89,3,0)*0.475*44/12</f>
        <v>8.0292436384061992E-8</v>
      </c>
      <c r="CN89" s="22">
        <f t="shared" si="66"/>
        <v>3.1829446211473793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1">
        <f t="shared" si="86"/>
        <v>13.966728648675151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67">
        <f t="shared" si="56"/>
        <v>400.39136906310915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-1.2505552149377763E-12</v>
      </c>
      <c r="O90" s="13">
        <f>N90*VLOOKUP('Données projet'!$B$9,Paramètres!$A$1:$I$89,3,0)*VLOOKUP('Données projet'!$B$9,Paramètres!$A$1:$I$89,5,0)</f>
        <v>-6.9906036515021697E-13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446.28010102877403</v>
      </c>
      <c r="T90" s="59">
        <f t="shared" si="88"/>
        <v>445.84011537290456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3.6932783064317425</v>
      </c>
      <c r="AA90" s="21">
        <f>EXP(-LN(2)/25)*AA89+(1-EXP(-LN(2)/25))/(LN(2)/25)*Calculateur!V90*Calculateur!X90*VLOOKUP('Données projet'!$B$9,Paramètres!$A$1:$I$89,3,0)*0.475*44/12</f>
        <v>7.9804754992838367</v>
      </c>
      <c r="AB90" s="21">
        <f>EXP(-LN(2)/2)*AB89+(1-EXP(-LN(2)/2))/(LN(2)/2)*V90*Y90*VLOOKUP('Données projet'!$B$9,Paramètres!$A$1:$I$89,3,0)*0.475*44/12</f>
        <v>9.6073454990400482E-8</v>
      </c>
      <c r="AC90" s="22">
        <f t="shared" si="57"/>
        <v>11.673753901789034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>
        <f>AI90*VLOOKUP('Données projet'!$B$10,Paramètres!$A$1:$I$89,3,0)*VLOOKUP('Données projet'!$B$10,Paramètres!$A$1:$I$89,5,0)</f>
        <v>0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285.77483300338548</v>
      </c>
      <c r="AO90" s="59">
        <f t="shared" si="90"/>
        <v>320.55212417690637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2.6985137055027675</v>
      </c>
      <c r="AV90" s="21">
        <f>EXP(-LN(2)/25)*AV89+(1-EXP(-LN(2)/25))/(LN(2)/25)*Calculateur!AQ90*Calculateur!AS90*VLOOKUP('Données projet'!$B$10,Paramètres!$A$1:$I$89,3,0)*0.475*44/12</f>
        <v>5.7383431745689535</v>
      </c>
      <c r="AW90" s="21">
        <f>EXP(-LN(2)/2)*AW89+(1-EXP(-LN(2)/2))/(LN(2)/2)*AQ90*AT90*VLOOKUP('Données projet'!$B$10,Paramètres!$A$1:$I$89,3,0)*0.475*44/12</f>
        <v>6.4277081645799693E-8</v>
      </c>
      <c r="AX90" s="21">
        <f t="shared" si="60"/>
        <v>8.4368569443488024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-7.9580786405131221E-13</v>
      </c>
      <c r="BE90" s="13">
        <f>BD90*VLOOKUP('Données projet'!$B$11,Paramètres!$A$1:$I$89,3,0)*VLOOKUP('Données projet'!$B$11,Paramètres!$A$1:$I$89,5,0)</f>
        <v>-3.8278358260868117E-13</v>
      </c>
      <c r="BF90" s="13" t="e">
        <f t="shared" si="91"/>
        <v>#NUM!</v>
      </c>
      <c r="BG90" s="20" t="e">
        <f t="shared" si="61"/>
        <v>#NUM!</v>
      </c>
      <c r="BH90" s="59" t="e">
        <f t="shared" si="62"/>
        <v>#NUM!</v>
      </c>
      <c r="BI90" s="59">
        <f ca="1">AVERAGE(OFFSET($BH$3,0,0,'Données projet'!$E$11+1,1))-AVERAGE(OFFSET($H$3,0,0,'Données projet'!$E$11+1,1))</f>
        <v>402.22278907877927</v>
      </c>
      <c r="BJ90" s="59">
        <f t="shared" si="92"/>
        <v>393.06397734082458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8.9888603097114856</v>
      </c>
      <c r="BQ90" s="21">
        <f>EXP(-LN(2)/25)*BQ89+(1-EXP(-LN(2)/25))/(LN(2)/25)*Calculateur!BL90*Calculateur!BN90*VLOOKUP('Données projet'!$B$11,Paramètres!$A$1:$I$89,3,0)*0.475*44/12</f>
        <v>9.284066815973409</v>
      </c>
      <c r="BR90" s="21">
        <f>EXP(-LN(2)/2)*BR89+(1-EXP(-LN(2)/2))/(LN(2)/2)*BL90*BO90*VLOOKUP('Données projet'!$B$11,Paramètres!$A$1:$I$89,3,0)*0.475*44/12</f>
        <v>2.3302562468723591E-6</v>
      </c>
      <c r="BS90" s="22">
        <f t="shared" si="63"/>
        <v>18.272929455941142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6.6</v>
      </c>
      <c r="BY90" s="12">
        <f>IF('Données projet'!$A$114&gt;35,BY89+BX90-CG89,IF(A90&lt;'Données projet'!$A$114,$BV$205^A90,IF(A90='Données projet'!$A$114,'Données projet'!$B$114,BY89+BX90-CG89)))</f>
        <v>338.19999999999993</v>
      </c>
      <c r="BZ90" s="13">
        <f>BY90*VLOOKUP('Données projet'!$B$12,Paramètres!$A$1:$I$89,3,0)*VLOOKUP('Données projet'!$B$12,Paramètres!$A$1:$I$89,5,0)</f>
        <v>306.00335999999993</v>
      </c>
      <c r="CA90" s="13">
        <f t="shared" si="93"/>
        <v>72.433543369450447</v>
      </c>
      <c r="CB90" s="20">
        <f t="shared" si="64"/>
        <v>659.11094003512596</v>
      </c>
      <c r="CC90" s="59">
        <f t="shared" si="65"/>
        <v>952.44427336845933</v>
      </c>
      <c r="CD90" s="59">
        <f ca="1">AVERAGE(OFFSET($CC$3,0,0,'Données projet'!$E$12+1,1))-AVERAGE(OFFSET($H$3,0,0,'Données projet'!$E$12+1,1))</f>
        <v>363.51171608224735</v>
      </c>
      <c r="CE90" s="59">
        <f t="shared" si="94"/>
        <v>257.9239334647138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0.77894597008378463</v>
      </c>
      <c r="CL90" s="21">
        <f>EXP(-LN(2)/25)*CL89+(1-EXP(-LN(2)/25))/(LN(2)/25)*Calculateur!CG90*Calculateur!CI90*VLOOKUP('Données projet'!$B$12,Paramètres!$A$1:$I$89,3,0)*0.475*44/12</f>
        <v>2.3231069710302803</v>
      </c>
      <c r="CM90" s="21">
        <f>EXP(-LN(2)/2)*CM89+(1-EXP(-LN(2)/2))/(LN(2)/2)*CG90*CJ90*VLOOKUP('Données projet'!$B$12,Paramètres!$A$1:$I$89,3,0)*0.475*44/12</f>
        <v>5.6775326245159712E-8</v>
      </c>
      <c r="CN90" s="22">
        <f t="shared" si="66"/>
        <v>3.1020529978893912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1">
        <f t="shared" si="86"/>
        <v>14.10848475016061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67">
        <f t="shared" si="56"/>
        <v>401.58921093986299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-1.2505552149377763E-12</v>
      </c>
      <c r="O91" s="13">
        <f>N91*VLOOKUP('Données projet'!$B$9,Paramètres!$A$1:$I$89,3,0)*VLOOKUP('Données projet'!$B$9,Paramètres!$A$1:$I$89,5,0)</f>
        <v>-6.9906036515021697E-13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446.28010102877403</v>
      </c>
      <c r="T91" s="59">
        <f t="shared" si="88"/>
        <v>445.84011537290456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3.6208553715199496</v>
      </c>
      <c r="AA91" s="21">
        <f>EXP(-LN(2)/25)*AA90+(1-EXP(-LN(2)/25))/(LN(2)/25)*Calculateur!V91*Calculateur!X91*VLOOKUP('Données projet'!$B$9,Paramètres!$A$1:$I$89,3,0)*0.475*44/12</f>
        <v>7.7622489770809535</v>
      </c>
      <c r="AB91" s="21">
        <f>EXP(-LN(2)/2)*AB90+(1-EXP(-LN(2)/2))/(LN(2)/2)*V91*Y91*VLOOKUP('Données projet'!$B$9,Paramètres!$A$1:$I$89,3,0)*0.475*44/12</f>
        <v>6.7934191515732735E-8</v>
      </c>
      <c r="AC91" s="22">
        <f t="shared" si="57"/>
        <v>11.383104416535094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>
        <f>AI91*VLOOKUP('Données projet'!$B$10,Paramètres!$A$1:$I$89,3,0)*VLOOKUP('Données projet'!$B$10,Paramètres!$A$1:$I$89,5,0)</f>
        <v>0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285.77483300338548</v>
      </c>
      <c r="AO91" s="59">
        <f t="shared" si="90"/>
        <v>320.55212417690637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2.6455974976686965</v>
      </c>
      <c r="AV91" s="21">
        <f>EXP(-LN(2)/25)*AV90+(1-EXP(-LN(2)/25))/(LN(2)/25)*Calculateur!AQ91*Calculateur!AS91*VLOOKUP('Données projet'!$B$10,Paramètres!$A$1:$I$89,3,0)*0.475*44/12</f>
        <v>5.5814278786940132</v>
      </c>
      <c r="AW91" s="21">
        <f>EXP(-LN(2)/2)*AW90+(1-EXP(-LN(2)/2))/(LN(2)/2)*AQ91*AT91*VLOOKUP('Données projet'!$B$10,Paramètres!$A$1:$I$89,3,0)*0.475*44/12</f>
        <v>4.5450760306626335E-8</v>
      </c>
      <c r="AX91" s="21">
        <f t="shared" si="60"/>
        <v>8.2270254218134689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-7.9580786405131221E-13</v>
      </c>
      <c r="BE91" s="13">
        <f>BD91*VLOOKUP('Données projet'!$B$11,Paramètres!$A$1:$I$89,3,0)*VLOOKUP('Données projet'!$B$11,Paramètres!$A$1:$I$89,5,0)</f>
        <v>-3.8278358260868117E-13</v>
      </c>
      <c r="BF91" s="13" t="e">
        <f t="shared" si="91"/>
        <v>#NUM!</v>
      </c>
      <c r="BG91" s="20" t="e">
        <f t="shared" si="61"/>
        <v>#NUM!</v>
      </c>
      <c r="BH91" s="59" t="e">
        <f t="shared" si="62"/>
        <v>#NUM!</v>
      </c>
      <c r="BI91" s="59">
        <f ca="1">AVERAGE(OFFSET($BH$3,0,0,'Données projet'!$E$11+1,1))-AVERAGE(OFFSET($H$3,0,0,'Données projet'!$E$11+1,1))</f>
        <v>402.22278907877927</v>
      </c>
      <c r="BJ91" s="59">
        <f t="shared" si="92"/>
        <v>393.06397734082458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8.8125942417014649</v>
      </c>
      <c r="BQ91" s="21">
        <f>EXP(-LN(2)/25)*BQ90+(1-EXP(-LN(2)/25))/(LN(2)/25)*Calculateur!BL91*Calculateur!BN91*VLOOKUP('Données projet'!$B$11,Paramètres!$A$1:$I$89,3,0)*0.475*44/12</f>
        <v>9.0301935206627615</v>
      </c>
      <c r="BR91" s="21">
        <f>EXP(-LN(2)/2)*BR90+(1-EXP(-LN(2)/2))/(LN(2)/2)*BL91*BO91*VLOOKUP('Données projet'!$B$11,Paramètres!$A$1:$I$89,3,0)*0.475*44/12</f>
        <v>1.6477399940657587E-6</v>
      </c>
      <c r="BS91" s="22">
        <f t="shared" si="63"/>
        <v>17.842789410104217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6.6</v>
      </c>
      <c r="BY91" s="12">
        <f>IF('Données projet'!$A$114&gt;35,BY90+BX91-CG90,IF(A91&lt;'Données projet'!$A$114,$BV$205^A91,IF(A91='Données projet'!$A$114,'Données projet'!$B$114,BY90+BX91-CG90)))</f>
        <v>344.79999999999995</v>
      </c>
      <c r="BZ91" s="13">
        <f>BY91*VLOOKUP('Données projet'!$B$12,Paramètres!$A$1:$I$89,3,0)*VLOOKUP('Données projet'!$B$12,Paramètres!$A$1:$I$89,5,0)</f>
        <v>311.97503999999992</v>
      </c>
      <c r="CA91" s="13">
        <f t="shared" si="93"/>
        <v>73.681144552074599</v>
      </c>
      <c r="CB91" s="20">
        <f t="shared" si="64"/>
        <v>671.68452142819649</v>
      </c>
      <c r="CC91" s="59">
        <f t="shared" si="65"/>
        <v>965.01785476152986</v>
      </c>
      <c r="CD91" s="59">
        <f ca="1">AVERAGE(OFFSET($CC$3,0,0,'Données projet'!$E$12+1,1))-AVERAGE(OFFSET($H$3,0,0,'Données projet'!$E$12+1,1))</f>
        <v>363.51171608224735</v>
      </c>
      <c r="CE91" s="59">
        <f t="shared" si="94"/>
        <v>257.9239334647138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0.76367131472057015</v>
      </c>
      <c r="CL91" s="21">
        <f>EXP(-LN(2)/25)*CL90+(1-EXP(-LN(2)/25))/(LN(2)/25)*Calculateur!CG91*Calculateur!CI91*VLOOKUP('Données projet'!$B$12,Paramètres!$A$1:$I$89,3,0)*0.475*44/12</f>
        <v>2.2595814887405714</v>
      </c>
      <c r="CM91" s="21">
        <f>EXP(-LN(2)/2)*CM90+(1-EXP(-LN(2)/2))/(LN(2)/2)*CG91*CJ91*VLOOKUP('Données projet'!$B$12,Paramètres!$A$1:$I$89,3,0)*0.475*44/12</f>
        <v>4.0146218192031003E-8</v>
      </c>
      <c r="CN91" s="22">
        <f t="shared" si="66"/>
        <v>3.0232528436073598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1">
        <f t="shared" si="86"/>
        <v>14.250053466673728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67">
        <f t="shared" si="56"/>
        <v>402.78672645445664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-1.2505552149377763E-12</v>
      </c>
      <c r="O92" s="13">
        <f>N92*VLOOKUP('Données projet'!$B$9,Paramètres!$A$1:$I$89,3,0)*VLOOKUP('Données projet'!$B$9,Paramètres!$A$1:$I$89,5,0)</f>
        <v>-6.9906036515021697E-13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446.28010102877403</v>
      </c>
      <c r="T92" s="59">
        <f t="shared" si="88"/>
        <v>445.84011537290456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3.5498526061881486</v>
      </c>
      <c r="AA92" s="21">
        <f>EXP(-LN(2)/25)*AA91+(1-EXP(-LN(2)/25))/(LN(2)/25)*Calculateur!V92*Calculateur!X92*VLOOKUP('Données projet'!$B$9,Paramètres!$A$1:$I$89,3,0)*0.475*44/12</f>
        <v>7.549989870603742</v>
      </c>
      <c r="AB92" s="21">
        <f>EXP(-LN(2)/2)*AB91+(1-EXP(-LN(2)/2))/(LN(2)/2)*V92*Y92*VLOOKUP('Données projet'!$B$9,Paramètres!$A$1:$I$89,3,0)*0.475*44/12</f>
        <v>4.8036727495200241E-8</v>
      </c>
      <c r="AC92" s="22">
        <f t="shared" si="57"/>
        <v>11.099842524828619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>
        <f>AI92*VLOOKUP('Données projet'!$B$10,Paramètres!$A$1:$I$89,3,0)*VLOOKUP('Données projet'!$B$10,Paramètres!$A$1:$I$89,5,0)</f>
        <v>0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285.77483300338548</v>
      </c>
      <c r="AO92" s="59">
        <f t="shared" si="90"/>
        <v>320.55212417690637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2.5937189443945519</v>
      </c>
      <c r="AV92" s="21">
        <f>EXP(-LN(2)/25)*AV91+(1-EXP(-LN(2)/25))/(LN(2)/25)*Calculateur!AQ92*Calculateur!AS92*VLOOKUP('Données projet'!$B$10,Paramètres!$A$1:$I$89,3,0)*0.475*44/12</f>
        <v>5.4288034398365896</v>
      </c>
      <c r="AW92" s="21">
        <f>EXP(-LN(2)/2)*AW91+(1-EXP(-LN(2)/2))/(LN(2)/2)*AQ92*AT92*VLOOKUP('Données projet'!$B$10,Paramètres!$A$1:$I$89,3,0)*0.475*44/12</f>
        <v>3.2138540822899847E-8</v>
      </c>
      <c r="AX92" s="21">
        <f t="shared" si="60"/>
        <v>8.0225224163696822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-7.9580786405131221E-13</v>
      </c>
      <c r="BE92" s="13">
        <f>BD92*VLOOKUP('Données projet'!$B$11,Paramètres!$A$1:$I$89,3,0)*VLOOKUP('Données projet'!$B$11,Paramètres!$A$1:$I$89,5,0)</f>
        <v>-3.8278358260868117E-13</v>
      </c>
      <c r="BF92" s="13" t="e">
        <f t="shared" si="91"/>
        <v>#NUM!</v>
      </c>
      <c r="BG92" s="20" t="e">
        <f t="shared" si="61"/>
        <v>#NUM!</v>
      </c>
      <c r="BH92" s="59" t="e">
        <f t="shared" si="62"/>
        <v>#NUM!</v>
      </c>
      <c r="BI92" s="59">
        <f ca="1">AVERAGE(OFFSET($BH$3,0,0,'Données projet'!$E$11+1,1))-AVERAGE(OFFSET($H$3,0,0,'Données projet'!$E$11+1,1))</f>
        <v>402.22278907877927</v>
      </c>
      <c r="BJ92" s="59">
        <f t="shared" si="92"/>
        <v>393.06397734082458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8.6397846437734351</v>
      </c>
      <c r="BQ92" s="21">
        <f>EXP(-LN(2)/25)*BQ91+(1-EXP(-LN(2)/25))/(LN(2)/25)*Calculateur!BL92*Calculateur!BN92*VLOOKUP('Données projet'!$B$11,Paramètres!$A$1:$I$89,3,0)*0.475*44/12</f>
        <v>8.7832624039630005</v>
      </c>
      <c r="BR92" s="21">
        <f>EXP(-LN(2)/2)*BR91+(1-EXP(-LN(2)/2))/(LN(2)/2)*BL92*BO92*VLOOKUP('Données projet'!$B$11,Paramètres!$A$1:$I$89,3,0)*0.475*44/12</f>
        <v>1.1651281234361795E-6</v>
      </c>
      <c r="BS92" s="22">
        <f t="shared" si="63"/>
        <v>17.423048212864558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6.6</v>
      </c>
      <c r="BY92" s="12">
        <f>IF('Données projet'!$A$114&gt;35,BY91+BX92-CG91,IF(A92&lt;'Données projet'!$A$114,$BV$205^A92,IF(A92='Données projet'!$A$114,'Données projet'!$B$114,BY91+BX92-CG91)))</f>
        <v>351.4</v>
      </c>
      <c r="BZ92" s="13">
        <f>BY92*VLOOKUP('Données projet'!$B$12,Paramètres!$A$1:$I$89,3,0)*VLOOKUP('Données projet'!$B$12,Paramètres!$A$1:$I$89,5,0)</f>
        <v>317.94671999999997</v>
      </c>
      <c r="CA92" s="13">
        <f t="shared" si="93"/>
        <v>74.925968901822259</v>
      </c>
      <c r="CB92" s="20">
        <f t="shared" si="64"/>
        <v>684.253266504007</v>
      </c>
      <c r="CC92" s="59">
        <f t="shared" si="65"/>
        <v>977.58659983734037</v>
      </c>
      <c r="CD92" s="59">
        <f ca="1">AVERAGE(OFFSET($CC$3,0,0,'Données projet'!$E$12+1,1))-AVERAGE(OFFSET($H$3,0,0,'Données projet'!$E$12+1,1))</f>
        <v>363.51171608224735</v>
      </c>
      <c r="CE92" s="59">
        <f t="shared" si="94"/>
        <v>257.9239334647138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0.74869618603240851</v>
      </c>
      <c r="CL92" s="21">
        <f>EXP(-LN(2)/25)*CL91+(1-EXP(-LN(2)/25))/(LN(2)/25)*Calculateur!CG92*Calculateur!CI92*VLOOKUP('Données projet'!$B$12,Paramètres!$A$1:$I$89,3,0)*0.475*44/12</f>
        <v>2.1977931141047344</v>
      </c>
      <c r="CM92" s="21">
        <f>EXP(-LN(2)/2)*CM91+(1-EXP(-LN(2)/2))/(LN(2)/2)*CG92*CJ92*VLOOKUP('Données projet'!$B$12,Paramètres!$A$1:$I$89,3,0)*0.475*44/12</f>
        <v>2.8387663122579863E-8</v>
      </c>
      <c r="CN92" s="22">
        <f t="shared" si="66"/>
        <v>2.9464893285248062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1">
        <f t="shared" si="86"/>
        <v>14.391437147300854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67">
        <f t="shared" si="56"/>
        <v>403.98391969821557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-1.2505552149377763E-12</v>
      </c>
      <c r="O93" s="13">
        <f>N93*VLOOKUP('Données projet'!$B$9,Paramètres!$A$1:$I$89,3,0)*VLOOKUP('Données projet'!$B$9,Paramètres!$A$1:$I$89,5,0)</f>
        <v>-6.9906036515021697E-13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446.28010102877403</v>
      </c>
      <c r="T93" s="59">
        <f t="shared" si="88"/>
        <v>445.84011537290456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3.4802421617770936</v>
      </c>
      <c r="AA93" s="21">
        <f>EXP(-LN(2)/25)*AA92+(1-EXP(-LN(2)/25))/(LN(2)/25)*Calculateur!V93*Calculateur!X93*VLOOKUP('Données projet'!$B$9,Paramètres!$A$1:$I$89,3,0)*0.475*44/12</f>
        <v>7.343535000555371</v>
      </c>
      <c r="AB93" s="21">
        <f>EXP(-LN(2)/2)*AB92+(1-EXP(-LN(2)/2))/(LN(2)/2)*V93*Y93*VLOOKUP('Données projet'!$B$9,Paramètres!$A$1:$I$89,3,0)*0.475*44/12</f>
        <v>3.3967095757866367E-8</v>
      </c>
      <c r="AC93" s="22">
        <f t="shared" si="57"/>
        <v>10.823777196299561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>
        <f>AI93*VLOOKUP('Données projet'!$B$10,Paramètres!$A$1:$I$89,3,0)*VLOOKUP('Données projet'!$B$10,Paramètres!$A$1:$I$89,5,0)</f>
        <v>0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285.77483300338548</v>
      </c>
      <c r="AO93" s="59">
        <f t="shared" si="90"/>
        <v>320.55212417690637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2.5428576979073201</v>
      </c>
      <c r="AV93" s="21">
        <f>EXP(-LN(2)/25)*AV92+(1-EXP(-LN(2)/25))/(LN(2)/25)*Calculateur!AQ93*Calculateur!AS93*VLOOKUP('Données projet'!$B$10,Paramètres!$A$1:$I$89,3,0)*0.475*44/12</f>
        <v>5.2803525242858926</v>
      </c>
      <c r="AW93" s="21">
        <f>EXP(-LN(2)/2)*AW92+(1-EXP(-LN(2)/2))/(LN(2)/2)*AQ93*AT93*VLOOKUP('Données projet'!$B$10,Paramètres!$A$1:$I$89,3,0)*0.475*44/12</f>
        <v>2.2725380153313167E-8</v>
      </c>
      <c r="AX93" s="21">
        <f t="shared" si="60"/>
        <v>7.8232102449185925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-7.9580786405131221E-13</v>
      </c>
      <c r="BE93" s="13">
        <f>BD93*VLOOKUP('Données projet'!$B$11,Paramètres!$A$1:$I$89,3,0)*VLOOKUP('Données projet'!$B$11,Paramètres!$A$1:$I$89,5,0)</f>
        <v>-3.8278358260868117E-13</v>
      </c>
      <c r="BF93" s="13" t="e">
        <f t="shared" si="91"/>
        <v>#NUM!</v>
      </c>
      <c r="BG93" s="20" t="e">
        <f t="shared" si="61"/>
        <v>#NUM!</v>
      </c>
      <c r="BH93" s="59" t="e">
        <f t="shared" si="62"/>
        <v>#NUM!</v>
      </c>
      <c r="BI93" s="59">
        <f ca="1">AVERAGE(OFFSET($BH$3,0,0,'Données projet'!$E$11+1,1))-AVERAGE(OFFSET($H$3,0,0,'Données projet'!$E$11+1,1))</f>
        <v>402.22278907877927</v>
      </c>
      <c r="BJ93" s="59">
        <f t="shared" si="92"/>
        <v>393.06397734082458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8.4703637366573261</v>
      </c>
      <c r="BQ93" s="21">
        <f>EXP(-LN(2)/25)*BQ92+(1-EXP(-LN(2)/25))/(LN(2)/25)*Calculateur!BL93*Calculateur!BN93*VLOOKUP('Données projet'!$B$11,Paramètres!$A$1:$I$89,3,0)*0.475*44/12</f>
        <v>8.5430836316349374</v>
      </c>
      <c r="BR93" s="21">
        <f>EXP(-LN(2)/2)*BR92+(1-EXP(-LN(2)/2))/(LN(2)/2)*BL93*BO93*VLOOKUP('Données projet'!$B$11,Paramètres!$A$1:$I$89,3,0)*0.475*44/12</f>
        <v>8.2386999703287935E-7</v>
      </c>
      <c r="BS93" s="22">
        <f t="shared" si="63"/>
        <v>17.013448192162258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>
        <f>VLOOKUP(A93,'Données projet'!$A$113:$I$133,2,0)</f>
        <v>358</v>
      </c>
      <c r="BW93" s="12">
        <f>VLOOKUP(A93,'Données projet'!$A$113:$I$133,9,0)</f>
        <v>6.6</v>
      </c>
      <c r="BX93" s="12">
        <f t="array" ref="BX93">INDEX(BW:BW,MIN(IF(ISNUMBER(BW93:BW289),ROW(BW93:BW289),"")))</f>
        <v>6.6</v>
      </c>
      <c r="BY93" s="12">
        <f>IF('Données projet'!$A$114&gt;35,BY92+BX93-CG92,IF(A93&lt;'Données projet'!$A$114,$BV$205^A93,IF(A93='Données projet'!$A$114,'Données projet'!$B$114,BY92+BX93-CG92)))</f>
        <v>358</v>
      </c>
      <c r="BZ93" s="13">
        <f>BY93*VLOOKUP('Données projet'!$B$12,Paramètres!$A$1:$I$89,3,0)*VLOOKUP('Données projet'!$B$12,Paramètres!$A$1:$I$89,5,0)</f>
        <v>323.91839999999996</v>
      </c>
      <c r="CA93" s="13">
        <f t="shared" si="93"/>
        <v>76.168074587293091</v>
      </c>
      <c r="CB93" s="20">
        <f t="shared" si="64"/>
        <v>696.81727657286876</v>
      </c>
      <c r="CC93" s="59">
        <f t="shared" si="65"/>
        <v>990.15060990620213</v>
      </c>
      <c r="CD93" s="59">
        <f ca="1">AVERAGE(OFFSET($CC$3,0,0,'Données projet'!$E$12+1,1))-AVERAGE(OFFSET($H$3,0,0,'Données projet'!$E$12+1,1))</f>
        <v>363.51171608224735</v>
      </c>
      <c r="CE93" s="59">
        <f t="shared" si="94"/>
        <v>257.9239334647138</v>
      </c>
      <c r="CF93" s="15">
        <f>IF(ISNA(VLOOKUP(A93,'Données projet'!$A$113:$I$133,3,0)),0,VLOOKUP(A93,'Données projet'!$A$113:$I$133,3,0))</f>
        <v>8</v>
      </c>
      <c r="CG93" s="15">
        <f>IF(ISNA(VLOOKUP(A93,'Données projet'!$A$113:$I$133,4,0)),0,VLOOKUP(A93,'Données projet'!$A$113:$I$133,4,0))</f>
        <v>56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0.73401471048389511</v>
      </c>
      <c r="CL93" s="21">
        <f>EXP(-LN(2)/25)*CL92+(1-EXP(-LN(2)/25))/(LN(2)/25)*Calculateur!CG93*Calculateur!CI93*VLOOKUP('Données projet'!$B$12,Paramètres!$A$1:$I$89,3,0)*0.475*44/12</f>
        <v>2.1376943458226236</v>
      </c>
      <c r="CM93" s="21">
        <f>EXP(-LN(2)/2)*CM92+(1-EXP(-LN(2)/2))/(LN(2)/2)*CG93*CJ93*VLOOKUP('Données projet'!$B$12,Paramètres!$A$1:$I$89,3,0)*0.475*44/12</f>
        <v>2.0073109096015505E-8</v>
      </c>
      <c r="CN93" s="22">
        <f t="shared" si="66"/>
        <v>2.8717090763796276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1">
        <f t="shared" si="86"/>
        <v>14.532638085920599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67">
        <f t="shared" si="56"/>
        <v>405.18079466631161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-1.2505552149377763E-12</v>
      </c>
      <c r="O94" s="13">
        <f>N94*VLOOKUP('Données projet'!$B$9,Paramètres!$A$1:$I$89,3,0)*VLOOKUP('Données projet'!$B$9,Paramètres!$A$1:$I$89,5,0)</f>
        <v>-6.9906036515021697E-13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446.28010102877403</v>
      </c>
      <c r="T94" s="59">
        <f t="shared" si="88"/>
        <v>445.84011537290456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3.4119967357227603</v>
      </c>
      <c r="AA94" s="21">
        <f>EXP(-LN(2)/25)*AA93+(1-EXP(-LN(2)/25))/(LN(2)/25)*Calculateur!V94*Calculateur!X94*VLOOKUP('Données projet'!$B$9,Paramètres!$A$1:$I$89,3,0)*0.475*44/12</f>
        <v>7.1427256497854623</v>
      </c>
      <c r="AB94" s="21">
        <f>EXP(-LN(2)/2)*AB93+(1-EXP(-LN(2)/2))/(LN(2)/2)*V94*Y94*VLOOKUP('Données projet'!$B$9,Paramètres!$A$1:$I$89,3,0)*0.475*44/12</f>
        <v>2.401836374760012E-8</v>
      </c>
      <c r="AC94" s="22">
        <f t="shared" si="57"/>
        <v>10.554722409526587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>
        <f>AI94*VLOOKUP('Données projet'!$B$10,Paramètres!$A$1:$I$89,3,0)*VLOOKUP('Données projet'!$B$10,Paramètres!$A$1:$I$89,5,0)</f>
        <v>0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285.77483300338548</v>
      </c>
      <c r="AO94" s="59">
        <f t="shared" si="90"/>
        <v>320.55212417690637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2.4929938094414057</v>
      </c>
      <c r="AV94" s="21">
        <f>EXP(-LN(2)/25)*AV93+(1-EXP(-LN(2)/25))/(LN(2)/25)*Calculateur!AQ94*Calculateur!AS94*VLOOKUP('Données projet'!$B$10,Paramètres!$A$1:$I$89,3,0)*0.475*44/12</f>
        <v>5.1359610068276238</v>
      </c>
      <c r="AW94" s="21">
        <f>EXP(-LN(2)/2)*AW93+(1-EXP(-LN(2)/2))/(LN(2)/2)*AQ94*AT94*VLOOKUP('Données projet'!$B$10,Paramètres!$A$1:$I$89,3,0)*0.475*44/12</f>
        <v>1.6069270411449923E-8</v>
      </c>
      <c r="AX94" s="21">
        <f t="shared" si="60"/>
        <v>7.6289548323382999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-7.9580786405131221E-13</v>
      </c>
      <c r="BE94" s="13">
        <f>BD94*VLOOKUP('Données projet'!$B$11,Paramètres!$A$1:$I$89,3,0)*VLOOKUP('Données projet'!$B$11,Paramètres!$A$1:$I$89,5,0)</f>
        <v>-3.8278358260868117E-13</v>
      </c>
      <c r="BF94" s="13" t="e">
        <f t="shared" si="91"/>
        <v>#NUM!</v>
      </c>
      <c r="BG94" s="20" t="e">
        <f t="shared" si="61"/>
        <v>#NUM!</v>
      </c>
      <c r="BH94" s="59" t="e">
        <f t="shared" si="62"/>
        <v>#NUM!</v>
      </c>
      <c r="BI94" s="59">
        <f ca="1">AVERAGE(OFFSET($BH$3,0,0,'Données projet'!$E$11+1,1))-AVERAGE(OFFSET($H$3,0,0,'Données projet'!$E$11+1,1))</f>
        <v>402.22278907877927</v>
      </c>
      <c r="BJ94" s="59">
        <f t="shared" si="92"/>
        <v>393.06397734082458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8.3042650701932139</v>
      </c>
      <c r="BQ94" s="21">
        <f>EXP(-LN(2)/25)*BQ93+(1-EXP(-LN(2)/25))/(LN(2)/25)*Calculateur!BL94*Calculateur!BN94*VLOOKUP('Données projet'!$B$11,Paramètres!$A$1:$I$89,3,0)*0.475*44/12</f>
        <v>8.309472560466638</v>
      </c>
      <c r="BR94" s="21">
        <f>EXP(-LN(2)/2)*BR93+(1-EXP(-LN(2)/2))/(LN(2)/2)*BL94*BO94*VLOOKUP('Données projet'!$B$11,Paramètres!$A$1:$I$89,3,0)*0.475*44/12</f>
        <v>5.8256406171808977E-7</v>
      </c>
      <c r="BS94" s="22">
        <f t="shared" si="63"/>
        <v>16.613738213223915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5.9</v>
      </c>
      <c r="BY94" s="12">
        <f>IF('Données projet'!$A$114&gt;35,BY93+BX94-CG93,IF(A94&lt;'Données projet'!$A$114,$BV$205^A94,IF(A94='Données projet'!$A$114,'Données projet'!$B$114,BY93+BX94-CG93)))</f>
        <v>307.89999999999998</v>
      </c>
      <c r="BZ94" s="13">
        <f>BY94*VLOOKUP('Données projet'!$B$12,Paramètres!$A$1:$I$89,3,0)*VLOOKUP('Données projet'!$B$12,Paramètres!$A$1:$I$89,5,0)</f>
        <v>278.58791999999994</v>
      </c>
      <c r="CA94" s="13">
        <f t="shared" si="93"/>
        <v>66.668508032294213</v>
      </c>
      <c r="CB94" s="20">
        <f t="shared" si="64"/>
        <v>601.32161215624558</v>
      </c>
      <c r="CC94" s="59">
        <f t="shared" si="65"/>
        <v>894.65494548957895</v>
      </c>
      <c r="CD94" s="59">
        <f ca="1">AVERAGE(OFFSET($CC$3,0,0,'Données projet'!$E$12+1,1))-AVERAGE(OFFSET($H$3,0,0,'Données projet'!$E$12+1,1))</f>
        <v>363.51171608224735</v>
      </c>
      <c r="CE94" s="59">
        <f t="shared" si="94"/>
        <v>257.9239334647138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0.71962112971607217</v>
      </c>
      <c r="CL94" s="21">
        <f>EXP(-LN(2)/25)*CL93+(1-EXP(-LN(2)/25))/(LN(2)/25)*Calculateur!CG94*Calculateur!CI94*VLOOKUP('Données projet'!$B$12,Paramètres!$A$1:$I$89,3,0)*0.475*44/12</f>
        <v>2.0792389815196439</v>
      </c>
      <c r="CM94" s="21">
        <f>EXP(-LN(2)/2)*CM93+(1-EXP(-LN(2)/2))/(LN(2)/2)*CG94*CJ94*VLOOKUP('Données projet'!$B$12,Paramètres!$A$1:$I$89,3,0)*0.475*44/12</f>
        <v>1.4193831561289933E-8</v>
      </c>
      <c r="CN94" s="22">
        <f t="shared" si="66"/>
        <v>2.7988601254295475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1">
        <f t="shared" si="86"/>
        <v>14.673658523093403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67">
        <f t="shared" si="56"/>
        <v>406.37735526105428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-1.2505552149377763E-12</v>
      </c>
      <c r="O95" s="13">
        <f>N95*VLOOKUP('Données projet'!$B$9,Paramètres!$A$1:$I$89,3,0)*VLOOKUP('Données projet'!$B$9,Paramètres!$A$1:$I$89,5,0)</f>
        <v>-6.9906036515021697E-13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446.28010102877403</v>
      </c>
      <c r="T95" s="59">
        <f t="shared" si="88"/>
        <v>445.84011537290456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3.3450895608477529</v>
      </c>
      <c r="AA95" s="21">
        <f>EXP(-LN(2)/25)*AA94+(1-EXP(-LN(2)/25))/(LN(2)/25)*Calculateur!V95*Calculateur!X95*VLOOKUP('Données projet'!$B$9,Paramètres!$A$1:$I$89,3,0)*0.475*44/12</f>
        <v>6.9474074412724622</v>
      </c>
      <c r="AB95" s="21">
        <f>EXP(-LN(2)/2)*AB94+(1-EXP(-LN(2)/2))/(LN(2)/2)*V95*Y95*VLOOKUP('Données projet'!$B$9,Paramètres!$A$1:$I$89,3,0)*0.475*44/12</f>
        <v>1.6983547878933184E-8</v>
      </c>
      <c r="AC95" s="22">
        <f t="shared" si="57"/>
        <v>10.292497019103761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>
        <f>AI95*VLOOKUP('Données projet'!$B$10,Paramètres!$A$1:$I$89,3,0)*VLOOKUP('Données projet'!$B$10,Paramètres!$A$1:$I$89,5,0)</f>
        <v>0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285.77483300338548</v>
      </c>
      <c r="AO95" s="59">
        <f t="shared" si="90"/>
        <v>320.55212417690637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2.4441077214143392</v>
      </c>
      <c r="AV95" s="21">
        <f>EXP(-LN(2)/25)*AV94+(1-EXP(-LN(2)/25))/(LN(2)/25)*Calculateur!AQ95*Calculateur!AS95*VLOOKUP('Données projet'!$B$10,Paramètres!$A$1:$I$89,3,0)*0.475*44/12</f>
        <v>4.9955178830074711</v>
      </c>
      <c r="AW95" s="21">
        <f>EXP(-LN(2)/2)*AW94+(1-EXP(-LN(2)/2))/(LN(2)/2)*AQ95*AT95*VLOOKUP('Données projet'!$B$10,Paramètres!$A$1:$I$89,3,0)*0.475*44/12</f>
        <v>1.1362690076656584E-8</v>
      </c>
      <c r="AX95" s="21">
        <f t="shared" si="60"/>
        <v>7.4396256157845002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-7.9580786405131221E-13</v>
      </c>
      <c r="BE95" s="13">
        <f>BD95*VLOOKUP('Données projet'!$B$11,Paramètres!$A$1:$I$89,3,0)*VLOOKUP('Données projet'!$B$11,Paramètres!$A$1:$I$89,5,0)</f>
        <v>-3.8278358260868117E-13</v>
      </c>
      <c r="BF95" s="13" t="e">
        <f t="shared" si="91"/>
        <v>#NUM!</v>
      </c>
      <c r="BG95" s="20" t="e">
        <f t="shared" si="61"/>
        <v>#NUM!</v>
      </c>
      <c r="BH95" s="59" t="e">
        <f t="shared" si="62"/>
        <v>#NUM!</v>
      </c>
      <c r="BI95" s="59">
        <f ca="1">AVERAGE(OFFSET($BH$3,0,0,'Données projet'!$E$11+1,1))-AVERAGE(OFFSET($H$3,0,0,'Données projet'!$E$11+1,1))</f>
        <v>402.22278907877927</v>
      </c>
      <c r="BJ95" s="59">
        <f t="shared" si="92"/>
        <v>393.06397734082458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8.1414234972682813</v>
      </c>
      <c r="BQ95" s="21">
        <f>EXP(-LN(2)/25)*BQ94+(1-EXP(-LN(2)/25))/(LN(2)/25)*Calculateur!BL95*Calculateur!BN95*VLOOKUP('Données projet'!$B$11,Paramètres!$A$1:$I$89,3,0)*0.475*44/12</f>
        <v>8.0822495963245071</v>
      </c>
      <c r="BR95" s="21">
        <f>EXP(-LN(2)/2)*BR94+(1-EXP(-LN(2)/2))/(LN(2)/2)*BL95*BO95*VLOOKUP('Données projet'!$B$11,Paramètres!$A$1:$I$89,3,0)*0.475*44/12</f>
        <v>4.1193499851643968E-7</v>
      </c>
      <c r="BS95" s="22">
        <f t="shared" si="63"/>
        <v>16.223673505527785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5.9</v>
      </c>
      <c r="BY95" s="12">
        <f>IF('Données projet'!$A$114&gt;35,BY94+BX95-CG94,IF(A95&lt;'Données projet'!$A$114,$BV$205^A95,IF(A95='Données projet'!$A$114,'Données projet'!$B$114,BY94+BX95-CG94)))</f>
        <v>313.79999999999995</v>
      </c>
      <c r="BZ95" s="13">
        <f>BY95*VLOOKUP('Données projet'!$B$12,Paramètres!$A$1:$I$89,3,0)*VLOOKUP('Données projet'!$B$12,Paramètres!$A$1:$I$89,5,0)</f>
        <v>283.92623999999995</v>
      </c>
      <c r="CA95" s="13">
        <f t="shared" si="93"/>
        <v>67.796062628528304</v>
      </c>
      <c r="CB95" s="20">
        <f t="shared" si="64"/>
        <v>612.58301041135337</v>
      </c>
      <c r="CC95" s="59">
        <f t="shared" si="65"/>
        <v>905.91634374468663</v>
      </c>
      <c r="CD95" s="59">
        <f ca="1">AVERAGE(OFFSET($CC$3,0,0,'Données projet'!$E$12+1,1))-AVERAGE(OFFSET($H$3,0,0,'Données projet'!$E$12+1,1))</f>
        <v>363.51171608224735</v>
      </c>
      <c r="CE95" s="59">
        <f t="shared" si="94"/>
        <v>257.9239334647138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0.70550979828788885</v>
      </c>
      <c r="CL95" s="21">
        <f>EXP(-LN(2)/25)*CL94+(1-EXP(-LN(2)/25))/(LN(2)/25)*Calculateur!CG95*Calculateur!CI95*VLOOKUP('Données projet'!$B$12,Paramètres!$A$1:$I$89,3,0)*0.475*44/12</f>
        <v>2.0223820822275633</v>
      </c>
      <c r="CM95" s="21">
        <f>EXP(-LN(2)/2)*CM94+(1-EXP(-LN(2)/2))/(LN(2)/2)*CG95*CJ95*VLOOKUP('Données projet'!$B$12,Paramètres!$A$1:$I$89,3,0)*0.475*44/12</f>
        <v>1.0036554548007754E-8</v>
      </c>
      <c r="CN95" s="22">
        <f t="shared" si="66"/>
        <v>2.7278918905520069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1">
        <f t="shared" si="86"/>
        <v>14.814500647866689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67">
        <f t="shared" si="56"/>
        <v>407.57360529503438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-1.2505552149377763E-12</v>
      </c>
      <c r="O96" s="13">
        <f>N96*VLOOKUP('Données projet'!$B$9,Paramètres!$A$1:$I$89,3,0)*VLOOKUP('Données projet'!$B$9,Paramètres!$A$1:$I$89,5,0)</f>
        <v>-6.9906036515021697E-13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446.28010102877403</v>
      </c>
      <c r="T96" s="59">
        <f t="shared" si="88"/>
        <v>445.84011537290456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3.2794943948626973</v>
      </c>
      <c r="AA96" s="21">
        <f>EXP(-LN(2)/25)*AA95+(1-EXP(-LN(2)/25))/(LN(2)/25)*Calculateur!V96*Calculateur!X96*VLOOKUP('Données projet'!$B$9,Paramètres!$A$1:$I$89,3,0)*0.475*44/12</f>
        <v>6.7574302194425879</v>
      </c>
      <c r="AB96" s="21">
        <f>EXP(-LN(2)/2)*AB95+(1-EXP(-LN(2)/2))/(LN(2)/2)*V96*Y96*VLOOKUP('Données projet'!$B$9,Paramètres!$A$1:$I$89,3,0)*0.475*44/12</f>
        <v>1.200918187380006E-8</v>
      </c>
      <c r="AC96" s="22">
        <f t="shared" si="57"/>
        <v>10.036924626314466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>
        <f>AI96*VLOOKUP('Données projet'!$B$10,Paramètres!$A$1:$I$89,3,0)*VLOOKUP('Données projet'!$B$10,Paramètres!$A$1:$I$89,5,0)</f>
        <v>0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285.77483300338548</v>
      </c>
      <c r="AO96" s="59">
        <f t="shared" si="90"/>
        <v>320.55212417690637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2.3961802597559139</v>
      </c>
      <c r="AV96" s="21">
        <f>EXP(-LN(2)/25)*AV95+(1-EXP(-LN(2)/25))/(LN(2)/25)*Calculateur!AQ96*Calculateur!AS96*VLOOKUP('Données projet'!$B$10,Paramètres!$A$1:$I$89,3,0)*0.475*44/12</f>
        <v>4.8589151837937639</v>
      </c>
      <c r="AW96" s="21">
        <f>EXP(-LN(2)/2)*AW95+(1-EXP(-LN(2)/2))/(LN(2)/2)*AQ96*AT96*VLOOKUP('Données projet'!$B$10,Paramètres!$A$1:$I$89,3,0)*0.475*44/12</f>
        <v>8.0346352057249617E-9</v>
      </c>
      <c r="AX96" s="21">
        <f t="shared" si="60"/>
        <v>7.2550954515843129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-7.9580786405131221E-13</v>
      </c>
      <c r="BE96" s="13">
        <f>BD96*VLOOKUP('Données projet'!$B$11,Paramètres!$A$1:$I$89,3,0)*VLOOKUP('Données projet'!$B$11,Paramètres!$A$1:$I$89,5,0)</f>
        <v>-3.8278358260868117E-13</v>
      </c>
      <c r="BF96" s="13" t="e">
        <f t="shared" si="91"/>
        <v>#NUM!</v>
      </c>
      <c r="BG96" s="20" t="e">
        <f t="shared" si="61"/>
        <v>#NUM!</v>
      </c>
      <c r="BH96" s="59" t="e">
        <f t="shared" si="62"/>
        <v>#NUM!</v>
      </c>
      <c r="BI96" s="59">
        <f ca="1">AVERAGE(OFFSET($BH$3,0,0,'Données projet'!$E$11+1,1))-AVERAGE(OFFSET($H$3,0,0,'Données projet'!$E$11+1,1))</f>
        <v>402.22278907877927</v>
      </c>
      <c r="BJ96" s="59">
        <f t="shared" si="92"/>
        <v>393.06397734082458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7.9817751482648536</v>
      </c>
      <c r="BQ96" s="21">
        <f>EXP(-LN(2)/25)*BQ95+(1-EXP(-LN(2)/25))/(LN(2)/25)*Calculateur!BL96*Calculateur!BN96*VLOOKUP('Données projet'!$B$11,Paramètres!$A$1:$I$89,3,0)*0.475*44/12</f>
        <v>7.8612400560859799</v>
      </c>
      <c r="BR96" s="21">
        <f>EXP(-LN(2)/2)*BR95+(1-EXP(-LN(2)/2))/(LN(2)/2)*BL96*BO96*VLOOKUP('Données projet'!$B$11,Paramètres!$A$1:$I$89,3,0)*0.475*44/12</f>
        <v>2.9128203085904488E-7</v>
      </c>
      <c r="BS96" s="22">
        <f t="shared" si="63"/>
        <v>15.843015495632866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5.9</v>
      </c>
      <c r="BY96" s="12">
        <f>IF('Données projet'!$A$114&gt;35,BY95+BX96-CG95,IF(A96&lt;'Données projet'!$A$114,$BV$205^A96,IF(A96='Données projet'!$A$114,'Données projet'!$B$114,BY95+BX96-CG95)))</f>
        <v>319.69999999999993</v>
      </c>
      <c r="BZ96" s="13">
        <f>BY96*VLOOKUP('Données projet'!$B$12,Paramètres!$A$1:$I$89,3,0)*VLOOKUP('Données projet'!$B$12,Paramètres!$A$1:$I$89,5,0)</f>
        <v>289.26455999999996</v>
      </c>
      <c r="CA96" s="13">
        <f t="shared" si="93"/>
        <v>68.921152085057912</v>
      </c>
      <c r="CB96" s="20">
        <f t="shared" si="64"/>
        <v>623.84011521480909</v>
      </c>
      <c r="CC96" s="59">
        <f t="shared" si="65"/>
        <v>917.17344854814246</v>
      </c>
      <c r="CD96" s="59">
        <f ca="1">AVERAGE(OFFSET($CC$3,0,0,'Données projet'!$E$12+1,1))-AVERAGE(OFFSET($H$3,0,0,'Données projet'!$E$12+1,1))</f>
        <v>363.51171608224735</v>
      </c>
      <c r="CE96" s="59">
        <f t="shared" si="94"/>
        <v>257.9239334647138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0.69167518146194984</v>
      </c>
      <c r="CL96" s="21">
        <f>EXP(-LN(2)/25)*CL95+(1-EXP(-LN(2)/25))/(LN(2)/25)*Calculateur!CG96*Calculateur!CI96*VLOOKUP('Données projet'!$B$12,Paramètres!$A$1:$I$89,3,0)*0.475*44/12</f>
        <v>1.9670799378365991</v>
      </c>
      <c r="CM96" s="21">
        <f>EXP(-LN(2)/2)*CM95+(1-EXP(-LN(2)/2))/(LN(2)/2)*CG96*CJ96*VLOOKUP('Données projet'!$B$12,Paramètres!$A$1:$I$89,3,0)*0.475*44/12</f>
        <v>7.0969157806449674E-9</v>
      </c>
      <c r="CN96" s="22">
        <f t="shared" si="66"/>
        <v>2.658755126395465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1">
        <f t="shared" si="86"/>
        <v>14.955166599500016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67">
        <f t="shared" si="56"/>
        <v>408.76954849412908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-1.2505552149377763E-12</v>
      </c>
      <c r="O97" s="13">
        <f>N97*VLOOKUP('Données projet'!$B$9,Paramètres!$A$1:$I$89,3,0)*VLOOKUP('Données projet'!$B$9,Paramètres!$A$1:$I$89,5,0)</f>
        <v>-6.9906036515021697E-13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446.28010102877403</v>
      </c>
      <c r="T97" s="59">
        <f t="shared" si="88"/>
        <v>445.84011537290456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3.2151855100735083</v>
      </c>
      <c r="AA97" s="21">
        <f>EXP(-LN(2)/25)*AA96+(1-EXP(-LN(2)/25))/(LN(2)/25)*Calculateur!V97*Calculateur!X97*VLOOKUP('Données projet'!$B$9,Paramètres!$A$1:$I$89,3,0)*0.475*44/12</f>
        <v>6.5726479347341193</v>
      </c>
      <c r="AB97" s="21">
        <f>EXP(-LN(2)/2)*AB96+(1-EXP(-LN(2)/2))/(LN(2)/2)*V97*Y97*VLOOKUP('Données projet'!$B$9,Paramètres!$A$1:$I$89,3,0)*0.475*44/12</f>
        <v>8.4917739394665919E-9</v>
      </c>
      <c r="AC97" s="22">
        <f t="shared" si="57"/>
        <v>9.7878334532994025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>
        <f>AI97*VLOOKUP('Données projet'!$B$10,Paramètres!$A$1:$I$89,3,0)*VLOOKUP('Données projet'!$B$10,Paramètres!$A$1:$I$89,5,0)</f>
        <v>0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285.77483300338548</v>
      </c>
      <c r="AO97" s="59">
        <f t="shared" si="90"/>
        <v>320.55212417690637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2.3491926263877452</v>
      </c>
      <c r="AV97" s="21">
        <f>EXP(-LN(2)/25)*AV96+(1-EXP(-LN(2)/25))/(LN(2)/25)*Calculateur!AQ97*Calculateur!AS97*VLOOKUP('Données projet'!$B$10,Paramètres!$A$1:$I$89,3,0)*0.475*44/12</f>
        <v>4.7260478925736793</v>
      </c>
      <c r="AW97" s="21">
        <f>EXP(-LN(2)/2)*AW96+(1-EXP(-LN(2)/2))/(LN(2)/2)*AQ97*AT97*VLOOKUP('Données projet'!$B$10,Paramètres!$A$1:$I$89,3,0)*0.475*44/12</f>
        <v>5.6813450383282918E-9</v>
      </c>
      <c r="AX97" s="21">
        <f t="shared" si="60"/>
        <v>7.0752405246427692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-7.9580786405131221E-13</v>
      </c>
      <c r="BE97" s="13">
        <f>BD97*VLOOKUP('Données projet'!$B$11,Paramètres!$A$1:$I$89,3,0)*VLOOKUP('Données projet'!$B$11,Paramètres!$A$1:$I$89,5,0)</f>
        <v>-3.8278358260868117E-13</v>
      </c>
      <c r="BF97" s="13" t="e">
        <f t="shared" si="91"/>
        <v>#NUM!</v>
      </c>
      <c r="BG97" s="20" t="e">
        <f t="shared" si="61"/>
        <v>#NUM!</v>
      </c>
      <c r="BH97" s="59" t="e">
        <f t="shared" si="62"/>
        <v>#NUM!</v>
      </c>
      <c r="BI97" s="59">
        <f ca="1">AVERAGE(OFFSET($BH$3,0,0,'Données projet'!$E$11+1,1))-AVERAGE(OFFSET($H$3,0,0,'Données projet'!$E$11+1,1))</f>
        <v>402.22278907877927</v>
      </c>
      <c r="BJ97" s="59">
        <f t="shared" si="92"/>
        <v>393.06397734082458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7.8252574060095057</v>
      </c>
      <c r="BQ97" s="21">
        <f>EXP(-LN(2)/25)*BQ96+(1-EXP(-LN(2)/25))/(LN(2)/25)*Calculateur!BL97*Calculateur!BN97*VLOOKUP('Données projet'!$B$11,Paramètres!$A$1:$I$89,3,0)*0.475*44/12</f>
        <v>7.6462740333476615</v>
      </c>
      <c r="BR97" s="21">
        <f>EXP(-LN(2)/2)*BR96+(1-EXP(-LN(2)/2))/(LN(2)/2)*BL97*BO97*VLOOKUP('Données projet'!$B$11,Paramètres!$A$1:$I$89,3,0)*0.475*44/12</f>
        <v>2.0596749925821984E-7</v>
      </c>
      <c r="BS97" s="22">
        <f t="shared" si="63"/>
        <v>15.471531645324667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5.9</v>
      </c>
      <c r="BY97" s="12">
        <f>IF('Données projet'!$A$114&gt;35,BY96+BX97-CG96,IF(A97&lt;'Données projet'!$A$114,$BV$205^A97,IF(A97='Données projet'!$A$114,'Données projet'!$B$114,BY96+BX97-CG96)))</f>
        <v>325.59999999999991</v>
      </c>
      <c r="BZ97" s="13">
        <f>BY97*VLOOKUP('Données projet'!$B$12,Paramètres!$A$1:$I$89,3,0)*VLOOKUP('Données projet'!$B$12,Paramètres!$A$1:$I$89,5,0)</f>
        <v>294.60287999999991</v>
      </c>
      <c r="CA97" s="13">
        <f t="shared" si="93"/>
        <v>70.043827142305673</v>
      </c>
      <c r="CB97" s="20">
        <f t="shared" si="64"/>
        <v>635.09301493951546</v>
      </c>
      <c r="CC97" s="59">
        <f t="shared" si="65"/>
        <v>928.42634827284883</v>
      </c>
      <c r="CD97" s="59">
        <f ca="1">AVERAGE(OFFSET($CC$3,0,0,'Données projet'!$E$12+1,1))-AVERAGE(OFFSET($H$3,0,0,'Données projet'!$E$12+1,1))</f>
        <v>363.51171608224735</v>
      </c>
      <c r="CE97" s="59">
        <f t="shared" si="94"/>
        <v>257.9239334647138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0.67811185303368449</v>
      </c>
      <c r="CL97" s="21">
        <f>EXP(-LN(2)/25)*CL96+(1-EXP(-LN(2)/25))/(LN(2)/25)*Calculateur!CG97*Calculateur!CI97*VLOOKUP('Données projet'!$B$12,Paramètres!$A$1:$I$89,3,0)*0.475*44/12</f>
        <v>1.9132900334922192</v>
      </c>
      <c r="CM97" s="21">
        <f>EXP(-LN(2)/2)*CM96+(1-EXP(-LN(2)/2))/(LN(2)/2)*CG97*CJ97*VLOOKUP('Données projet'!$B$12,Paramètres!$A$1:$I$89,3,0)*0.475*44/12</f>
        <v>5.018277274003877E-9</v>
      </c>
      <c r="CN97" s="22">
        <f t="shared" si="66"/>
        <v>2.591401891544181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1">
        <f t="shared" si="86"/>
        <v>15.0956584691149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67">
        <f t="shared" si="56"/>
        <v>409.96518850037501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-1.2505552149377763E-12</v>
      </c>
      <c r="O98" s="13">
        <f>N98*VLOOKUP('Données projet'!$B$9,Paramètres!$A$1:$I$89,3,0)*VLOOKUP('Données projet'!$B$9,Paramètres!$A$1:$I$89,5,0)</f>
        <v>-6.9906036515021697E-13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446.28010102877403</v>
      </c>
      <c r="T98" s="59">
        <f t="shared" si="88"/>
        <v>445.84011537290456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3.1521376832904884</v>
      </c>
      <c r="AA98" s="21">
        <f>EXP(-LN(2)/25)*AA97+(1-EXP(-LN(2)/25))/(LN(2)/25)*Calculateur!V98*Calculateur!X98*VLOOKUP('Données projet'!$B$9,Paramètres!$A$1:$I$89,3,0)*0.475*44/12</f>
        <v>6.3929185313182817</v>
      </c>
      <c r="AB98" s="21">
        <f>EXP(-LN(2)/2)*AB97+(1-EXP(-LN(2)/2))/(LN(2)/2)*V98*Y98*VLOOKUP('Données projet'!$B$9,Paramètres!$A$1:$I$89,3,0)*0.475*44/12</f>
        <v>6.0045909369000301E-9</v>
      </c>
      <c r="AC98" s="22">
        <f t="shared" si="57"/>
        <v>9.5450562206133611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>
        <f>AI98*VLOOKUP('Données projet'!$B$10,Paramètres!$A$1:$I$89,3,0)*VLOOKUP('Données projet'!$B$10,Paramètres!$A$1:$I$89,5,0)</f>
        <v>0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285.77483300338548</v>
      </c>
      <c r="AO98" s="59">
        <f t="shared" si="90"/>
        <v>320.55212417690637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2.3031263918503</v>
      </c>
      <c r="AV98" s="21">
        <f>EXP(-LN(2)/25)*AV97+(1-EXP(-LN(2)/25))/(LN(2)/25)*Calculateur!AQ98*Calculateur!AS98*VLOOKUP('Données projet'!$B$10,Paramètres!$A$1:$I$89,3,0)*0.475*44/12</f>
        <v>4.5968138644191949</v>
      </c>
      <c r="AW98" s="21">
        <f>EXP(-LN(2)/2)*AW97+(1-EXP(-LN(2)/2))/(LN(2)/2)*AQ98*AT98*VLOOKUP('Données projet'!$B$10,Paramètres!$A$1:$I$89,3,0)*0.475*44/12</f>
        <v>4.0173176028624808E-9</v>
      </c>
      <c r="AX98" s="21">
        <f t="shared" si="60"/>
        <v>6.8999402602868134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-7.9580786405131221E-13</v>
      </c>
      <c r="BE98" s="13">
        <f>BD98*VLOOKUP('Données projet'!$B$11,Paramètres!$A$1:$I$89,3,0)*VLOOKUP('Données projet'!$B$11,Paramètres!$A$1:$I$89,5,0)</f>
        <v>-3.8278358260868117E-13</v>
      </c>
      <c r="BF98" s="13" t="e">
        <f t="shared" si="91"/>
        <v>#NUM!</v>
      </c>
      <c r="BG98" s="20" t="e">
        <f t="shared" si="61"/>
        <v>#NUM!</v>
      </c>
      <c r="BH98" s="59" t="e">
        <f t="shared" si="62"/>
        <v>#NUM!</v>
      </c>
      <c r="BI98" s="59">
        <f ca="1">AVERAGE(OFFSET($BH$3,0,0,'Données projet'!$E$11+1,1))-AVERAGE(OFFSET($H$3,0,0,'Données projet'!$E$11+1,1))</f>
        <v>402.22278907877927</v>
      </c>
      <c r="BJ98" s="59">
        <f t="shared" si="92"/>
        <v>393.06397734082458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7.6718088812133889</v>
      </c>
      <c r="BQ98" s="21">
        <f>EXP(-LN(2)/25)*BQ97+(1-EXP(-LN(2)/25))/(LN(2)/25)*Calculateur!BL98*Calculateur!BN98*VLOOKUP('Données projet'!$B$11,Paramètres!$A$1:$I$89,3,0)*0.475*44/12</f>
        <v>7.4371862678056937</v>
      </c>
      <c r="BR98" s="21">
        <f>EXP(-LN(2)/2)*BR97+(1-EXP(-LN(2)/2))/(LN(2)/2)*BL98*BO98*VLOOKUP('Données projet'!$B$11,Paramètres!$A$1:$I$89,3,0)*0.475*44/12</f>
        <v>1.4564101542952244E-7</v>
      </c>
      <c r="BS98" s="22">
        <f t="shared" si="63"/>
        <v>15.108995294660099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5.9</v>
      </c>
      <c r="BY98" s="12">
        <f>IF('Données projet'!$A$114&gt;35,BY97+BX98-CG97,IF(A98&lt;'Données projet'!$A$114,$BV$205^A98,IF(A98='Données projet'!$A$114,'Données projet'!$B$114,BY97+BX98-CG97)))</f>
        <v>331.49999999999989</v>
      </c>
      <c r="BZ98" s="13">
        <f>BY98*VLOOKUP('Données projet'!$B$12,Paramètres!$A$1:$I$89,3,0)*VLOOKUP('Données projet'!$B$12,Paramètres!$A$1:$I$89,5,0)</f>
        <v>299.94119999999987</v>
      </c>
      <c r="CA98" s="13">
        <f t="shared" si="93"/>
        <v>71.164136596531506</v>
      </c>
      <c r="CB98" s="20">
        <f t="shared" si="64"/>
        <v>646.3417945722922</v>
      </c>
      <c r="CC98" s="59">
        <f t="shared" si="65"/>
        <v>939.67512790562546</v>
      </c>
      <c r="CD98" s="59">
        <f ca="1">AVERAGE(OFFSET($CC$3,0,0,'Données projet'!$E$12+1,1))-AVERAGE(OFFSET($H$3,0,0,'Données projet'!$E$12+1,1))</f>
        <v>363.51171608224735</v>
      </c>
      <c r="CE98" s="59">
        <f t="shared" si="94"/>
        <v>257.9239334647138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0.66481449320308394</v>
      </c>
      <c r="CL98" s="21">
        <f>EXP(-LN(2)/25)*CL97+(1-EXP(-LN(2)/25))/(LN(2)/25)*Calculateur!CG98*Calculateur!CI98*VLOOKUP('Données projet'!$B$12,Paramètres!$A$1:$I$89,3,0)*0.475*44/12</f>
        <v>1.8609710169108244</v>
      </c>
      <c r="CM98" s="21">
        <f>EXP(-LN(2)/2)*CM97+(1-EXP(-LN(2)/2))/(LN(2)/2)*CG98*CJ98*VLOOKUP('Données projet'!$B$12,Paramètres!$A$1:$I$89,3,0)*0.475*44/12</f>
        <v>3.5484578903224837E-9</v>
      </c>
      <c r="CN98" s="22">
        <f t="shared" si="66"/>
        <v>2.5257855136623664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1">
        <f t="shared" si="86"/>
        <v>15.235978301273022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67">
        <f t="shared" si="56"/>
        <v>411.1605288747171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-1.2505552149377763E-12</v>
      </c>
      <c r="O99" s="13">
        <f>N99*VLOOKUP('Données projet'!$B$9,Paramètres!$A$1:$I$89,3,0)*VLOOKUP('Données projet'!$B$9,Paramètres!$A$1:$I$89,5,0)</f>
        <v>-6.9906036515021697E-13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446.28010102877403</v>
      </c>
      <c r="T99" s="59">
        <f t="shared" si="88"/>
        <v>445.84011537290456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3.0903261859353064</v>
      </c>
      <c r="AA99" s="21">
        <f>EXP(-LN(2)/25)*AA98+(1-EXP(-LN(2)/25))/(LN(2)/25)*Calculateur!V99*Calculateur!X99*VLOOKUP('Données projet'!$B$9,Paramètres!$A$1:$I$89,3,0)*0.475*44/12</f>
        <v>6.2181038378904088</v>
      </c>
      <c r="AB99" s="21">
        <f>EXP(-LN(2)/2)*AB98+(1-EXP(-LN(2)/2))/(LN(2)/2)*V99*Y99*VLOOKUP('Données projet'!$B$9,Paramètres!$A$1:$I$89,3,0)*0.475*44/12</f>
        <v>4.2458869697332959E-9</v>
      </c>
      <c r="AC99" s="22">
        <f t="shared" si="57"/>
        <v>9.3084300280716015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>
        <f>AI99*VLOOKUP('Données projet'!$B$10,Paramètres!$A$1:$I$89,3,0)*VLOOKUP('Données projet'!$B$10,Paramètres!$A$1:$I$89,5,0)</f>
        <v>0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285.77483300338548</v>
      </c>
      <c r="AO99" s="59">
        <f t="shared" si="90"/>
        <v>320.55212417690637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2.2579634880745054</v>
      </c>
      <c r="AV99" s="21">
        <f>EXP(-LN(2)/25)*AV98+(1-EXP(-LN(2)/25))/(LN(2)/25)*Calculateur!AQ99*Calculateur!AS99*VLOOKUP('Données projet'!$B$10,Paramètres!$A$1:$I$89,3,0)*0.475*44/12</f>
        <v>4.4711137475607172</v>
      </c>
      <c r="AW99" s="21">
        <f>EXP(-LN(2)/2)*AW98+(1-EXP(-LN(2)/2))/(LN(2)/2)*AQ99*AT99*VLOOKUP('Données projet'!$B$10,Paramètres!$A$1:$I$89,3,0)*0.475*44/12</f>
        <v>2.8406725191641459E-9</v>
      </c>
      <c r="AX99" s="21">
        <f t="shared" si="60"/>
        <v>6.7290772384758952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-7.9580786405131221E-13</v>
      </c>
      <c r="BE99" s="13">
        <f>BD99*VLOOKUP('Données projet'!$B$11,Paramètres!$A$1:$I$89,3,0)*VLOOKUP('Données projet'!$B$11,Paramètres!$A$1:$I$89,5,0)</f>
        <v>-3.8278358260868117E-13</v>
      </c>
      <c r="BF99" s="13" t="e">
        <f t="shared" si="91"/>
        <v>#NUM!</v>
      </c>
      <c r="BG99" s="20" t="e">
        <f t="shared" si="61"/>
        <v>#NUM!</v>
      </c>
      <c r="BH99" s="59" t="e">
        <f t="shared" si="62"/>
        <v>#NUM!</v>
      </c>
      <c r="BI99" s="59">
        <f ca="1">AVERAGE(OFFSET($BH$3,0,0,'Données projet'!$E$11+1,1))-AVERAGE(OFFSET($H$3,0,0,'Données projet'!$E$11+1,1))</f>
        <v>402.22278907877927</v>
      </c>
      <c r="BJ99" s="59">
        <f t="shared" si="92"/>
        <v>393.06397734082458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7.5213693883941657</v>
      </c>
      <c r="BQ99" s="21">
        <f>EXP(-LN(2)/25)*BQ98+(1-EXP(-LN(2)/25))/(LN(2)/25)*Calculateur!BL99*Calculateur!BN99*VLOOKUP('Données projet'!$B$11,Paramètres!$A$1:$I$89,3,0)*0.475*44/12</f>
        <v>7.2338160182079188</v>
      </c>
      <c r="BR99" s="21">
        <f>EXP(-LN(2)/2)*BR98+(1-EXP(-LN(2)/2))/(LN(2)/2)*BL99*BO99*VLOOKUP('Données projet'!$B$11,Paramètres!$A$1:$I$89,3,0)*0.475*44/12</f>
        <v>1.0298374962910992E-7</v>
      </c>
      <c r="BS99" s="22">
        <f t="shared" si="63"/>
        <v>14.755185509585834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5.9</v>
      </c>
      <c r="BY99" s="12">
        <f>IF('Données projet'!$A$114&gt;35,BY98+BX99-CG98,IF(A99&lt;'Données projet'!$A$114,$BV$205^A99,IF(A99='Données projet'!$A$114,'Données projet'!$B$114,BY98+BX99-CG98)))</f>
        <v>337.39999999999986</v>
      </c>
      <c r="BZ99" s="13">
        <f>BY99*VLOOKUP('Données projet'!$B$12,Paramètres!$A$1:$I$89,3,0)*VLOOKUP('Données projet'!$B$12,Paramètres!$A$1:$I$89,5,0)</f>
        <v>305.27951999999982</v>
      </c>
      <c r="CA99" s="13">
        <f t="shared" si="93"/>
        <v>72.282127407576809</v>
      </c>
      <c r="CB99" s="20">
        <f t="shared" si="64"/>
        <v>657.58653590152937</v>
      </c>
      <c r="CC99" s="59">
        <f t="shared" si="65"/>
        <v>950.91986923486274</v>
      </c>
      <c r="CD99" s="59">
        <f ca="1">AVERAGE(OFFSET($CC$3,0,0,'Données projet'!$E$12+1,1))-AVERAGE(OFFSET($H$3,0,0,'Données projet'!$E$12+1,1))</f>
        <v>363.51171608224735</v>
      </c>
      <c r="CE99" s="59">
        <f t="shared" si="94"/>
        <v>257.9239334647138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0.65177788648817281</v>
      </c>
      <c r="CL99" s="21">
        <f>EXP(-LN(2)/25)*CL98+(1-EXP(-LN(2)/25))/(LN(2)/25)*Calculateur!CG99*Calculateur!CI99*VLOOKUP('Données projet'!$B$12,Paramètres!$A$1:$I$89,3,0)*0.475*44/12</f>
        <v>1.8100826665891854</v>
      </c>
      <c r="CM99" s="21">
        <f>EXP(-LN(2)/2)*CM98+(1-EXP(-LN(2)/2))/(LN(2)/2)*CG99*CJ99*VLOOKUP('Données projet'!$B$12,Paramètres!$A$1:$I$89,3,0)*0.475*44/12</f>
        <v>2.5091386370019385E-9</v>
      </c>
      <c r="CN99" s="22">
        <f t="shared" si="66"/>
        <v>2.461860555586497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1">
        <f t="shared" si="86"/>
        <v>15.376128095486868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67">
        <f t="shared" si="56"/>
        <v>412.35557309963951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-1.2505552149377763E-12</v>
      </c>
      <c r="O100" s="13">
        <f>N100*VLOOKUP('Données projet'!$B$9,Paramètres!$A$1:$I$89,3,0)*VLOOKUP('Données projet'!$B$9,Paramètres!$A$1:$I$89,5,0)</f>
        <v>-6.9906036515021697E-13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446.28010102877403</v>
      </c>
      <c r="T100" s="59">
        <f t="shared" si="88"/>
        <v>445.84011537290456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3.0297267743419689</v>
      </c>
      <c r="AA100" s="21">
        <f>EXP(-LN(2)/25)*AA99+(1-EXP(-LN(2)/25))/(LN(2)/25)*Calculateur!V100*Calculateur!X100*VLOOKUP('Données projet'!$B$9,Paramètres!$A$1:$I$89,3,0)*0.475*44/12</f>
        <v>6.048069461447426</v>
      </c>
      <c r="AB100" s="21">
        <f>EXP(-LN(2)/2)*AB99+(1-EXP(-LN(2)/2))/(LN(2)/2)*V100*Y100*VLOOKUP('Données projet'!$B$9,Paramètres!$A$1:$I$89,3,0)*0.475*44/12</f>
        <v>3.0022954684500151E-9</v>
      </c>
      <c r="AC100" s="22">
        <f t="shared" si="57"/>
        <v>9.0777962387916897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>
        <f>AI100*VLOOKUP('Données projet'!$B$10,Paramètres!$A$1:$I$89,3,0)*VLOOKUP('Données projet'!$B$10,Paramètres!$A$1:$I$89,5,0)</f>
        <v>0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285.77483300338548</v>
      </c>
      <c r="AO100" s="59">
        <f t="shared" si="90"/>
        <v>320.55212417690637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2.2136862012951029</v>
      </c>
      <c r="AV100" s="21">
        <f>EXP(-LN(2)/25)*AV99+(1-EXP(-LN(2)/25))/(LN(2)/25)*Calculateur!AQ100*Calculateur!AS100*VLOOKUP('Données projet'!$B$10,Paramètres!$A$1:$I$89,3,0)*0.475*44/12</f>
        <v>4.3488509070080159</v>
      </c>
      <c r="AW100" s="21">
        <f>EXP(-LN(2)/2)*AW99+(1-EXP(-LN(2)/2))/(LN(2)/2)*AQ100*AT100*VLOOKUP('Données projet'!$B$10,Paramètres!$A$1:$I$89,3,0)*0.475*44/12</f>
        <v>2.0086588014312404E-9</v>
      </c>
      <c r="AX100" s="21">
        <f t="shared" si="60"/>
        <v>6.5625371103117773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-7.9580786405131221E-13</v>
      </c>
      <c r="BE100" s="13">
        <f>BD100*VLOOKUP('Données projet'!$B$11,Paramètres!$A$1:$I$89,3,0)*VLOOKUP('Données projet'!$B$11,Paramètres!$A$1:$I$89,5,0)</f>
        <v>-3.8278358260868117E-13</v>
      </c>
      <c r="BF100" s="13" t="e">
        <f t="shared" si="91"/>
        <v>#NUM!</v>
      </c>
      <c r="BG100" s="20" t="e">
        <f t="shared" si="61"/>
        <v>#NUM!</v>
      </c>
      <c r="BH100" s="59" t="e">
        <f t="shared" si="62"/>
        <v>#NUM!</v>
      </c>
      <c r="BI100" s="59">
        <f ca="1">AVERAGE(OFFSET($BH$3,0,0,'Données projet'!$E$11+1,1))-AVERAGE(OFFSET($H$3,0,0,'Données projet'!$E$11+1,1))</f>
        <v>402.22278907877927</v>
      </c>
      <c r="BJ100" s="59">
        <f t="shared" si="92"/>
        <v>393.06397734082458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7.3738799222700973</v>
      </c>
      <c r="BQ100" s="21">
        <f>EXP(-LN(2)/25)*BQ99+(1-EXP(-LN(2)/25))/(LN(2)/25)*Calculateur!BL100*Calculateur!BN100*VLOOKUP('Données projet'!$B$11,Paramètres!$A$1:$I$89,3,0)*0.475*44/12</f>
        <v>7.0360069387801722</v>
      </c>
      <c r="BR100" s="21">
        <f>EXP(-LN(2)/2)*BR99+(1-EXP(-LN(2)/2))/(LN(2)/2)*BL100*BO100*VLOOKUP('Données projet'!$B$11,Paramètres!$A$1:$I$89,3,0)*0.475*44/12</f>
        <v>7.2820507714761221E-8</v>
      </c>
      <c r="BS100" s="22">
        <f t="shared" si="63"/>
        <v>14.409886933870776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5.9</v>
      </c>
      <c r="BY100" s="12">
        <f>IF('Données projet'!$A$114&gt;35,BY99+BX100-CG99,IF(A100&lt;'Données projet'!$A$114,$BV$205^A100,IF(A100='Données projet'!$A$114,'Données projet'!$B$114,BY99+BX100-CG99)))</f>
        <v>343.29999999999984</v>
      </c>
      <c r="BZ100" s="13">
        <f>BY100*VLOOKUP('Données projet'!$B$12,Paramètres!$A$1:$I$89,3,0)*VLOOKUP('Données projet'!$B$12,Paramètres!$A$1:$I$89,5,0)</f>
        <v>310.61783999999983</v>
      </c>
      <c r="CA100" s="13">
        <f t="shared" si="93"/>
        <v>73.397844798859666</v>
      </c>
      <c r="CB100" s="20">
        <f t="shared" si="64"/>
        <v>668.82731769134693</v>
      </c>
      <c r="CC100" s="59">
        <f t="shared" si="65"/>
        <v>962.16065102468019</v>
      </c>
      <c r="CD100" s="59">
        <f ca="1">AVERAGE(OFFSET($CC$3,0,0,'Données projet'!$E$12+1,1))-AVERAGE(OFFSET($H$3,0,0,'Données projet'!$E$12+1,1))</f>
        <v>363.51171608224735</v>
      </c>
      <c r="CE100" s="59">
        <f t="shared" si="94"/>
        <v>257.9239334647138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0.6389969196793962</v>
      </c>
      <c r="CL100" s="21">
        <f>EXP(-LN(2)/25)*CL99+(1-EXP(-LN(2)/25))/(LN(2)/25)*Calculateur!CG100*Calculateur!CI100*VLOOKUP('Données projet'!$B$12,Paramètres!$A$1:$I$89,3,0)*0.475*44/12</f>
        <v>1.7605858608831937</v>
      </c>
      <c r="CM100" s="21">
        <f>EXP(-LN(2)/2)*CM99+(1-EXP(-LN(2)/2))/(LN(2)/2)*CG100*CJ100*VLOOKUP('Données projet'!$B$12,Paramètres!$A$1:$I$89,3,0)*0.475*44/12</f>
        <v>1.7742289451612418E-9</v>
      </c>
      <c r="CN100" s="22">
        <f t="shared" si="66"/>
        <v>2.3995827823368185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1">
        <f t="shared" si="86"/>
        <v>15.516109807666373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67">
        <f t="shared" si="56"/>
        <v>413.55032458168552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-1.2505552149377763E-12</v>
      </c>
      <c r="O101" s="13">
        <f>N101*VLOOKUP('Données projet'!$B$9,Paramètres!$A$1:$I$89,3,0)*VLOOKUP('Données projet'!$B$9,Paramètres!$A$1:$I$89,5,0)</f>
        <v>-6.9906036515021697E-13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446.28010102877403</v>
      </c>
      <c r="T101" s="59">
        <f t="shared" si="88"/>
        <v>445.84011537290456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2.9703156802479853</v>
      </c>
      <c r="AA101" s="21">
        <f>EXP(-LN(2)/25)*AA100+(1-EXP(-LN(2)/25))/(LN(2)/25)*Calculateur!V101*Calculateur!X101*VLOOKUP('Données projet'!$B$9,Paramètres!$A$1:$I$89,3,0)*0.475*44/12</f>
        <v>5.8826846839699964</v>
      </c>
      <c r="AB101" s="21">
        <f>EXP(-LN(2)/2)*AB100+(1-EXP(-LN(2)/2))/(LN(2)/2)*V101*Y101*VLOOKUP('Données projet'!$B$9,Paramètres!$A$1:$I$89,3,0)*0.475*44/12</f>
        <v>2.122943484866648E-9</v>
      </c>
      <c r="AC101" s="22">
        <f t="shared" si="57"/>
        <v>8.8530003663409254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>
        <f>AI101*VLOOKUP('Données projet'!$B$10,Paramètres!$A$1:$I$89,3,0)*VLOOKUP('Données projet'!$B$10,Paramètres!$A$1:$I$89,5,0)</f>
        <v>0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285.77483300338548</v>
      </c>
      <c r="AO101" s="59">
        <f t="shared" si="90"/>
        <v>320.55212417690637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2.170277165102966</v>
      </c>
      <c r="AV101" s="21">
        <f>EXP(-LN(2)/25)*AV100+(1-EXP(-LN(2)/25))/(LN(2)/25)*Calculateur!AQ101*Calculateur!AS101*VLOOKUP('Données projet'!$B$10,Paramètres!$A$1:$I$89,3,0)*0.475*44/12</f>
        <v>4.2299313502597515</v>
      </c>
      <c r="AW101" s="21">
        <f>EXP(-LN(2)/2)*AW100+(1-EXP(-LN(2)/2))/(LN(2)/2)*AQ101*AT101*VLOOKUP('Données projet'!$B$10,Paramètres!$A$1:$I$89,3,0)*0.475*44/12</f>
        <v>1.420336259582073E-9</v>
      </c>
      <c r="AX101" s="21">
        <f t="shared" si="60"/>
        <v>6.4002085167830529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-7.9580786405131221E-13</v>
      </c>
      <c r="BE101" s="13">
        <f>BD101*VLOOKUP('Données projet'!$B$11,Paramètres!$A$1:$I$89,3,0)*VLOOKUP('Données projet'!$B$11,Paramètres!$A$1:$I$89,5,0)</f>
        <v>-3.8278358260868117E-13</v>
      </c>
      <c r="BF101" s="13" t="e">
        <f t="shared" si="91"/>
        <v>#NUM!</v>
      </c>
      <c r="BG101" s="20" t="e">
        <f t="shared" si="61"/>
        <v>#NUM!</v>
      </c>
      <c r="BH101" s="59" t="e">
        <f t="shared" si="62"/>
        <v>#NUM!</v>
      </c>
      <c r="BI101" s="59">
        <f ca="1">AVERAGE(OFFSET($BH$3,0,0,'Données projet'!$E$11+1,1))-AVERAGE(OFFSET($H$3,0,0,'Données projet'!$E$11+1,1))</f>
        <v>402.22278907877927</v>
      </c>
      <c r="BJ101" s="59">
        <f t="shared" si="92"/>
        <v>393.06397734082458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7.2292826346170296</v>
      </c>
      <c r="BQ101" s="21">
        <f>EXP(-LN(2)/25)*BQ100+(1-EXP(-LN(2)/25))/(LN(2)/25)*Calculateur!BL101*Calculateur!BN101*VLOOKUP('Données projet'!$B$11,Paramètres!$A$1:$I$89,3,0)*0.475*44/12</f>
        <v>6.8436069590317041</v>
      </c>
      <c r="BR101" s="21">
        <f>EXP(-LN(2)/2)*BR100+(1-EXP(-LN(2)/2))/(LN(2)/2)*BL101*BO101*VLOOKUP('Données projet'!$B$11,Paramètres!$A$1:$I$89,3,0)*0.475*44/12</f>
        <v>5.1491874814554959E-8</v>
      </c>
      <c r="BS101" s="22">
        <f t="shared" si="63"/>
        <v>14.072889645140609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5.9</v>
      </c>
      <c r="BY101" s="12">
        <f>IF('Données projet'!$A$114&gt;35,BY100+BX101-CG100,IF(A101&lt;'Données projet'!$A$114,$BV$205^A101,IF(A101='Données projet'!$A$114,'Données projet'!$B$114,BY100+BX101-CG100)))</f>
        <v>349.19999999999982</v>
      </c>
      <c r="BZ101" s="13">
        <f>BY101*VLOOKUP('Données projet'!$B$12,Paramètres!$A$1:$I$89,3,0)*VLOOKUP('Données projet'!$B$12,Paramètres!$A$1:$I$89,5,0)</f>
        <v>315.95615999999984</v>
      </c>
      <c r="CA101" s="13">
        <f t="shared" si="93"/>
        <v>74.511332350300975</v>
      </c>
      <c r="CB101" s="20">
        <f t="shared" si="64"/>
        <v>680.06421584344059</v>
      </c>
      <c r="CC101" s="59">
        <f t="shared" si="65"/>
        <v>973.39754917677396</v>
      </c>
      <c r="CD101" s="59">
        <f ca="1">AVERAGE(OFFSET($CC$3,0,0,'Données projet'!$E$12+1,1))-AVERAGE(OFFSET($H$3,0,0,'Données projet'!$E$12+1,1))</f>
        <v>363.51171608224735</v>
      </c>
      <c r="CE101" s="59">
        <f t="shared" si="94"/>
        <v>257.9239334647138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0.62646657983411969</v>
      </c>
      <c r="CL101" s="21">
        <f>EXP(-LN(2)/25)*CL100+(1-EXP(-LN(2)/25))/(LN(2)/25)*Calculateur!CG101*Calculateur!CI101*VLOOKUP('Données projet'!$B$12,Paramètres!$A$1:$I$89,3,0)*0.475*44/12</f>
        <v>1.7124425479321561</v>
      </c>
      <c r="CM101" s="21">
        <f>EXP(-LN(2)/2)*CM100+(1-EXP(-LN(2)/2))/(LN(2)/2)*CG101*CJ101*VLOOKUP('Données projet'!$B$12,Paramètres!$A$1:$I$89,3,0)*0.475*44/12</f>
        <v>1.2545693185009692E-9</v>
      </c>
      <c r="CN101" s="22">
        <f t="shared" si="66"/>
        <v>2.3389091290208452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1">
        <f t="shared" si="86"/>
        <v>15.655925351504653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67">
        <f t="shared" si="56"/>
        <v>414.74478665387051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-1.2505552149377763E-12</v>
      </c>
      <c r="O102" s="13">
        <f>N102*VLOOKUP('Données projet'!$B$9,Paramètres!$A$1:$I$89,3,0)*VLOOKUP('Données projet'!$B$9,Paramètres!$A$1:$I$89,5,0)</f>
        <v>-6.9906036515021697E-13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446.28010102877403</v>
      </c>
      <c r="T102" s="59">
        <f t="shared" si="88"/>
        <v>445.84011537290456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2.9120696014719956</v>
      </c>
      <c r="AA102" s="21">
        <f>EXP(-LN(2)/25)*AA101+(1-EXP(-LN(2)/25))/(LN(2)/25)*Calculateur!V102*Calculateur!X102*VLOOKUP('Données projet'!$B$9,Paramètres!$A$1:$I$89,3,0)*0.475*44/12</f>
        <v>5.7218223619298945</v>
      </c>
      <c r="AB102" s="21">
        <f>EXP(-LN(2)/2)*AB101+(1-EXP(-LN(2)/2))/(LN(2)/2)*V102*Y102*VLOOKUP('Données projet'!$B$9,Paramètres!$A$1:$I$89,3,0)*0.475*44/12</f>
        <v>1.5011477342250075E-9</v>
      </c>
      <c r="AC102" s="22">
        <f t="shared" si="57"/>
        <v>8.6338919649030377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>
        <f>AI102*VLOOKUP('Données projet'!$B$10,Paramètres!$A$1:$I$89,3,0)*VLOOKUP('Données projet'!$B$10,Paramètres!$A$1:$I$89,5,0)</f>
        <v>0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285.77483300338548</v>
      </c>
      <c r="AO102" s="59">
        <f t="shared" si="90"/>
        <v>320.55212417690637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2.1277193536336592</v>
      </c>
      <c r="AV102" s="21">
        <f>EXP(-LN(2)/25)*AV101+(1-EXP(-LN(2)/25))/(LN(2)/25)*Calculateur!AQ102*Calculateur!AS102*VLOOKUP('Données projet'!$B$10,Paramètres!$A$1:$I$89,3,0)*0.475*44/12</f>
        <v>4.1142636550444767</v>
      </c>
      <c r="AW102" s="21">
        <f>EXP(-LN(2)/2)*AW101+(1-EXP(-LN(2)/2))/(LN(2)/2)*AQ102*AT102*VLOOKUP('Données projet'!$B$10,Paramètres!$A$1:$I$89,3,0)*0.475*44/12</f>
        <v>1.0043294007156202E-9</v>
      </c>
      <c r="AX102" s="21">
        <f t="shared" si="60"/>
        <v>6.2419830096824649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-7.9580786405131221E-13</v>
      </c>
      <c r="BE102" s="13">
        <f>BD102*VLOOKUP('Données projet'!$B$11,Paramètres!$A$1:$I$89,3,0)*VLOOKUP('Données projet'!$B$11,Paramètres!$A$1:$I$89,5,0)</f>
        <v>-3.8278358260868117E-13</v>
      </c>
      <c r="BF102" s="13" t="e">
        <f t="shared" si="91"/>
        <v>#NUM!</v>
      </c>
      <c r="BG102" s="20" t="e">
        <f t="shared" si="61"/>
        <v>#NUM!</v>
      </c>
      <c r="BH102" s="59" t="e">
        <f t="shared" si="62"/>
        <v>#NUM!</v>
      </c>
      <c r="BI102" s="59">
        <f ca="1">AVERAGE(OFFSET($BH$3,0,0,'Données projet'!$E$11+1,1))-AVERAGE(OFFSET($H$3,0,0,'Données projet'!$E$11+1,1))</f>
        <v>402.22278907877927</v>
      </c>
      <c r="BJ102" s="59">
        <f t="shared" si="92"/>
        <v>393.06397734082458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7.0875208115792017</v>
      </c>
      <c r="BQ102" s="21">
        <f>EXP(-LN(2)/25)*BQ101+(1-EXP(-LN(2)/25))/(LN(2)/25)*Calculateur!BL102*Calculateur!BN102*VLOOKUP('Données projet'!$B$11,Paramètres!$A$1:$I$89,3,0)*0.475*44/12</f>
        <v>6.6564681668473336</v>
      </c>
      <c r="BR102" s="21">
        <f>EXP(-LN(2)/2)*BR101+(1-EXP(-LN(2)/2))/(LN(2)/2)*BL102*BO102*VLOOKUP('Données projet'!$B$11,Paramètres!$A$1:$I$89,3,0)*0.475*44/12</f>
        <v>3.641025385738061E-8</v>
      </c>
      <c r="BS102" s="22">
        <f t="shared" si="63"/>
        <v>13.74398901483679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5.9</v>
      </c>
      <c r="BY102" s="12">
        <f>IF('Données projet'!$A$114&gt;35,BY101+BX102-CG101,IF(A102&lt;'Données projet'!$A$114,$BV$205^A102,IF(A102='Données projet'!$A$114,'Données projet'!$B$114,BY101+BX102-CG101)))</f>
        <v>355.0999999999998</v>
      </c>
      <c r="BZ102" s="13">
        <f>BY102*VLOOKUP('Données projet'!$B$12,Paramètres!$A$1:$I$89,3,0)*VLOOKUP('Données projet'!$B$12,Paramètres!$A$1:$I$89,5,0)</f>
        <v>321.29447999999979</v>
      </c>
      <c r="CA102" s="13">
        <f t="shared" si="93"/>
        <v>75.6226320847924</v>
      </c>
      <c r="CB102" s="20">
        <f t="shared" si="64"/>
        <v>691.29730354767969</v>
      </c>
      <c r="CC102" s="59">
        <f t="shared" si="65"/>
        <v>984.63063688101306</v>
      </c>
      <c r="CD102" s="59">
        <f ca="1">AVERAGE(OFFSET($CC$3,0,0,'Données projet'!$E$12+1,1))-AVERAGE(OFFSET($H$3,0,0,'Données projet'!$E$12+1,1))</f>
        <v>363.51171608224735</v>
      </c>
      <c r="CE102" s="59">
        <f t="shared" si="94"/>
        <v>257.9239334647138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0.61418195231045636</v>
      </c>
      <c r="CL102" s="21">
        <f>EXP(-LN(2)/25)*CL101+(1-EXP(-LN(2)/25))/(LN(2)/25)*Calculateur!CG102*Calculateur!CI102*VLOOKUP('Données projet'!$B$12,Paramètres!$A$1:$I$89,3,0)*0.475*44/12</f>
        <v>1.6656157164055116</v>
      </c>
      <c r="CM102" s="21">
        <f>EXP(-LN(2)/2)*CM101+(1-EXP(-LN(2)/2))/(LN(2)/2)*CG102*CJ102*VLOOKUP('Données projet'!$B$12,Paramètres!$A$1:$I$89,3,0)*0.475*44/12</f>
        <v>8.8711447258062092E-10</v>
      </c>
      <c r="CN102" s="22">
        <f t="shared" si="66"/>
        <v>2.2797976696030826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1">
        <f t="shared" si="86"/>
        <v>15.795576599806306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67">
        <f t="shared" si="56"/>
        <v>415.93896257799588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-1.2505552149377763E-12</v>
      </c>
      <c r="O103" s="13">
        <f>N103*VLOOKUP('Données projet'!$B$9,Paramètres!$A$1:$I$89,3,0)*VLOOKUP('Données projet'!$B$9,Paramètres!$A$1:$I$89,5,0)</f>
        <v>-6.9906036515021697E-13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446.28010102877403</v>
      </c>
      <c r="T103" s="59">
        <f t="shared" si="88"/>
        <v>445.84011537290456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2.8549656927742029</v>
      </c>
      <c r="AA103" s="21">
        <f>EXP(-LN(2)/25)*AA102+(1-EXP(-LN(2)/25))/(LN(2)/25)*Calculateur!V103*Calculateur!X103*VLOOKUP('Données projet'!$B$9,Paramètres!$A$1:$I$89,3,0)*0.475*44/12</f>
        <v>5.565358828545361</v>
      </c>
      <c r="AB103" s="21">
        <f>EXP(-LN(2)/2)*AB102+(1-EXP(-LN(2)/2))/(LN(2)/2)*V103*Y103*VLOOKUP('Données projet'!$B$9,Paramètres!$A$1:$I$89,3,0)*0.475*44/12</f>
        <v>1.061471742433324E-9</v>
      </c>
      <c r="AC103" s="22">
        <f t="shared" si="57"/>
        <v>8.4203245223810352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>
        <f>AI103*VLOOKUP('Données projet'!$B$10,Paramètres!$A$1:$I$89,3,0)*VLOOKUP('Données projet'!$B$10,Paramètres!$A$1:$I$89,5,0)</f>
        <v>0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285.77483300338548</v>
      </c>
      <c r="AO103" s="59">
        <f t="shared" si="90"/>
        <v>320.55212417690637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2.0859960748895636</v>
      </c>
      <c r="AV103" s="21">
        <f>EXP(-LN(2)/25)*AV102+(1-EXP(-LN(2)/25))/(LN(2)/25)*Calculateur!AQ103*Calculateur!AS103*VLOOKUP('Données projet'!$B$10,Paramètres!$A$1:$I$89,3,0)*0.475*44/12</f>
        <v>4.0017588990375632</v>
      </c>
      <c r="AW103" s="21">
        <f>EXP(-LN(2)/2)*AW102+(1-EXP(-LN(2)/2))/(LN(2)/2)*AQ103*AT103*VLOOKUP('Données projet'!$B$10,Paramètres!$A$1:$I$89,3,0)*0.475*44/12</f>
        <v>7.1016812979103648E-10</v>
      </c>
      <c r="AX103" s="21">
        <f t="shared" si="60"/>
        <v>6.0877549746372948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-7.9580786405131221E-13</v>
      </c>
      <c r="BE103" s="13">
        <f>BD103*VLOOKUP('Données projet'!$B$11,Paramètres!$A$1:$I$89,3,0)*VLOOKUP('Données projet'!$B$11,Paramètres!$A$1:$I$89,5,0)</f>
        <v>-3.8278358260868117E-13</v>
      </c>
      <c r="BF103" s="13" t="e">
        <f t="shared" si="91"/>
        <v>#NUM!</v>
      </c>
      <c r="BG103" s="20" t="e">
        <f t="shared" si="61"/>
        <v>#NUM!</v>
      </c>
      <c r="BH103" s="59" t="e">
        <f t="shared" si="62"/>
        <v>#NUM!</v>
      </c>
      <c r="BI103" s="59">
        <f ca="1">AVERAGE(OFFSET($BH$3,0,0,'Données projet'!$E$11+1,1))-AVERAGE(OFFSET($H$3,0,0,'Données projet'!$E$11+1,1))</f>
        <v>402.22278907877927</v>
      </c>
      <c r="BJ103" s="59">
        <f t="shared" si="92"/>
        <v>393.06397734082458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6.9485388514249715</v>
      </c>
      <c r="BQ103" s="21">
        <f>EXP(-LN(2)/25)*BQ102+(1-EXP(-LN(2)/25))/(LN(2)/25)*Calculateur!BL103*Calculateur!BN103*VLOOKUP('Données projet'!$B$11,Paramètres!$A$1:$I$89,3,0)*0.475*44/12</f>
        <v>6.4744466947764456</v>
      </c>
      <c r="BR103" s="21">
        <f>EXP(-LN(2)/2)*BR102+(1-EXP(-LN(2)/2))/(LN(2)/2)*BL103*BO103*VLOOKUP('Données projet'!$B$11,Paramètres!$A$1:$I$89,3,0)*0.475*44/12</f>
        <v>2.574593740727748E-8</v>
      </c>
      <c r="BS103" s="22">
        <f t="shared" si="63"/>
        <v>13.422985571947354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>
        <f>VLOOKUP(A103,'Données projet'!$A$113:$I$133,2,0)</f>
        <v>361</v>
      </c>
      <c r="BW103" s="12">
        <f>VLOOKUP(A103,'Données projet'!$A$113:$I$133,9,0)</f>
        <v>5.9</v>
      </c>
      <c r="BX103" s="12">
        <f t="array" ref="BX103">INDEX(BW:BW,MIN(IF(ISNUMBER(BW103:BW299),ROW(BW103:BW299),"")))</f>
        <v>5.9</v>
      </c>
      <c r="BY103" s="12">
        <f>IF('Données projet'!$A$114&gt;35,BY102+BX103-CG102,IF(A103&lt;'Données projet'!$A$114,$BV$205^A103,IF(A103='Données projet'!$A$114,'Données projet'!$B$114,BY102+BX103-CG102)))</f>
        <v>360.99999999999977</v>
      </c>
      <c r="BZ103" s="13">
        <f>BY103*VLOOKUP('Données projet'!$B$12,Paramètres!$A$1:$I$89,3,0)*VLOOKUP('Données projet'!$B$12,Paramètres!$A$1:$I$89,5,0)</f>
        <v>326.6327999999998</v>
      </c>
      <c r="CA103" s="13">
        <f t="shared" si="93"/>
        <v>76.731784548754774</v>
      </c>
      <c r="CB103" s="20">
        <f t="shared" si="64"/>
        <v>702.52665142241415</v>
      </c>
      <c r="CC103" s="59">
        <f t="shared" si="65"/>
        <v>995.85998475574752</v>
      </c>
      <c r="CD103" s="59">
        <f ca="1">AVERAGE(OFFSET($CC$3,0,0,'Données projet'!$E$12+1,1))-AVERAGE(OFFSET($H$3,0,0,'Données projet'!$E$12+1,1))</f>
        <v>363.51171608224735</v>
      </c>
      <c r="CE103" s="59">
        <f t="shared" si="94"/>
        <v>257.9239334647138</v>
      </c>
      <c r="CF103" s="15">
        <f>IF(ISNA(VLOOKUP(A103,'Données projet'!$A$113:$I$133,3,0)),0,VLOOKUP(A103,'Données projet'!$A$113:$I$133,3,0))</f>
        <v>9</v>
      </c>
      <c r="CG103" s="15">
        <f>IF(ISNA(VLOOKUP(A103,'Données projet'!$A$113:$I$133,4,0)),0,VLOOKUP(A103,'Données projet'!$A$113:$I$133,4,0))</f>
        <v>55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0.60213821883964913</v>
      </c>
      <c r="CL103" s="21">
        <f>EXP(-LN(2)/25)*CL102+(1-EXP(-LN(2)/25))/(LN(2)/25)*Calculateur!CG103*Calculateur!CI103*VLOOKUP('Données projet'!$B$12,Paramètres!$A$1:$I$89,3,0)*0.475*44/12</f>
        <v>1.6200693670494792</v>
      </c>
      <c r="CM103" s="21">
        <f>EXP(-LN(2)/2)*CM102+(1-EXP(-LN(2)/2))/(LN(2)/2)*CG103*CJ103*VLOOKUP('Données projet'!$B$12,Paramètres!$A$1:$I$89,3,0)*0.475*44/12</f>
        <v>6.2728465925048462E-10</v>
      </c>
      <c r="CN103" s="22">
        <f t="shared" si="66"/>
        <v>2.2222075865164128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1">
        <f t="shared" si="86"/>
        <v>15.935065385761003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67">
        <f t="shared" si="56"/>
        <v>417.13285554686695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-1.2505552149377763E-12</v>
      </c>
      <c r="O104" s="13">
        <f>N104*VLOOKUP('Données projet'!$B$9,Paramètres!$A$1:$I$89,3,0)*VLOOKUP('Données projet'!$B$9,Paramètres!$A$1:$I$89,5,0)</f>
        <v>-6.9906036515021697E-13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446.28010102877403</v>
      </c>
      <c r="T104" s="59">
        <f t="shared" si="88"/>
        <v>445.84011537290456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2.7989815568960288</v>
      </c>
      <c r="AA104" s="21">
        <f>EXP(-LN(2)/25)*AA103+(1-EXP(-LN(2)/25))/(LN(2)/25)*Calculateur!V104*Calculateur!X104*VLOOKUP('Données projet'!$B$9,Paramètres!$A$1:$I$89,3,0)*0.475*44/12</f>
        <v>5.4131737987092867</v>
      </c>
      <c r="AB104" s="21">
        <f>EXP(-LN(2)/2)*AB103+(1-EXP(-LN(2)/2))/(LN(2)/2)*V104*Y104*VLOOKUP('Données projet'!$B$9,Paramètres!$A$1:$I$89,3,0)*0.475*44/12</f>
        <v>7.5057386711250376E-10</v>
      </c>
      <c r="AC104" s="22">
        <f t="shared" si="57"/>
        <v>8.2121553563558898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>
        <f>AI104*VLOOKUP('Données projet'!$B$10,Paramètres!$A$1:$I$89,3,0)*VLOOKUP('Données projet'!$B$10,Paramètres!$A$1:$I$89,5,0)</f>
        <v>0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285.77483300338548</v>
      </c>
      <c r="AO104" s="59">
        <f t="shared" si="90"/>
        <v>320.55212417690637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2.0450909641929527</v>
      </c>
      <c r="AV104" s="21">
        <f>EXP(-LN(2)/25)*AV103+(1-EXP(-LN(2)/25))/(LN(2)/25)*Calculateur!AQ104*Calculateur!AS104*VLOOKUP('Données projet'!$B$10,Paramètres!$A$1:$I$89,3,0)*0.475*44/12</f>
        <v>3.8923305915000266</v>
      </c>
      <c r="AW104" s="21">
        <f>EXP(-LN(2)/2)*AW103+(1-EXP(-LN(2)/2))/(LN(2)/2)*AQ104*AT104*VLOOKUP('Données projet'!$B$10,Paramètres!$A$1:$I$89,3,0)*0.475*44/12</f>
        <v>5.0216470035781011E-10</v>
      </c>
      <c r="AX104" s="21">
        <f t="shared" si="60"/>
        <v>5.9374215561951438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-7.9580786405131221E-13</v>
      </c>
      <c r="BE104" s="13">
        <f>BD104*VLOOKUP('Données projet'!$B$11,Paramètres!$A$1:$I$89,3,0)*VLOOKUP('Données projet'!$B$11,Paramètres!$A$1:$I$89,5,0)</f>
        <v>-3.8278358260868117E-13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402.22278907877927</v>
      </c>
      <c r="BJ104" s="59">
        <f t="shared" si="92"/>
        <v>393.06397734082458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6.8122822427387408</v>
      </c>
      <c r="BQ104" s="21">
        <f>EXP(-LN(2)/25)*BQ103+(1-EXP(-LN(2)/25))/(LN(2)/25)*Calculateur!BL104*Calculateur!BN104*VLOOKUP('Données projet'!$B$11,Paramètres!$A$1:$I$89,3,0)*0.475*44/12</f>
        <v>6.2974026094314297</v>
      </c>
      <c r="BR104" s="21">
        <f>EXP(-LN(2)/2)*BR103+(1-EXP(-LN(2)/2))/(LN(2)/2)*BL104*BO104*VLOOKUP('Données projet'!$B$11,Paramètres!$A$1:$I$89,3,0)*0.475*44/12</f>
        <v>1.8205126928690305E-8</v>
      </c>
      <c r="BS104" s="22">
        <f t="shared" si="63"/>
        <v>13.109684870375297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5.2</v>
      </c>
      <c r="BY104" s="12">
        <f>IF('Données projet'!$A$114&gt;35,BY103+BX104-CG103,IF(A104&lt;'Données projet'!$A$114,$BV$205^A104,IF(A104='Données projet'!$A$114,'Données projet'!$B$114,BY103+BX104-CG103)))</f>
        <v>311.19999999999976</v>
      </c>
      <c r="BZ104" s="13">
        <f>BY104*VLOOKUP('Données projet'!$B$12,Paramètres!$A$1:$I$89,3,0)*VLOOKUP('Données projet'!$B$12,Paramètres!$A$1:$I$89,5,0)</f>
        <v>281.57375999999977</v>
      </c>
      <c r="CA104" s="13">
        <f t="shared" si="93"/>
        <v>67.299481043334993</v>
      </c>
      <c r="CB104" s="20">
        <f t="shared" si="64"/>
        <v>607.62089481714133</v>
      </c>
      <c r="CC104" s="59">
        <f t="shared" si="65"/>
        <v>900.95422815047459</v>
      </c>
      <c r="CD104" s="59">
        <f ca="1">AVERAGE(OFFSET($CC$3,0,0,'Données projet'!$E$12+1,1))-AVERAGE(OFFSET($H$3,0,0,'Données projet'!$E$12+1,1))</f>
        <v>363.51171608224735</v>
      </c>
      <c r="CE104" s="59">
        <f t="shared" si="94"/>
        <v>257.9239334647138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0.59033065563625242</v>
      </c>
      <c r="CL104" s="21">
        <f>EXP(-LN(2)/25)*CL103+(1-EXP(-LN(2)/25))/(LN(2)/25)*Calculateur!CG104*Calculateur!CI104*VLOOKUP('Données projet'!$B$12,Paramètres!$A$1:$I$89,3,0)*0.475*44/12</f>
        <v>1.5757684850117659</v>
      </c>
      <c r="CM104" s="21">
        <f>EXP(-LN(2)/2)*CM103+(1-EXP(-LN(2)/2))/(LN(2)/2)*CG104*CJ104*VLOOKUP('Données projet'!$B$12,Paramètres!$A$1:$I$89,3,0)*0.475*44/12</f>
        <v>4.4355723629031046E-10</v>
      </c>
      <c r="CN104" s="22">
        <f t="shared" si="66"/>
        <v>2.1660991410915758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1">
        <f t="shared" si="86"/>
        <v>16.07439350416519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67">
        <f t="shared" si="56"/>
        <v>418.32646868642092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-1.2505552149377763E-12</v>
      </c>
      <c r="O105" s="13">
        <f>N105*VLOOKUP('Données projet'!$B$9,Paramètres!$A$1:$I$89,3,0)*VLOOKUP('Données projet'!$B$9,Paramètres!$A$1:$I$89,5,0)</f>
        <v>-6.9906036515021697E-13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446.28010102877403</v>
      </c>
      <c r="T105" s="59">
        <f t="shared" si="88"/>
        <v>445.84011537290456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2.7440952357754744</v>
      </c>
      <c r="AA105" s="21">
        <f>EXP(-LN(2)/25)*AA104+(1-EXP(-LN(2)/25))/(LN(2)/25)*Calculateur!V105*Calculateur!X105*VLOOKUP('Données projet'!$B$9,Paramètres!$A$1:$I$89,3,0)*0.475*44/12</f>
        <v>5.2651502765171427</v>
      </c>
      <c r="AB105" s="21">
        <f>EXP(-LN(2)/2)*AB104+(1-EXP(-LN(2)/2))/(LN(2)/2)*V105*Y105*VLOOKUP('Données projet'!$B$9,Paramètres!$A$1:$I$89,3,0)*0.475*44/12</f>
        <v>5.3073587121666199E-10</v>
      </c>
      <c r="AC105" s="22">
        <f t="shared" si="57"/>
        <v>8.0092455128233535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>
        <f>AI105*VLOOKUP('Données projet'!$B$10,Paramètres!$A$1:$I$89,3,0)*VLOOKUP('Données projet'!$B$10,Paramètres!$A$1:$I$89,5,0)</f>
        <v>0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285.77483300338548</v>
      </c>
      <c r="AO105" s="59">
        <f t="shared" si="90"/>
        <v>320.55212417690637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2.0049879777674482</v>
      </c>
      <c r="AV105" s="21">
        <f>EXP(-LN(2)/25)*AV104+(1-EXP(-LN(2)/25))/(LN(2)/25)*Calculateur!AQ105*Calculateur!AS105*VLOOKUP('Données projet'!$B$10,Paramètres!$A$1:$I$89,3,0)*0.475*44/12</f>
        <v>3.7858946067866888</v>
      </c>
      <c r="AW105" s="21">
        <f>EXP(-LN(2)/2)*AW104+(1-EXP(-LN(2)/2))/(LN(2)/2)*AQ105*AT105*VLOOKUP('Données projet'!$B$10,Paramètres!$A$1:$I$89,3,0)*0.475*44/12</f>
        <v>3.5508406489551824E-10</v>
      </c>
      <c r="AX105" s="21">
        <f t="shared" si="60"/>
        <v>5.7908825849092205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-7.9580786405131221E-13</v>
      </c>
      <c r="BE105" s="13">
        <f>BD105*VLOOKUP('Données projet'!$B$11,Paramètres!$A$1:$I$89,3,0)*VLOOKUP('Données projet'!$B$11,Paramètres!$A$1:$I$89,5,0)</f>
        <v>-3.8278358260868117E-13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402.22278907877927</v>
      </c>
      <c r="BJ105" s="59">
        <f t="shared" si="92"/>
        <v>393.06397734082458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6.6786975430405215</v>
      </c>
      <c r="BQ105" s="21">
        <f>EXP(-LN(2)/25)*BQ104+(1-EXP(-LN(2)/25))/(LN(2)/25)*Calculateur!BL105*Calculateur!BN105*VLOOKUP('Données projet'!$B$11,Paramètres!$A$1:$I$89,3,0)*0.475*44/12</f>
        <v>6.1251998039105171</v>
      </c>
      <c r="BR105" s="21">
        <f>EXP(-LN(2)/2)*BR104+(1-EXP(-LN(2)/2))/(LN(2)/2)*BL105*BO105*VLOOKUP('Données projet'!$B$11,Paramètres!$A$1:$I$89,3,0)*0.475*44/12</f>
        <v>1.287296870363874E-8</v>
      </c>
      <c r="BS105" s="22">
        <f t="shared" si="63"/>
        <v>12.803897359824008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5.2</v>
      </c>
      <c r="BY105" s="12">
        <f>IF('Données projet'!$A$114&gt;35,BY104+BX105-CG104,IF(A105&lt;'Données projet'!$A$114,$BV$205^A105,IF(A105='Données projet'!$A$114,'Données projet'!$B$114,BY104+BX105-CG104)))</f>
        <v>316.39999999999975</v>
      </c>
      <c r="BZ105" s="13">
        <f>BY105*VLOOKUP('Données projet'!$B$12,Paramètres!$A$1:$I$89,3,0)*VLOOKUP('Données projet'!$B$12,Paramètres!$A$1:$I$89,5,0)</f>
        <v>286.27871999999974</v>
      </c>
      <c r="CA105" s="13">
        <f t="shared" si="93"/>
        <v>68.292165517667542</v>
      </c>
      <c r="CB105" s="20">
        <f t="shared" si="64"/>
        <v>617.54429227660387</v>
      </c>
      <c r="CC105" s="59">
        <f t="shared" si="65"/>
        <v>910.87762560993724</v>
      </c>
      <c r="CD105" s="59">
        <f ca="1">AVERAGE(OFFSET($CC$3,0,0,'Données projet'!$E$12+1,1))-AVERAGE(OFFSET($H$3,0,0,'Données projet'!$E$12+1,1))</f>
        <v>363.51171608224735</v>
      </c>
      <c r="CE105" s="59">
        <f t="shared" si="94"/>
        <v>257.9239334647138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0.57875463154537188</v>
      </c>
      <c r="CL105" s="21">
        <f>EXP(-LN(2)/25)*CL104+(1-EXP(-LN(2)/25))/(LN(2)/25)*Calculateur!CG105*Calculateur!CI105*VLOOKUP('Données projet'!$B$12,Paramètres!$A$1:$I$89,3,0)*0.475*44/12</f>
        <v>1.5326790129230561</v>
      </c>
      <c r="CM105" s="21">
        <f>EXP(-LN(2)/2)*CM104+(1-EXP(-LN(2)/2))/(LN(2)/2)*CG105*CJ105*VLOOKUP('Données projet'!$B$12,Paramètres!$A$1:$I$89,3,0)*0.475*44/12</f>
        <v>3.1364232962524231E-10</v>
      </c>
      <c r="CN105" s="22">
        <f t="shared" si="66"/>
        <v>2.1114336447820703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1">
        <f t="shared" si="86"/>
        <v>16.213562712594495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67">
        <f t="shared" si="56"/>
        <v>419.51980505776862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-1.2505552149377763E-12</v>
      </c>
      <c r="O106" s="13">
        <f>N106*VLOOKUP('Données projet'!$B$9,Paramètres!$A$1:$I$89,3,0)*VLOOKUP('Données projet'!$B$9,Paramètres!$A$1:$I$89,5,0)</f>
        <v>-6.9906036515021697E-13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446.28010102877403</v>
      </c>
      <c r="T106" s="59">
        <f t="shared" si="88"/>
        <v>445.84011537290456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2.6902852019347439</v>
      </c>
      <c r="AA106" s="21">
        <f>EXP(-LN(2)/25)*AA105+(1-EXP(-LN(2)/25))/(LN(2)/25)*Calculateur!V106*Calculateur!X106*VLOOKUP('Données projet'!$B$9,Paramètres!$A$1:$I$89,3,0)*0.475*44/12</f>
        <v>5.1211744653235618</v>
      </c>
      <c r="AB106" s="21">
        <f>EXP(-LN(2)/2)*AB105+(1-EXP(-LN(2)/2))/(LN(2)/2)*V106*Y106*VLOOKUP('Données projet'!$B$9,Paramètres!$A$1:$I$89,3,0)*0.475*44/12</f>
        <v>3.7528693355625188E-10</v>
      </c>
      <c r="AC106" s="22">
        <f t="shared" si="57"/>
        <v>7.811459667633593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>
        <f>AI106*VLOOKUP('Données projet'!$B$10,Paramètres!$A$1:$I$89,3,0)*VLOOKUP('Données projet'!$B$10,Paramètres!$A$1:$I$89,5,0)</f>
        <v>0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285.77483300338548</v>
      </c>
      <c r="AO106" s="59">
        <f t="shared" si="90"/>
        <v>320.55212417690637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1.9656713864453415</v>
      </c>
      <c r="AV106" s="21">
        <f>EXP(-LN(2)/25)*AV105+(1-EXP(-LN(2)/25))/(LN(2)/25)*Calculateur!AQ106*Calculateur!AS106*VLOOKUP('Données projet'!$B$10,Paramètres!$A$1:$I$89,3,0)*0.475*44/12</f>
        <v>3.6823691196725621</v>
      </c>
      <c r="AW106" s="21">
        <f>EXP(-LN(2)/2)*AW105+(1-EXP(-LN(2)/2))/(LN(2)/2)*AQ106*AT106*VLOOKUP('Données projet'!$B$10,Paramètres!$A$1:$I$89,3,0)*0.475*44/12</f>
        <v>2.5108235017890505E-10</v>
      </c>
      <c r="AX106" s="21">
        <f t="shared" si="60"/>
        <v>5.6480405063689858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-7.9580786405131221E-13</v>
      </c>
      <c r="BE106" s="13">
        <f>BD106*VLOOKUP('Données projet'!$B$11,Paramètres!$A$1:$I$89,3,0)*VLOOKUP('Données projet'!$B$11,Paramètres!$A$1:$I$89,5,0)</f>
        <v>-3.8278358260868117E-13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402.22278907877927</v>
      </c>
      <c r="BJ106" s="59">
        <f t="shared" si="92"/>
        <v>393.06397734082458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6.5477323578247635</v>
      </c>
      <c r="BQ106" s="21">
        <f>EXP(-LN(2)/25)*BQ105+(1-EXP(-LN(2)/25))/(LN(2)/25)*Calculateur!BL106*Calculateur!BN106*VLOOKUP('Données projet'!$B$11,Paramètres!$A$1:$I$89,3,0)*0.475*44/12</f>
        <v>5.9577058931623252</v>
      </c>
      <c r="BR106" s="21">
        <f>EXP(-LN(2)/2)*BR105+(1-EXP(-LN(2)/2))/(LN(2)/2)*BL106*BO106*VLOOKUP('Données projet'!$B$11,Paramètres!$A$1:$I$89,3,0)*0.475*44/12</f>
        <v>9.1025634643451526E-9</v>
      </c>
      <c r="BS106" s="22">
        <f t="shared" si="63"/>
        <v>12.505438260089653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5.2</v>
      </c>
      <c r="BY106" s="12">
        <f>IF('Données projet'!$A$114&gt;35,BY105+BX106-CG105,IF(A106&lt;'Données projet'!$A$114,$BV$205^A106,IF(A106='Données projet'!$A$114,'Données projet'!$B$114,BY105+BX106-CG105)))</f>
        <v>321.59999999999974</v>
      </c>
      <c r="BZ106" s="13">
        <f>BY106*VLOOKUP('Données projet'!$B$12,Paramètres!$A$1:$I$89,3,0)*VLOOKUP('Données projet'!$B$12,Paramètres!$A$1:$I$89,5,0)</f>
        <v>290.98367999999977</v>
      </c>
      <c r="CA106" s="13">
        <f t="shared" si="93"/>
        <v>69.282952690245352</v>
      </c>
      <c r="CB106" s="20">
        <f t="shared" si="64"/>
        <v>627.46438526884356</v>
      </c>
      <c r="CC106" s="59">
        <f t="shared" si="65"/>
        <v>920.79771860217693</v>
      </c>
      <c r="CD106" s="59">
        <f ca="1">AVERAGE(OFFSET($CC$3,0,0,'Données projet'!$E$12+1,1))-AVERAGE(OFFSET($H$3,0,0,'Données projet'!$E$12+1,1))</f>
        <v>363.51171608224735</v>
      </c>
      <c r="CE106" s="59">
        <f t="shared" si="94"/>
        <v>257.9239334647138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0.56740560622623604</v>
      </c>
      <c r="CL106" s="21">
        <f>EXP(-LN(2)/25)*CL105+(1-EXP(-LN(2)/25))/(LN(2)/25)*Calculateur!CG106*Calculateur!CI106*VLOOKUP('Données projet'!$B$12,Paramètres!$A$1:$I$89,3,0)*0.475*44/12</f>
        <v>1.4907678247145888</v>
      </c>
      <c r="CM106" s="21">
        <f>EXP(-LN(2)/2)*CM105+(1-EXP(-LN(2)/2))/(LN(2)/2)*CG106*CJ106*VLOOKUP('Données projet'!$B$12,Paramètres!$A$1:$I$89,3,0)*0.475*44/12</f>
        <v>2.2177861814515523E-10</v>
      </c>
      <c r="CN106" s="22">
        <f t="shared" si="66"/>
        <v>2.0581734311626034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1">
        <f t="shared" si="86"/>
        <v>16.352574732529348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67">
        <f t="shared" si="56"/>
        <v>420.71286765915517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-1.2505552149377763E-12</v>
      </c>
      <c r="O107" s="13">
        <f>N107*VLOOKUP('Données projet'!$B$9,Paramètres!$A$1:$I$89,3,0)*VLOOKUP('Données projet'!$B$9,Paramètres!$A$1:$I$89,5,0)</f>
        <v>-6.9906036515021697E-13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446.28010102877403</v>
      </c>
      <c r="T107" s="59">
        <f t="shared" si="88"/>
        <v>445.84011537290456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2.6375303500367502</v>
      </c>
      <c r="AA107" s="21">
        <f>EXP(-LN(2)/25)*AA106+(1-EXP(-LN(2)/25))/(LN(2)/25)*Calculateur!V107*Calculateur!X107*VLOOKUP('Données projet'!$B$9,Paramètres!$A$1:$I$89,3,0)*0.475*44/12</f>
        <v>4.9811356802584283</v>
      </c>
      <c r="AB107" s="21">
        <f>EXP(-LN(2)/2)*AB106+(1-EXP(-LN(2)/2))/(LN(2)/2)*V107*Y107*VLOOKUP('Données projet'!$B$9,Paramètres!$A$1:$I$89,3,0)*0.475*44/12</f>
        <v>2.65367935608331E-10</v>
      </c>
      <c r="AC107" s="22">
        <f t="shared" si="57"/>
        <v>7.6186660305605471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>
        <f>AI107*VLOOKUP('Données projet'!$B$10,Paramètres!$A$1:$I$89,3,0)*VLOOKUP('Données projet'!$B$10,Paramètres!$A$1:$I$89,5,0)</f>
        <v>0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285.77483300338548</v>
      </c>
      <c r="AO107" s="59">
        <f t="shared" si="90"/>
        <v>320.55212417690637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1.9271257694983084</v>
      </c>
      <c r="AV107" s="21">
        <f>EXP(-LN(2)/25)*AV106+(1-EXP(-LN(2)/25))/(LN(2)/25)*Calculateur!AQ107*Calculateur!AS107*VLOOKUP('Données projet'!$B$10,Paramètres!$A$1:$I$89,3,0)*0.475*44/12</f>
        <v>3.5816745424477401</v>
      </c>
      <c r="AW107" s="21">
        <f>EXP(-LN(2)/2)*AW106+(1-EXP(-LN(2)/2))/(LN(2)/2)*AQ107*AT107*VLOOKUP('Données projet'!$B$10,Paramètres!$A$1:$I$89,3,0)*0.475*44/12</f>
        <v>1.7754203244775912E-10</v>
      </c>
      <c r="AX107" s="21">
        <f t="shared" si="60"/>
        <v>5.5088003121235909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-7.9580786405131221E-13</v>
      </c>
      <c r="BE107" s="13">
        <f>BD107*VLOOKUP('Données projet'!$B$11,Paramètres!$A$1:$I$89,3,0)*VLOOKUP('Données projet'!$B$11,Paramètres!$A$1:$I$89,5,0)</f>
        <v>-3.8278358260868117E-13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402.22278907877927</v>
      </c>
      <c r="BJ107" s="59">
        <f t="shared" si="92"/>
        <v>393.06397734082458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6.4193353200102106</v>
      </c>
      <c r="BQ107" s="21">
        <f>EXP(-LN(2)/25)*BQ106+(1-EXP(-LN(2)/25))/(LN(2)/25)*Calculateur!BL107*Calculateur!BN107*VLOOKUP('Données projet'!$B$11,Paramètres!$A$1:$I$89,3,0)*0.475*44/12</f>
        <v>5.794792112211665</v>
      </c>
      <c r="BR107" s="21">
        <f>EXP(-LN(2)/2)*BR106+(1-EXP(-LN(2)/2))/(LN(2)/2)*BL107*BO107*VLOOKUP('Données projet'!$B$11,Paramètres!$A$1:$I$89,3,0)*0.475*44/12</f>
        <v>6.4364843518193699E-9</v>
      </c>
      <c r="BS107" s="22">
        <f t="shared" si="63"/>
        <v>12.214127438658361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5.2</v>
      </c>
      <c r="BY107" s="12">
        <f>IF('Données projet'!$A$114&gt;35,BY106+BX107-CG106,IF(A107&lt;'Données projet'!$A$114,$BV$205^A107,IF(A107='Données projet'!$A$114,'Données projet'!$B$114,BY106+BX107-CG106)))</f>
        <v>326.79999999999973</v>
      </c>
      <c r="BZ107" s="13">
        <f>BY107*VLOOKUP('Données projet'!$B$12,Paramètres!$A$1:$I$89,3,0)*VLOOKUP('Données projet'!$B$12,Paramètres!$A$1:$I$89,5,0)</f>
        <v>295.68863999999974</v>
      </c>
      <c r="CA107" s="13">
        <f t="shared" si="93"/>
        <v>70.271876780519676</v>
      </c>
      <c r="CB107" s="20">
        <f t="shared" si="64"/>
        <v>637.38123339273795</v>
      </c>
      <c r="CC107" s="59">
        <f t="shared" si="65"/>
        <v>930.71456672607133</v>
      </c>
      <c r="CD107" s="59">
        <f ca="1">AVERAGE(OFFSET($CC$3,0,0,'Données projet'!$E$12+1,1))-AVERAGE(OFFSET($H$3,0,0,'Données projet'!$E$12+1,1))</f>
        <v>363.51171608224735</v>
      </c>
      <c r="CE107" s="59">
        <f t="shared" si="94"/>
        <v>257.9239334647138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0.55627912837138649</v>
      </c>
      <c r="CL107" s="21">
        <f>EXP(-LN(2)/25)*CL106+(1-EXP(-LN(2)/25))/(LN(2)/25)*Calculateur!CG107*Calculateur!CI107*VLOOKUP('Données projet'!$B$12,Paramètres!$A$1:$I$89,3,0)*0.475*44/12</f>
        <v>1.4500027001516957</v>
      </c>
      <c r="CM107" s="21">
        <f>EXP(-LN(2)/2)*CM106+(1-EXP(-LN(2)/2))/(LN(2)/2)*CG107*CJ107*VLOOKUP('Données projet'!$B$12,Paramètres!$A$1:$I$89,3,0)*0.475*44/12</f>
        <v>1.5682116481262116E-10</v>
      </c>
      <c r="CN107" s="22">
        <f t="shared" si="66"/>
        <v>2.0062818286799033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1">
        <f t="shared" si="86"/>
        <v>16.491431250436072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67">
        <f t="shared" si="56"/>
        <v>421.90565942784269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-1.2505552149377763E-12</v>
      </c>
      <c r="O108" s="13">
        <f>N108*VLOOKUP('Données projet'!$B$9,Paramètres!$A$1:$I$89,3,0)*VLOOKUP('Données projet'!$B$9,Paramètres!$A$1:$I$89,5,0)</f>
        <v>-6.9906036515021697E-13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446.28010102877403</v>
      </c>
      <c r="T108" s="59">
        <f t="shared" si="88"/>
        <v>445.84011537290456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2.5858099886071937</v>
      </c>
      <c r="AA108" s="21">
        <f>EXP(-LN(2)/25)*AA107+(1-EXP(-LN(2)/25))/(LN(2)/25)*Calculateur!V108*Calculateur!X108*VLOOKUP('Données projet'!$B$9,Paramètres!$A$1:$I$89,3,0)*0.475*44/12</f>
        <v>4.8449262631352203</v>
      </c>
      <c r="AB108" s="21">
        <f>EXP(-LN(2)/2)*AB107+(1-EXP(-LN(2)/2))/(LN(2)/2)*V108*Y108*VLOOKUP('Données projet'!$B$9,Paramètres!$A$1:$I$89,3,0)*0.475*44/12</f>
        <v>1.8764346677812594E-10</v>
      </c>
      <c r="AC108" s="22">
        <f t="shared" si="57"/>
        <v>7.4307362519300577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>
        <f>AI108*VLOOKUP('Données projet'!$B$10,Paramètres!$A$1:$I$89,3,0)*VLOOKUP('Données projet'!$B$10,Paramètres!$A$1:$I$89,5,0)</f>
        <v>0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285.77483300338548</v>
      </c>
      <c r="AO108" s="59">
        <f t="shared" si="90"/>
        <v>320.55212417690637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1.8893360085891018</v>
      </c>
      <c r="AV108" s="21">
        <f>EXP(-LN(2)/25)*AV107+(1-EXP(-LN(2)/25))/(LN(2)/25)*Calculateur!AQ108*Calculateur!AS108*VLOOKUP('Données projet'!$B$10,Paramètres!$A$1:$I$89,3,0)*0.475*44/12</f>
        <v>3.4837334637324284</v>
      </c>
      <c r="AW108" s="21">
        <f>EXP(-LN(2)/2)*AW107+(1-EXP(-LN(2)/2))/(LN(2)/2)*AQ108*AT108*VLOOKUP('Données projet'!$B$10,Paramètres!$A$1:$I$89,3,0)*0.475*44/12</f>
        <v>1.2554117508945253E-10</v>
      </c>
      <c r="AX108" s="21">
        <f t="shared" si="60"/>
        <v>5.3730694724470718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-7.9580786405131221E-13</v>
      </c>
      <c r="BE108" s="13">
        <f>BD108*VLOOKUP('Données projet'!$B$11,Paramètres!$A$1:$I$89,3,0)*VLOOKUP('Données projet'!$B$11,Paramètres!$A$1:$I$89,5,0)</f>
        <v>-3.8278358260868117E-13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402.22278907877927</v>
      </c>
      <c r="BJ108" s="59">
        <f t="shared" si="92"/>
        <v>393.06397734082458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6.2934560697927413</v>
      </c>
      <c r="BQ108" s="21">
        <f>EXP(-LN(2)/25)*BQ107+(1-EXP(-LN(2)/25))/(LN(2)/25)*Calculateur!BL108*Calculateur!BN108*VLOOKUP('Données projet'!$B$11,Paramètres!$A$1:$I$89,3,0)*0.475*44/12</f>
        <v>5.6363332171683638</v>
      </c>
      <c r="BR108" s="21">
        <f>EXP(-LN(2)/2)*BR107+(1-EXP(-LN(2)/2))/(LN(2)/2)*BL108*BO108*VLOOKUP('Données projet'!$B$11,Paramètres!$A$1:$I$89,3,0)*0.475*44/12</f>
        <v>4.5512817321725763E-9</v>
      </c>
      <c r="BS108" s="22">
        <f t="shared" si="63"/>
        <v>11.929789291512387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5.2</v>
      </c>
      <c r="BY108" s="12">
        <f>IF('Données projet'!$A$114&gt;35,BY107+BX108-CG107,IF(A108&lt;'Données projet'!$A$114,$BV$205^A108,IF(A108='Données projet'!$A$114,'Données projet'!$B$114,BY107+BX108-CG107)))</f>
        <v>331.99999999999972</v>
      </c>
      <c r="BZ108" s="13">
        <f>BY108*VLOOKUP('Données projet'!$B$12,Paramètres!$A$1:$I$89,3,0)*VLOOKUP('Données projet'!$B$12,Paramètres!$A$1:$I$89,5,0)</f>
        <v>300.39359999999976</v>
      </c>
      <c r="CA108" s="13">
        <f t="shared" si="93"/>
        <v>71.258970856492667</v>
      </c>
      <c r="CB108" s="20">
        <f t="shared" si="64"/>
        <v>647.29489424172436</v>
      </c>
      <c r="CC108" s="59">
        <f t="shared" si="65"/>
        <v>940.62822757505774</v>
      </c>
      <c r="CD108" s="59">
        <f ca="1">AVERAGE(OFFSET($CC$3,0,0,'Données projet'!$E$12+1,1))-AVERAGE(OFFSET($H$3,0,0,'Données projet'!$E$12+1,1))</f>
        <v>363.51171608224735</v>
      </c>
      <c r="CE108" s="59">
        <f t="shared" si="94"/>
        <v>257.9239334647138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0.54537083396078911</v>
      </c>
      <c r="CL108" s="21">
        <f>EXP(-LN(2)/25)*CL107+(1-EXP(-LN(2)/25))/(LN(2)/25)*Calculateur!CG108*Calculateur!CI108*VLOOKUP('Données projet'!$B$12,Paramètres!$A$1:$I$89,3,0)*0.475*44/12</f>
        <v>1.4103523000637197</v>
      </c>
      <c r="CM108" s="21">
        <f>EXP(-LN(2)/2)*CM107+(1-EXP(-LN(2)/2))/(LN(2)/2)*CG108*CJ108*VLOOKUP('Données projet'!$B$12,Paramètres!$A$1:$I$89,3,0)*0.475*44/12</f>
        <v>1.1088930907257761E-10</v>
      </c>
      <c r="CN108" s="22">
        <f t="shared" si="66"/>
        <v>1.955723134135398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1">
        <f t="shared" si="86"/>
        <v>16.630133918805559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67">
        <f t="shared" si="56"/>
        <v>423.09818324191957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-1.2505552149377763E-12</v>
      </c>
      <c r="O109" s="13">
        <f>N109*VLOOKUP('Données projet'!$B$9,Paramètres!$A$1:$I$89,3,0)*VLOOKUP('Données projet'!$B$9,Paramètres!$A$1:$I$89,5,0)</f>
        <v>-6.9906036515021697E-13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446.28010102877403</v>
      </c>
      <c r="T109" s="59">
        <f t="shared" si="88"/>
        <v>445.84011537290456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2.5351038319189652</v>
      </c>
      <c r="AA109" s="21">
        <f>EXP(-LN(2)/25)*AA108+(1-EXP(-LN(2)/25))/(LN(2)/25)*Calculateur!V109*Calculateur!X109*VLOOKUP('Données projet'!$B$9,Paramètres!$A$1:$I$89,3,0)*0.475*44/12</f>
        <v>4.7124414996861885</v>
      </c>
      <c r="AB109" s="21">
        <f>EXP(-LN(2)/2)*AB108+(1-EXP(-LN(2)/2))/(LN(2)/2)*V109*Y109*VLOOKUP('Données projet'!$B$9,Paramètres!$A$1:$I$89,3,0)*0.475*44/12</f>
        <v>1.326839678041655E-10</v>
      </c>
      <c r="AC109" s="22">
        <f t="shared" si="57"/>
        <v>7.2475453317378378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>
        <f>AI109*VLOOKUP('Données projet'!$B$10,Paramètres!$A$1:$I$89,3,0)*VLOOKUP('Données projet'!$B$10,Paramètres!$A$1:$I$89,5,0)</f>
        <v>0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285.77483300338548</v>
      </c>
      <c r="AO109" s="59">
        <f t="shared" si="90"/>
        <v>320.55212417690637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1.8522872818418465</v>
      </c>
      <c r="AV109" s="21">
        <f>EXP(-LN(2)/25)*AV108+(1-EXP(-LN(2)/25))/(LN(2)/25)*Calculateur!AQ109*Calculateur!AS109*VLOOKUP('Données projet'!$B$10,Paramètres!$A$1:$I$89,3,0)*0.475*44/12</f>
        <v>3.3884705889650846</v>
      </c>
      <c r="AW109" s="21">
        <f>EXP(-LN(2)/2)*AW108+(1-EXP(-LN(2)/2))/(LN(2)/2)*AQ109*AT109*VLOOKUP('Données projet'!$B$10,Paramètres!$A$1:$I$89,3,0)*0.475*44/12</f>
        <v>8.877101622387956E-11</v>
      </c>
      <c r="AX109" s="21">
        <f t="shared" si="60"/>
        <v>5.2407578708957017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-7.9580786405131221E-13</v>
      </c>
      <c r="BE109" s="13">
        <f>BD109*VLOOKUP('Données projet'!$B$11,Paramètres!$A$1:$I$89,3,0)*VLOOKUP('Données projet'!$B$11,Paramètres!$A$1:$I$89,5,0)</f>
        <v>-3.8278358260868117E-13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402.22278907877927</v>
      </c>
      <c r="BJ109" s="59">
        <f t="shared" si="92"/>
        <v>393.06397734082458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6.1700452348932755</v>
      </c>
      <c r="BQ109" s="21">
        <f>EXP(-LN(2)/25)*BQ108+(1-EXP(-LN(2)/25))/(LN(2)/25)*Calculateur!BL109*Calculateur!BN109*VLOOKUP('Données projet'!$B$11,Paramètres!$A$1:$I$89,3,0)*0.475*44/12</f>
        <v>5.4822073889430127</v>
      </c>
      <c r="BR109" s="21">
        <f>EXP(-LN(2)/2)*BR108+(1-EXP(-LN(2)/2))/(LN(2)/2)*BL109*BO109*VLOOKUP('Données projet'!$B$11,Paramètres!$A$1:$I$89,3,0)*0.475*44/12</f>
        <v>3.218242175909685E-9</v>
      </c>
      <c r="BS109" s="22">
        <f t="shared" si="63"/>
        <v>11.65225262705453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5.2</v>
      </c>
      <c r="BY109" s="12">
        <f>IF('Données projet'!$A$114&gt;35,BY108+BX109-CG108,IF(A109&lt;'Données projet'!$A$114,$BV$205^A109,IF(A109='Données projet'!$A$114,'Données projet'!$B$114,BY108+BX109-CG108)))</f>
        <v>337.1999999999997</v>
      </c>
      <c r="BZ109" s="13">
        <f>BY109*VLOOKUP('Données projet'!$B$12,Paramètres!$A$1:$I$89,3,0)*VLOOKUP('Données projet'!$B$12,Paramètres!$A$1:$I$89,5,0)</f>
        <v>305.09855999999974</v>
      </c>
      <c r="CA109" s="13">
        <f t="shared" si="93"/>
        <v>72.244266890878734</v>
      </c>
      <c r="CB109" s="20">
        <f t="shared" si="64"/>
        <v>657.20542350161338</v>
      </c>
      <c r="CC109" s="59">
        <f t="shared" si="65"/>
        <v>950.53875683494675</v>
      </c>
      <c r="CD109" s="59">
        <f ca="1">AVERAGE(OFFSET($CC$3,0,0,'Données projet'!$E$12+1,1))-AVERAGE(OFFSET($H$3,0,0,'Données projet'!$E$12+1,1))</f>
        <v>363.51171608224735</v>
      </c>
      <c r="CE109" s="59">
        <f t="shared" si="94"/>
        <v>257.9239334647138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0.53467644455018093</v>
      </c>
      <c r="CL109" s="21">
        <f>EXP(-LN(2)/25)*CL108+(1-EXP(-LN(2)/25))/(LN(2)/25)*Calculateur!CG109*Calculateur!CI109*VLOOKUP('Données projet'!$B$12,Paramètres!$A$1:$I$89,3,0)*0.475*44/12</f>
        <v>1.3717861422512732</v>
      </c>
      <c r="CM109" s="21">
        <f>EXP(-LN(2)/2)*CM108+(1-EXP(-LN(2)/2))/(LN(2)/2)*CG109*CJ109*VLOOKUP('Données projet'!$B$12,Paramètres!$A$1:$I$89,3,0)*0.475*44/12</f>
        <v>7.8410582406310578E-11</v>
      </c>
      <c r="CN109" s="22">
        <f t="shared" si="66"/>
        <v>1.9064625868798646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1">
        <f t="shared" si="86"/>
        <v>16.768684357151628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67">
        <f t="shared" si="56"/>
        <v>424.29044192203901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-1.2505552149377763E-12</v>
      </c>
      <c r="O110" s="13">
        <f>N110*VLOOKUP('Données projet'!$B$9,Paramètres!$A$1:$I$89,3,0)*VLOOKUP('Données projet'!$B$9,Paramètres!$A$1:$I$89,5,0)</f>
        <v>-6.9906036515021697E-13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446.28010102877403</v>
      </c>
      <c r="T110" s="59">
        <f t="shared" si="88"/>
        <v>445.84011537290456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2.4853919920356913</v>
      </c>
      <c r="AA110" s="21">
        <f>EXP(-LN(2)/25)*AA109+(1-EXP(-LN(2)/25))/(LN(2)/25)*Calculateur!V110*Calculateur!X110*VLOOKUP('Données projet'!$B$9,Paramètres!$A$1:$I$89,3,0)*0.475*44/12</f>
        <v>4.5835795390607412</v>
      </c>
      <c r="AB110" s="21">
        <f>EXP(-LN(2)/2)*AB109+(1-EXP(-LN(2)/2))/(LN(2)/2)*V110*Y110*VLOOKUP('Données projet'!$B$9,Paramètres!$A$1:$I$89,3,0)*0.475*44/12</f>
        <v>9.3821733389062971E-11</v>
      </c>
      <c r="AC110" s="22">
        <f t="shared" si="57"/>
        <v>7.0689715311902539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>
        <f>AI110*VLOOKUP('Données projet'!$B$10,Paramètres!$A$1:$I$89,3,0)*VLOOKUP('Données projet'!$B$10,Paramètres!$A$1:$I$89,5,0)</f>
        <v>0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285.77483300338548</v>
      </c>
      <c r="AO110" s="59">
        <f t="shared" si="90"/>
        <v>320.55212417690637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1.8159650580286131</v>
      </c>
      <c r="AV110" s="21">
        <f>EXP(-LN(2)/25)*AV109+(1-EXP(-LN(2)/25))/(LN(2)/25)*Calculateur!AQ110*Calculateur!AS110*VLOOKUP('Données projet'!$B$10,Paramètres!$A$1:$I$89,3,0)*0.475*44/12</f>
        <v>3.2958126825179104</v>
      </c>
      <c r="AW110" s="21">
        <f>EXP(-LN(2)/2)*AW109+(1-EXP(-LN(2)/2))/(LN(2)/2)*AQ110*AT110*VLOOKUP('Données projet'!$B$10,Paramètres!$A$1:$I$89,3,0)*0.475*44/12</f>
        <v>6.2770587544726263E-11</v>
      </c>
      <c r="AX110" s="21">
        <f t="shared" si="60"/>
        <v>5.1117777406092939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-7.9580786405131221E-13</v>
      </c>
      <c r="BE110" s="13">
        <f>BD110*VLOOKUP('Données projet'!$B$11,Paramètres!$A$1:$I$89,3,0)*VLOOKUP('Données projet'!$B$11,Paramètres!$A$1:$I$89,5,0)</f>
        <v>-3.8278358260868117E-13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402.22278907877927</v>
      </c>
      <c r="BJ110" s="59">
        <f t="shared" si="92"/>
        <v>393.06397734082458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6.0490544111930111</v>
      </c>
      <c r="BQ110" s="21">
        <f>EXP(-LN(2)/25)*BQ109+(1-EXP(-LN(2)/25))/(LN(2)/25)*Calculateur!BL110*Calculateur!BN110*VLOOKUP('Données projet'!$B$11,Paramètres!$A$1:$I$89,3,0)*0.475*44/12</f>
        <v>5.3322961395956092</v>
      </c>
      <c r="BR110" s="21">
        <f>EXP(-LN(2)/2)*BR109+(1-EXP(-LN(2)/2))/(LN(2)/2)*BL110*BO110*VLOOKUP('Données projet'!$B$11,Paramètres!$A$1:$I$89,3,0)*0.475*44/12</f>
        <v>2.2756408660862882E-9</v>
      </c>
      <c r="BS110" s="22">
        <f t="shared" si="63"/>
        <v>11.381350553064262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5.2</v>
      </c>
      <c r="BY110" s="12">
        <f>IF('Données projet'!$A$114&gt;35,BY109+BX110-CG109,IF(A110&lt;'Données projet'!$A$114,$BV$205^A110,IF(A110='Données projet'!$A$114,'Données projet'!$B$114,BY109+BX110-CG109)))</f>
        <v>342.39999999999969</v>
      </c>
      <c r="BZ110" s="13">
        <f>BY110*VLOOKUP('Données projet'!$B$12,Paramètres!$A$1:$I$89,3,0)*VLOOKUP('Données projet'!$B$12,Paramètres!$A$1:$I$89,5,0)</f>
        <v>309.80351999999971</v>
      </c>
      <c r="CA110" s="13">
        <f t="shared" si="93"/>
        <v>73.227795813703693</v>
      </c>
      <c r="CB110" s="20">
        <f t="shared" si="64"/>
        <v>667.11287504220002</v>
      </c>
      <c r="CC110" s="59">
        <f t="shared" si="65"/>
        <v>960.44620837553339</v>
      </c>
      <c r="CD110" s="59">
        <f ca="1">AVERAGE(OFFSET($CC$3,0,0,'Données projet'!$E$12+1,1))-AVERAGE(OFFSET($H$3,0,0,'Données projet'!$E$12+1,1))</f>
        <v>363.51171608224735</v>
      </c>
      <c r="CE110" s="59">
        <f t="shared" si="94"/>
        <v>257.9239334647138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0.52419176559298131</v>
      </c>
      <c r="CL110" s="21">
        <f>EXP(-LN(2)/25)*CL109+(1-EXP(-LN(2)/25))/(LN(2)/25)*Calculateur!CG110*Calculateur!CI110*VLOOKUP('Données projet'!$B$12,Paramètres!$A$1:$I$89,3,0)*0.475*44/12</f>
        <v>1.3342745780523142</v>
      </c>
      <c r="CM110" s="21">
        <f>EXP(-LN(2)/2)*CM109+(1-EXP(-LN(2)/2))/(LN(2)/2)*CG110*CJ110*VLOOKUP('Données projet'!$B$12,Paramètres!$A$1:$I$89,3,0)*0.475*44/12</f>
        <v>5.5444654536288807E-11</v>
      </c>
      <c r="CN110" s="22">
        <f t="shared" si="66"/>
        <v>1.8584663437007403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1">
        <f t="shared" si="86"/>
        <v>16.907084152971102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67">
        <f t="shared" si="56"/>
        <v>425.48243823309122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-1.2505552149377763E-12</v>
      </c>
      <c r="O111" s="13">
        <f>N111*VLOOKUP('Données projet'!$B$9,Paramètres!$A$1:$I$89,3,0)*VLOOKUP('Données projet'!$B$9,Paramètres!$A$1:$I$89,5,0)</f>
        <v>-6.9906036515021697E-13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446.28010102877403</v>
      </c>
      <c r="T111" s="59">
        <f t="shared" si="88"/>
        <v>445.84011537290456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2.4366549710113001</v>
      </c>
      <c r="AA111" s="21">
        <f>EXP(-LN(2)/25)*AA110+(1-EXP(-LN(2)/25))/(LN(2)/25)*Calculateur!V111*Calculateur!X111*VLOOKUP('Données projet'!$B$9,Paramètres!$A$1:$I$89,3,0)*0.475*44/12</f>
        <v>4.4582413155251528</v>
      </c>
      <c r="AB111" s="21">
        <f>EXP(-LN(2)/2)*AB110+(1-EXP(-LN(2)/2))/(LN(2)/2)*V111*Y111*VLOOKUP('Données projet'!$B$9,Paramètres!$A$1:$I$89,3,0)*0.475*44/12</f>
        <v>6.6341983902082749E-11</v>
      </c>
      <c r="AC111" s="22">
        <f t="shared" si="57"/>
        <v>6.8948962866027941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>
        <f>AI111*VLOOKUP('Données projet'!$B$10,Paramètres!$A$1:$I$89,3,0)*VLOOKUP('Données projet'!$B$10,Paramètres!$A$1:$I$89,5,0)</f>
        <v>0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285.77483300338548</v>
      </c>
      <c r="AO111" s="59">
        <f t="shared" si="90"/>
        <v>320.55212417690637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1.7803550908699881</v>
      </c>
      <c r="AV111" s="21">
        <f>EXP(-LN(2)/25)*AV110+(1-EXP(-LN(2)/25))/(LN(2)/25)*Calculateur!AQ111*Calculateur!AS111*VLOOKUP('Données projet'!$B$10,Paramètres!$A$1:$I$89,3,0)*0.475*44/12</f>
        <v>3.2056885113952016</v>
      </c>
      <c r="AW111" s="21">
        <f>EXP(-LN(2)/2)*AW110+(1-EXP(-LN(2)/2))/(LN(2)/2)*AQ111*AT111*VLOOKUP('Données projet'!$B$10,Paramètres!$A$1:$I$89,3,0)*0.475*44/12</f>
        <v>4.438550811193978E-11</v>
      </c>
      <c r="AX111" s="21">
        <f t="shared" si="60"/>
        <v>4.9860436023095751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-7.9580786405131221E-13</v>
      </c>
      <c r="BE111" s="13">
        <f>BD111*VLOOKUP('Données projet'!$B$11,Paramètres!$A$1:$I$89,3,0)*VLOOKUP('Données projet'!$B$11,Paramètres!$A$1:$I$89,5,0)</f>
        <v>-3.8278358260868117E-13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402.22278907877927</v>
      </c>
      <c r="BJ111" s="59">
        <f t="shared" si="92"/>
        <v>393.06397734082458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5.930436143748393</v>
      </c>
      <c r="BQ111" s="21">
        <f>EXP(-LN(2)/25)*BQ110+(1-EXP(-LN(2)/25))/(LN(2)/25)*Calculateur!BL111*Calculateur!BN111*VLOOKUP('Données projet'!$B$11,Paramètres!$A$1:$I$89,3,0)*0.475*44/12</f>
        <v>5.1864842212451006</v>
      </c>
      <c r="BR111" s="21">
        <f>EXP(-LN(2)/2)*BR110+(1-EXP(-LN(2)/2))/(LN(2)/2)*BL111*BO111*VLOOKUP('Données projet'!$B$11,Paramètres!$A$1:$I$89,3,0)*0.475*44/12</f>
        <v>1.6091210879548425E-9</v>
      </c>
      <c r="BS111" s="22">
        <f t="shared" si="63"/>
        <v>11.116920366602615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5.2</v>
      </c>
      <c r="BY111" s="12">
        <f>IF('Données projet'!$A$114&gt;35,BY110+BX111-CG110,IF(A111&lt;'Données projet'!$A$114,$BV$205^A111,IF(A111='Données projet'!$A$114,'Données projet'!$B$114,BY110+BX111-CG110)))</f>
        <v>347.59999999999968</v>
      </c>
      <c r="BZ111" s="13">
        <f>BY111*VLOOKUP('Données projet'!$B$12,Paramètres!$A$1:$I$89,3,0)*VLOOKUP('Données projet'!$B$12,Paramètres!$A$1:$I$89,5,0)</f>
        <v>314.50847999999968</v>
      </c>
      <c r="CA111" s="13">
        <f t="shared" si="93"/>
        <v>74.209587561617383</v>
      </c>
      <c r="CB111" s="20">
        <f t="shared" si="64"/>
        <v>677.01730100314978</v>
      </c>
      <c r="CC111" s="59">
        <f t="shared" si="65"/>
        <v>970.35063433648315</v>
      </c>
      <c r="CD111" s="59">
        <f ca="1">AVERAGE(OFFSET($CC$3,0,0,'Données projet'!$E$12+1,1))-AVERAGE(OFFSET($H$3,0,0,'Données projet'!$E$12+1,1))</f>
        <v>363.51171608224735</v>
      </c>
      <c r="CE111" s="59">
        <f t="shared" si="94"/>
        <v>257.9239334647138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0.51391268479510965</v>
      </c>
      <c r="CL111" s="21">
        <f>EXP(-LN(2)/25)*CL110+(1-EXP(-LN(2)/25))/(LN(2)/25)*Calculateur!CG111*Calculateur!CI111*VLOOKUP('Données projet'!$B$12,Paramètres!$A$1:$I$89,3,0)*0.475*44/12</f>
        <v>1.2977887695490231</v>
      </c>
      <c r="CM111" s="21">
        <f>EXP(-LN(2)/2)*CM110+(1-EXP(-LN(2)/2))/(LN(2)/2)*CG111*CJ111*VLOOKUP('Données projet'!$B$12,Paramètres!$A$1:$I$89,3,0)*0.475*44/12</f>
        <v>3.9205291203155289E-11</v>
      </c>
      <c r="CN111" s="22">
        <f t="shared" si="66"/>
        <v>1.8117014543833381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1">
        <f t="shared" si="86"/>
        <v>17.045334862667175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67">
        <f t="shared" si="56"/>
        <v>426.67417488581191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-1.2505552149377763E-12</v>
      </c>
      <c r="O112" s="13">
        <f>N112*VLOOKUP('Données projet'!$B$9,Paramètres!$A$1:$I$89,3,0)*VLOOKUP('Données projet'!$B$9,Paramètres!$A$1:$I$89,5,0)</f>
        <v>-6.9906036515021697E-13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446.28010102877403</v>
      </c>
      <c r="T112" s="59">
        <f t="shared" si="88"/>
        <v>445.84011537290456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2.3888736532425496</v>
      </c>
      <c r="AA112" s="21">
        <f>EXP(-LN(2)/25)*AA111+(1-EXP(-LN(2)/25))/(LN(2)/25)*Calculateur!V112*Calculateur!X112*VLOOKUP('Données projet'!$B$9,Paramètres!$A$1:$I$89,3,0)*0.475*44/12</f>
        <v>4.3363304723033957</v>
      </c>
      <c r="AB112" s="21">
        <f>EXP(-LN(2)/2)*AB111+(1-EXP(-LN(2)/2))/(LN(2)/2)*V112*Y112*VLOOKUP('Données projet'!$B$9,Paramètres!$A$1:$I$89,3,0)*0.475*44/12</f>
        <v>4.6910866694531485E-11</v>
      </c>
      <c r="AC112" s="22">
        <f t="shared" si="57"/>
        <v>6.7252041255928559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>
        <f>AI112*VLOOKUP('Données projet'!$B$10,Paramètres!$A$1:$I$89,3,0)*VLOOKUP('Données projet'!$B$10,Paramètres!$A$1:$I$89,5,0)</f>
        <v>0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285.77483300338548</v>
      </c>
      <c r="AO112" s="59">
        <f t="shared" si="90"/>
        <v>320.55212417690637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1.7454434134474084</v>
      </c>
      <c r="AV112" s="21">
        <f>EXP(-LN(2)/25)*AV111+(1-EXP(-LN(2)/25))/(LN(2)/25)*Calculateur!AQ112*Calculateur!AS112*VLOOKUP('Données projet'!$B$10,Paramètres!$A$1:$I$89,3,0)*0.475*44/12</f>
        <v>3.1180287904712678</v>
      </c>
      <c r="AW112" s="21">
        <f>EXP(-LN(2)/2)*AW111+(1-EXP(-LN(2)/2))/(LN(2)/2)*AQ112*AT112*VLOOKUP('Données projet'!$B$10,Paramètres!$A$1:$I$89,3,0)*0.475*44/12</f>
        <v>3.1385293772363132E-11</v>
      </c>
      <c r="AX112" s="21">
        <f t="shared" si="60"/>
        <v>4.863472203950062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-7.9580786405131221E-13</v>
      </c>
      <c r="BE112" s="13">
        <f>BD112*VLOOKUP('Données projet'!$B$11,Paramètres!$A$1:$I$89,3,0)*VLOOKUP('Données projet'!$B$11,Paramètres!$A$1:$I$89,5,0)</f>
        <v>-3.8278358260868117E-13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402.22278907877927</v>
      </c>
      <c r="BJ112" s="59">
        <f t="shared" si="92"/>
        <v>393.06397734082458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5.814143908178365</v>
      </c>
      <c r="BQ112" s="21">
        <f>EXP(-LN(2)/25)*BQ111+(1-EXP(-LN(2)/25))/(LN(2)/25)*Calculateur!BL112*Calculateur!BN112*VLOOKUP('Données projet'!$B$11,Paramètres!$A$1:$I$89,3,0)*0.475*44/12</f>
        <v>5.0446595374698022</v>
      </c>
      <c r="BR112" s="21">
        <f>EXP(-LN(2)/2)*BR111+(1-EXP(-LN(2)/2))/(LN(2)/2)*BL112*BO112*VLOOKUP('Données projet'!$B$11,Paramètres!$A$1:$I$89,3,0)*0.475*44/12</f>
        <v>1.1378204330431441E-9</v>
      </c>
      <c r="BS112" s="22">
        <f t="shared" si="63"/>
        <v>10.858803446785988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5.2</v>
      </c>
      <c r="BY112" s="12">
        <f>IF('Données projet'!$A$114&gt;35,BY111+BX112-CG111,IF(A112&lt;'Données projet'!$A$114,$BV$205^A112,IF(A112='Données projet'!$A$114,'Données projet'!$B$114,BY111+BX112-CG111)))</f>
        <v>352.79999999999967</v>
      </c>
      <c r="BZ112" s="13">
        <f>BY112*VLOOKUP('Données projet'!$B$12,Paramètres!$A$1:$I$89,3,0)*VLOOKUP('Données projet'!$B$12,Paramètres!$A$1:$I$89,5,0)</f>
        <v>319.21343999999971</v>
      </c>
      <c r="CA112" s="13">
        <f t="shared" si="93"/>
        <v>75.189671124171639</v>
      </c>
      <c r="CB112" s="20">
        <f t="shared" si="64"/>
        <v>686.91875187459846</v>
      </c>
      <c r="CC112" s="59">
        <f t="shared" si="65"/>
        <v>980.25208520793171</v>
      </c>
      <c r="CD112" s="59">
        <f ca="1">AVERAGE(OFFSET($CC$3,0,0,'Données projet'!$E$12+1,1))-AVERAGE(OFFSET($H$3,0,0,'Données projet'!$E$12+1,1))</f>
        <v>363.51171608224735</v>
      </c>
      <c r="CE112" s="59">
        <f t="shared" si="94"/>
        <v>257.9239334647138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0.50383517050206406</v>
      </c>
      <c r="CL112" s="21">
        <f>EXP(-LN(2)/25)*CL111+(1-EXP(-LN(2)/25))/(LN(2)/25)*Calculateur!CG112*Calculateur!CI112*VLOOKUP('Données projet'!$B$12,Paramètres!$A$1:$I$89,3,0)*0.475*44/12</f>
        <v>1.2623006673979598</v>
      </c>
      <c r="CM112" s="21">
        <f>EXP(-LN(2)/2)*CM111+(1-EXP(-LN(2)/2))/(LN(2)/2)*CG112*CJ112*VLOOKUP('Données projet'!$B$12,Paramètres!$A$1:$I$89,3,0)*0.475*44/12</f>
        <v>2.7722327268144404E-11</v>
      </c>
      <c r="CN112" s="22">
        <f t="shared" si="66"/>
        <v>1.7661358379277461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1">
        <f t="shared" si="86"/>
        <v>17.183438012437954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67">
        <f t="shared" si="56"/>
        <v>427.8656545383293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-1.2505552149377763E-12</v>
      </c>
      <c r="O113" s="13">
        <f>N113*VLOOKUP('Données projet'!$B$9,Paramètres!$A$1:$I$89,3,0)*VLOOKUP('Données projet'!$B$9,Paramètres!$A$1:$I$89,5,0)</f>
        <v>-6.9906036515021697E-13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446.28010102877403</v>
      </c>
      <c r="T113" s="59">
        <f t="shared" si="88"/>
        <v>445.84011537290456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2.3420292979715183</v>
      </c>
      <c r="AA113" s="21">
        <f>EXP(-LN(2)/25)*AA112+(1-EXP(-LN(2)/25))/(LN(2)/25)*Calculateur!V113*Calculateur!X113*VLOOKUP('Données projet'!$B$9,Paramètres!$A$1:$I$89,3,0)*0.475*44/12</f>
        <v>4.2177532875005506</v>
      </c>
      <c r="AB113" s="21">
        <f>EXP(-LN(2)/2)*AB112+(1-EXP(-LN(2)/2))/(LN(2)/2)*V113*Y113*VLOOKUP('Données projet'!$B$9,Paramètres!$A$1:$I$89,3,0)*0.475*44/12</f>
        <v>3.3170991951041374E-11</v>
      </c>
      <c r="AC113" s="22">
        <f t="shared" si="57"/>
        <v>6.5597825855052401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>
        <f>AI113*VLOOKUP('Données projet'!$B$10,Paramètres!$A$1:$I$89,3,0)*VLOOKUP('Données projet'!$B$10,Paramètres!$A$1:$I$89,5,0)</f>
        <v>0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285.77483300338548</v>
      </c>
      <c r="AO113" s="59">
        <f t="shared" si="90"/>
        <v>320.55212417690637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1.7112163327250649</v>
      </c>
      <c r="AV113" s="21">
        <f>EXP(-LN(2)/25)*AV112+(1-EXP(-LN(2)/25))/(LN(2)/25)*Calculateur!AQ113*Calculateur!AS113*VLOOKUP('Données projet'!$B$10,Paramètres!$A$1:$I$89,3,0)*0.475*44/12</f>
        <v>3.0327661292258234</v>
      </c>
      <c r="AW113" s="21">
        <f>EXP(-LN(2)/2)*AW112+(1-EXP(-LN(2)/2))/(LN(2)/2)*AQ113*AT113*VLOOKUP('Données projet'!$B$10,Paramètres!$A$1:$I$89,3,0)*0.475*44/12</f>
        <v>2.219275405596989E-11</v>
      </c>
      <c r="AX113" s="21">
        <f t="shared" si="60"/>
        <v>4.743982461973081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-7.9580786405131221E-13</v>
      </c>
      <c r="BE113" s="13">
        <f>BD113*VLOOKUP('Données projet'!$B$11,Paramètres!$A$1:$I$89,3,0)*VLOOKUP('Données projet'!$B$11,Paramètres!$A$1:$I$89,5,0)</f>
        <v>-3.8278358260868117E-13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402.22278907877927</v>
      </c>
      <c r="BJ113" s="59">
        <f t="shared" si="92"/>
        <v>393.06397734082458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5.700132092416605</v>
      </c>
      <c r="BQ113" s="21">
        <f>EXP(-LN(2)/25)*BQ112+(1-EXP(-LN(2)/25))/(LN(2)/25)*Calculateur!BL113*Calculateur!BN113*VLOOKUP('Données projet'!$B$11,Paramètres!$A$1:$I$89,3,0)*0.475*44/12</f>
        <v>4.9067130571305748</v>
      </c>
      <c r="BR113" s="21">
        <f>EXP(-LN(2)/2)*BR112+(1-EXP(-LN(2)/2))/(LN(2)/2)*BL113*BO113*VLOOKUP('Données projet'!$B$11,Paramètres!$A$1:$I$89,3,0)*0.475*44/12</f>
        <v>8.0456054397742124E-10</v>
      </c>
      <c r="BS113" s="22">
        <f t="shared" si="63"/>
        <v>10.60684515035174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>
        <f>VLOOKUP(A113,'Données projet'!$A$113:$I$133,2,0)</f>
        <v>358</v>
      </c>
      <c r="BW113" s="12">
        <f>VLOOKUP(A113,'Données projet'!$A$113:$I$133,9,0)</f>
        <v>5.2</v>
      </c>
      <c r="BX113" s="12">
        <f t="array" ref="BX113">INDEX(BW:BW,MIN(IF(ISNUMBER(BW113:BW309),ROW(BW113:BW309),"")))</f>
        <v>5.2</v>
      </c>
      <c r="BY113" s="12">
        <f>IF('Données projet'!$A$114&gt;35,BY112+BX113-CG112,IF(A113&lt;'Données projet'!$A$114,$BV$205^A113,IF(A113='Données projet'!$A$114,'Données projet'!$B$114,BY112+BX113-CG112)))</f>
        <v>357.99999999999966</v>
      </c>
      <c r="BZ113" s="13">
        <f>BY113*VLOOKUP('Données projet'!$B$12,Paramètres!$A$1:$I$89,3,0)*VLOOKUP('Données projet'!$B$12,Paramètres!$A$1:$I$89,5,0)</f>
        <v>323.91839999999968</v>
      </c>
      <c r="CA113" s="13">
        <f t="shared" si="93"/>
        <v>76.168074587293034</v>
      </c>
      <c r="CB113" s="20">
        <f t="shared" si="64"/>
        <v>696.8172765728682</v>
      </c>
      <c r="CC113" s="59">
        <f t="shared" si="65"/>
        <v>990.15060990620145</v>
      </c>
      <c r="CD113" s="59">
        <f ca="1">AVERAGE(OFFSET($CC$3,0,0,'Données projet'!$E$12+1,1))-AVERAGE(OFFSET($H$3,0,0,'Données projet'!$E$12+1,1))</f>
        <v>363.51171608224735</v>
      </c>
      <c r="CE113" s="59">
        <f t="shared" si="94"/>
        <v>257.9239334647138</v>
      </c>
      <c r="CF113" s="15">
        <f>IF(ISNA(VLOOKUP(A113,'Données projet'!$A$113:$I$133,3,0)),0,VLOOKUP(A113,'Données projet'!$A$113:$I$133,3,0))</f>
        <v>10</v>
      </c>
      <c r="CG113" s="15">
        <f>IF(ISNA(VLOOKUP(A113,'Données projet'!$A$113:$I$133,4,0)),0,VLOOKUP(A113,'Données projet'!$A$113:$I$133,4,0))</f>
        <v>51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0.49395527011762835</v>
      </c>
      <c r="CL113" s="21">
        <f>EXP(-LN(2)/25)*CL112+(1-EXP(-LN(2)/25))/(LN(2)/25)*Calculateur!CG113*Calculateur!CI113*VLOOKUP('Données projet'!$B$12,Paramètres!$A$1:$I$89,3,0)*0.475*44/12</f>
        <v>1.2277829892664556</v>
      </c>
      <c r="CM113" s="21">
        <f>EXP(-LN(2)/2)*CM112+(1-EXP(-LN(2)/2))/(LN(2)/2)*CG113*CJ113*VLOOKUP('Données projet'!$B$12,Paramètres!$A$1:$I$89,3,0)*0.475*44/12</f>
        <v>1.9602645601577644E-11</v>
      </c>
      <c r="CN113" s="22">
        <f t="shared" si="66"/>
        <v>1.7217382594036865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1">
        <f t="shared" si="86"/>
        <v>17.32139509913188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67">
        <f t="shared" si="56"/>
        <v>429.05687979765457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-1.2505552149377763E-12</v>
      </c>
      <c r="O114" s="13">
        <f>N114*VLOOKUP('Données projet'!$B$9,Paramètres!$A$1:$I$89,3,0)*VLOOKUP('Données projet'!$B$9,Paramètres!$A$1:$I$89,5,0)</f>
        <v>-6.9906036515021697E-13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446.28010102877403</v>
      </c>
      <c r="T114" s="59">
        <f t="shared" si="88"/>
        <v>445.84011537290456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2.2961035319351164</v>
      </c>
      <c r="AA114" s="21">
        <f>EXP(-LN(2)/25)*AA113+(1-EXP(-LN(2)/25))/(LN(2)/25)*Calculateur!V114*Calculateur!X114*VLOOKUP('Données projet'!$B$9,Paramètres!$A$1:$I$89,3,0)*0.475*44/12</f>
        <v>4.1024186020518423</v>
      </c>
      <c r="AB114" s="21">
        <f>EXP(-LN(2)/2)*AB113+(1-EXP(-LN(2)/2))/(LN(2)/2)*V114*Y114*VLOOKUP('Données projet'!$B$9,Paramètres!$A$1:$I$89,3,0)*0.475*44/12</f>
        <v>2.3455433347265743E-11</v>
      </c>
      <c r="AC114" s="22">
        <f t="shared" si="57"/>
        <v>6.3985221340104133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>
        <f>AI114*VLOOKUP('Données projet'!$B$10,Paramètres!$A$1:$I$89,3,0)*VLOOKUP('Données projet'!$B$10,Paramètres!$A$1:$I$89,5,0)</f>
        <v>0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285.77483300338548</v>
      </c>
      <c r="AO114" s="59">
        <f t="shared" si="90"/>
        <v>320.55212417690637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1.6776604241792288</v>
      </c>
      <c r="AV114" s="21">
        <f>EXP(-LN(2)/25)*AV113+(1-EXP(-LN(2)/25))/(LN(2)/25)*Calculateur!AQ114*Calculateur!AS114*VLOOKUP('Données projet'!$B$10,Paramètres!$A$1:$I$89,3,0)*0.475*44/12</f>
        <v>2.949834979935904</v>
      </c>
      <c r="AW114" s="21">
        <f>EXP(-LN(2)/2)*AW113+(1-EXP(-LN(2)/2))/(LN(2)/2)*AQ114*AT114*VLOOKUP('Données projet'!$B$10,Paramètres!$A$1:$I$89,3,0)*0.475*44/12</f>
        <v>1.5692646886181566E-11</v>
      </c>
      <c r="AX114" s="21">
        <f t="shared" si="60"/>
        <v>4.6274954041308254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-7.9580786405131221E-13</v>
      </c>
      <c r="BE114" s="13">
        <f>BD114*VLOOKUP('Données projet'!$B$11,Paramètres!$A$1:$I$89,3,0)*VLOOKUP('Données projet'!$B$11,Paramètres!$A$1:$I$89,5,0)</f>
        <v>-3.8278358260868117E-13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402.22278907877927</v>
      </c>
      <c r="BJ114" s="59">
        <f t="shared" si="92"/>
        <v>393.06397734082458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5.5883559788215926</v>
      </c>
      <c r="BQ114" s="21">
        <f>EXP(-LN(2)/25)*BQ113+(1-EXP(-LN(2)/25))/(LN(2)/25)*Calculateur!BL114*Calculateur!BN114*VLOOKUP('Données projet'!$B$11,Paramètres!$A$1:$I$89,3,0)*0.475*44/12</f>
        <v>4.7725387305505143</v>
      </c>
      <c r="BR114" s="21">
        <f>EXP(-LN(2)/2)*BR113+(1-EXP(-LN(2)/2))/(LN(2)/2)*BL114*BO114*VLOOKUP('Données projet'!$B$11,Paramètres!$A$1:$I$89,3,0)*0.475*44/12</f>
        <v>5.6891021652157204E-10</v>
      </c>
      <c r="BS114" s="22">
        <f t="shared" si="63"/>
        <v>10.360894709941018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4.5</v>
      </c>
      <c r="BY114" s="12">
        <f>IF('Données projet'!$A$114&gt;35,BY113+BX114-CG113,IF(A114&lt;'Données projet'!$A$114,$BV$205^A114,IF(A114='Données projet'!$A$114,'Données projet'!$B$114,BY113+BX114-CG113)))</f>
        <v>311.49999999999966</v>
      </c>
      <c r="BZ114" s="13">
        <f>BY114*VLOOKUP('Données projet'!$B$12,Paramètres!$A$1:$I$89,3,0)*VLOOKUP('Données projet'!$B$12,Paramètres!$A$1:$I$89,5,0)</f>
        <v>281.84519999999969</v>
      </c>
      <c r="CA114" s="13">
        <f t="shared" si="93"/>
        <v>67.356803491560427</v>
      </c>
      <c r="CB114" s="20">
        <f t="shared" si="64"/>
        <v>608.19348941446708</v>
      </c>
      <c r="CC114" s="59">
        <f t="shared" si="65"/>
        <v>901.52682274780045</v>
      </c>
      <c r="CD114" s="59">
        <f ca="1">AVERAGE(OFFSET($CC$3,0,0,'Données projet'!$E$12+1,1))-AVERAGE(OFFSET($H$3,0,0,'Données projet'!$E$12+1,1))</f>
        <v>363.51171608224735</v>
      </c>
      <c r="CE114" s="59">
        <f t="shared" si="94"/>
        <v>257.9239334647138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0.48426910855358724</v>
      </c>
      <c r="CL114" s="21">
        <f>EXP(-LN(2)/25)*CL113+(1-EXP(-LN(2)/25))/(LN(2)/25)*Calculateur!CG114*Calculateur!CI114*VLOOKUP('Données projet'!$B$12,Paramètres!$A$1:$I$89,3,0)*0.475*44/12</f>
        <v>1.1942091988586632</v>
      </c>
      <c r="CM114" s="21">
        <f>EXP(-LN(2)/2)*CM113+(1-EXP(-LN(2)/2))/(LN(2)/2)*CG114*CJ114*VLOOKUP('Données projet'!$B$12,Paramètres!$A$1:$I$89,3,0)*0.475*44/12</f>
        <v>1.3861163634072202E-11</v>
      </c>
      <c r="CN114" s="22">
        <f t="shared" si="66"/>
        <v>1.6784783074261116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1">
        <f t="shared" si="86"/>
        <v>17.459207591071241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67">
        <f t="shared" si="56"/>
        <v>430.24785322111563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-1.2505552149377763E-12</v>
      </c>
      <c r="O115" s="13">
        <f>N115*VLOOKUP('Données projet'!$B$9,Paramètres!$A$1:$I$89,3,0)*VLOOKUP('Données projet'!$B$9,Paramètres!$A$1:$I$89,5,0)</f>
        <v>-6.9906036515021697E-13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446.28010102877403</v>
      </c>
      <c r="T115" s="59">
        <f t="shared" si="88"/>
        <v>445.84011537290456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2.251078342158737</v>
      </c>
      <c r="AA115" s="21">
        <f>EXP(-LN(2)/25)*AA114+(1-EXP(-LN(2)/25))/(LN(2)/25)*Calculateur!V115*Calculateur!X115*VLOOKUP('Données projet'!$B$9,Paramètres!$A$1:$I$89,3,0)*0.475*44/12</f>
        <v>3.9902377496419166</v>
      </c>
      <c r="AB115" s="21">
        <f>EXP(-LN(2)/2)*AB114+(1-EXP(-LN(2)/2))/(LN(2)/2)*V115*Y115*VLOOKUP('Données projet'!$B$9,Paramètres!$A$1:$I$89,3,0)*0.475*44/12</f>
        <v>1.6585495975520687E-11</v>
      </c>
      <c r="AC115" s="22">
        <f t="shared" si="57"/>
        <v>6.2413160918172395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>
        <f>AI115*VLOOKUP('Données projet'!$B$10,Paramètres!$A$1:$I$89,3,0)*VLOOKUP('Données projet'!$B$10,Paramètres!$A$1:$I$89,5,0)</f>
        <v>0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285.77483300338548</v>
      </c>
      <c r="AO115" s="59">
        <f t="shared" si="90"/>
        <v>320.55212417690637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1.6447625265328931</v>
      </c>
      <c r="AV115" s="21">
        <f>EXP(-LN(2)/25)*AV114+(1-EXP(-LN(2)/25))/(LN(2)/25)*Calculateur!AQ115*Calculateur!AS115*VLOOKUP('Données projet'!$B$10,Paramètres!$A$1:$I$89,3,0)*0.475*44/12</f>
        <v>2.8691715872844772</v>
      </c>
      <c r="AW115" s="21">
        <f>EXP(-LN(2)/2)*AW114+(1-EXP(-LN(2)/2))/(LN(2)/2)*AQ115*AT115*VLOOKUP('Données projet'!$B$10,Paramètres!$A$1:$I$89,3,0)*0.475*44/12</f>
        <v>1.1096377027984945E-11</v>
      </c>
      <c r="AX115" s="21">
        <f t="shared" si="60"/>
        <v>4.5139341138284665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-7.9580786405131221E-13</v>
      </c>
      <c r="BE115" s="13">
        <f>BD115*VLOOKUP('Données projet'!$B$11,Paramètres!$A$1:$I$89,3,0)*VLOOKUP('Données projet'!$B$11,Paramètres!$A$1:$I$89,5,0)</f>
        <v>-3.8278358260868117E-13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402.22278907877927</v>
      </c>
      <c r="BJ115" s="59">
        <f t="shared" si="92"/>
        <v>393.06397734082458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5.4787717266374809</v>
      </c>
      <c r="BQ115" s="21">
        <f>EXP(-LN(2)/25)*BQ114+(1-EXP(-LN(2)/25))/(LN(2)/25)*Calculateur!BL115*Calculateur!BN115*VLOOKUP('Données projet'!$B$11,Paramètres!$A$1:$I$89,3,0)*0.475*44/12</f>
        <v>4.6420334079867063</v>
      </c>
      <c r="BR115" s="21">
        <f>EXP(-LN(2)/2)*BR114+(1-EXP(-LN(2)/2))/(LN(2)/2)*BL115*BO115*VLOOKUP('Données projet'!$B$11,Paramètres!$A$1:$I$89,3,0)*0.475*44/12</f>
        <v>4.0228027198871062E-10</v>
      </c>
      <c r="BS115" s="22">
        <f t="shared" si="63"/>
        <v>10.120805135026469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4.5</v>
      </c>
      <c r="BY115" s="12">
        <f>IF('Données projet'!$A$114&gt;35,BY114+BX115-CG114,IF(A115&lt;'Données projet'!$A$114,$BV$205^A115,IF(A115='Données projet'!$A$114,'Données projet'!$B$114,BY114+BX115-CG114)))</f>
        <v>315.99999999999966</v>
      </c>
      <c r="BZ115" s="13">
        <f>BY115*VLOOKUP('Données projet'!$B$12,Paramètres!$A$1:$I$89,3,0)*VLOOKUP('Données projet'!$B$12,Paramètres!$A$1:$I$89,5,0)</f>
        <v>285.91679999999968</v>
      </c>
      <c r="CA115" s="13">
        <f t="shared" si="93"/>
        <v>68.215872977287475</v>
      </c>
      <c r="CB115" s="20">
        <f t="shared" si="64"/>
        <v>616.7810721021084</v>
      </c>
      <c r="CC115" s="59">
        <f t="shared" si="65"/>
        <v>910.11440543544177</v>
      </c>
      <c r="CD115" s="59">
        <f ca="1">AVERAGE(OFFSET($CC$3,0,0,'Données projet'!$E$12+1,1))-AVERAGE(OFFSET($H$3,0,0,'Données projet'!$E$12+1,1))</f>
        <v>363.51171608224735</v>
      </c>
      <c r="CE115" s="59">
        <f t="shared" si="94"/>
        <v>257.9239334647138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0.47477288670984175</v>
      </c>
      <c r="CL115" s="21">
        <f>EXP(-LN(2)/25)*CL114+(1-EXP(-LN(2)/25))/(LN(2)/25)*Calculateur!CG115*Calculateur!CI115*VLOOKUP('Données projet'!$B$12,Paramètres!$A$1:$I$89,3,0)*0.475*44/12</f>
        <v>1.1615534855151406</v>
      </c>
      <c r="CM115" s="21">
        <f>EXP(-LN(2)/2)*CM114+(1-EXP(-LN(2)/2))/(LN(2)/2)*CG115*CJ115*VLOOKUP('Données projet'!$B$12,Paramètres!$A$1:$I$89,3,0)*0.475*44/12</f>
        <v>9.8013228007888222E-12</v>
      </c>
      <c r="CN115" s="22">
        <f t="shared" si="66"/>
        <v>1.6363263722347836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1">
        <f t="shared" si="86"/>
        <v>17.596876928845635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67">
        <f t="shared" si="56"/>
        <v>431.43857731773937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-1.2505552149377763E-12</v>
      </c>
      <c r="O116" s="13">
        <f>N116*VLOOKUP('Données projet'!$B$9,Paramètres!$A$1:$I$89,3,0)*VLOOKUP('Données projet'!$B$9,Paramètres!$A$1:$I$89,5,0)</f>
        <v>-6.9906036515021697E-13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446.28010102877403</v>
      </c>
      <c r="T116" s="59">
        <f t="shared" si="88"/>
        <v>445.84011537290456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2.2069360688912183</v>
      </c>
      <c r="AA116" s="21">
        <f>EXP(-LN(2)/25)*AA115+(1-EXP(-LN(2)/25))/(LN(2)/25)*Calculateur!V116*Calculateur!X116*VLOOKUP('Données projet'!$B$9,Paramètres!$A$1:$I$89,3,0)*0.475*44/12</f>
        <v>3.881124488540475</v>
      </c>
      <c r="AB116" s="21">
        <f>EXP(-LN(2)/2)*AB115+(1-EXP(-LN(2)/2))/(LN(2)/2)*V116*Y116*VLOOKUP('Données projet'!$B$9,Paramètres!$A$1:$I$89,3,0)*0.475*44/12</f>
        <v>1.1727716673632871E-11</v>
      </c>
      <c r="AC116" s="22">
        <f t="shared" si="57"/>
        <v>6.0880605574434208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>
        <f>AI116*VLOOKUP('Données projet'!$B$10,Paramètres!$A$1:$I$89,3,0)*VLOOKUP('Données projet'!$B$10,Paramètres!$A$1:$I$89,5,0)</f>
        <v>0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285.77483300338548</v>
      </c>
      <c r="AO116" s="59">
        <f t="shared" si="90"/>
        <v>320.55212417690637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1.6125097365936658</v>
      </c>
      <c r="AV116" s="21">
        <f>EXP(-LN(2)/25)*AV115+(1-EXP(-LN(2)/25))/(LN(2)/25)*Calculateur!AQ116*Calculateur!AS116*VLOOKUP('Données projet'!$B$10,Paramètres!$A$1:$I$89,3,0)*0.475*44/12</f>
        <v>2.7907139393470071</v>
      </c>
      <c r="AW116" s="21">
        <f>EXP(-LN(2)/2)*AW115+(1-EXP(-LN(2)/2))/(LN(2)/2)*AQ116*AT116*VLOOKUP('Données projet'!$B$10,Paramètres!$A$1:$I$89,3,0)*0.475*44/12</f>
        <v>7.8463234430907829E-12</v>
      </c>
      <c r="AX116" s="21">
        <f t="shared" si="60"/>
        <v>4.403223675948519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-7.9580786405131221E-13</v>
      </c>
      <c r="BE116" s="13">
        <f>BD116*VLOOKUP('Données projet'!$B$11,Paramètres!$A$1:$I$89,3,0)*VLOOKUP('Données projet'!$B$11,Paramètres!$A$1:$I$89,5,0)</f>
        <v>-3.8278358260868117E-13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402.22278907877927</v>
      </c>
      <c r="BJ116" s="59">
        <f t="shared" si="92"/>
        <v>393.06397734082458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5.3713363547989053</v>
      </c>
      <c r="BQ116" s="21">
        <f>EXP(-LN(2)/25)*BQ115+(1-EXP(-LN(2)/25))/(LN(2)/25)*Calculateur!BL116*Calculateur!BN116*VLOOKUP('Données projet'!$B$11,Paramètres!$A$1:$I$89,3,0)*0.475*44/12</f>
        <v>4.5150967603313825</v>
      </c>
      <c r="BR116" s="21">
        <f>EXP(-LN(2)/2)*BR115+(1-EXP(-LN(2)/2))/(LN(2)/2)*BL116*BO116*VLOOKUP('Données projet'!$B$11,Paramètres!$A$1:$I$89,3,0)*0.475*44/12</f>
        <v>2.8445510826078602E-10</v>
      </c>
      <c r="BS116" s="22">
        <f t="shared" si="63"/>
        <v>9.8864331154147429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4.5</v>
      </c>
      <c r="BY116" s="12">
        <f>IF('Données projet'!$A$114&gt;35,BY115+BX116-CG115,IF(A116&lt;'Données projet'!$A$114,$BV$205^A116,IF(A116='Données projet'!$A$114,'Données projet'!$B$114,BY115+BX116-CG115)))</f>
        <v>320.49999999999966</v>
      </c>
      <c r="BZ116" s="13">
        <f>BY116*VLOOKUP('Données projet'!$B$12,Paramètres!$A$1:$I$89,3,0)*VLOOKUP('Données projet'!$B$12,Paramètres!$A$1:$I$89,5,0)</f>
        <v>289.98839999999967</v>
      </c>
      <c r="CA116" s="13">
        <f t="shared" si="93"/>
        <v>69.073519602481454</v>
      </c>
      <c r="CB116" s="20">
        <f t="shared" si="64"/>
        <v>625.36617664098787</v>
      </c>
      <c r="CC116" s="59">
        <f t="shared" si="65"/>
        <v>918.69950997432124</v>
      </c>
      <c r="CD116" s="59">
        <f ca="1">AVERAGE(OFFSET($CC$3,0,0,'Données projet'!$E$12+1,1))-AVERAGE(OFFSET($H$3,0,0,'Données projet'!$E$12+1,1))</f>
        <v>363.51171608224735</v>
      </c>
      <c r="CE116" s="59">
        <f t="shared" si="94"/>
        <v>257.9239334647138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0.46546287998432873</v>
      </c>
      <c r="CL116" s="21">
        <f>EXP(-LN(2)/25)*CL115+(1-EXP(-LN(2)/25))/(LN(2)/25)*Calculateur!CG116*Calculateur!CI116*VLOOKUP('Données projet'!$B$12,Paramètres!$A$1:$I$89,3,0)*0.475*44/12</f>
        <v>1.1297907443702859</v>
      </c>
      <c r="CM116" s="21">
        <f>EXP(-LN(2)/2)*CM115+(1-EXP(-LN(2)/2))/(LN(2)/2)*CG116*CJ116*VLOOKUP('Données projet'!$B$12,Paramètres!$A$1:$I$89,3,0)*0.475*44/12</f>
        <v>6.9305818170361009E-12</v>
      </c>
      <c r="CN116" s="22">
        <f t="shared" si="66"/>
        <v>1.5952536243615454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1">
        <f t="shared" si="86"/>
        <v>17.734404526076418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67">
        <f t="shared" si="56"/>
        <v>432.62905454958297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-1.2505552149377763E-12</v>
      </c>
      <c r="O117" s="13">
        <f>N117*VLOOKUP('Données projet'!$B$9,Paramètres!$A$1:$I$89,3,0)*VLOOKUP('Données projet'!$B$9,Paramètres!$A$1:$I$89,5,0)</f>
        <v>-6.9906036515021697E-13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446.28010102877403</v>
      </c>
      <c r="T117" s="59">
        <f t="shared" si="88"/>
        <v>445.84011537290456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2.1636593986783472</v>
      </c>
      <c r="AA117" s="21">
        <f>EXP(-LN(2)/25)*AA116+(1-EXP(-LN(2)/25))/(LN(2)/25)*Calculateur!V117*Calculateur!X117*VLOOKUP('Données projet'!$B$9,Paramètres!$A$1:$I$89,3,0)*0.475*44/12</f>
        <v>3.7749949353018692</v>
      </c>
      <c r="AB117" s="21">
        <f>EXP(-LN(2)/2)*AB116+(1-EXP(-LN(2)/2))/(LN(2)/2)*V117*Y117*VLOOKUP('Données projet'!$B$9,Paramètres!$A$1:$I$89,3,0)*0.475*44/12</f>
        <v>8.2927479877603436E-12</v>
      </c>
      <c r="AC117" s="22">
        <f t="shared" si="57"/>
        <v>5.9386543339885094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>
        <f>AI117*VLOOKUP('Données projet'!$B$10,Paramètres!$A$1:$I$89,3,0)*VLOOKUP('Données projet'!$B$10,Paramètres!$A$1:$I$89,5,0)</f>
        <v>0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285.77483300338548</v>
      </c>
      <c r="AO117" s="59">
        <f t="shared" si="90"/>
        <v>320.55212417690637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1.5808894041928874</v>
      </c>
      <c r="AV117" s="21">
        <f>EXP(-LN(2)/25)*AV116+(1-EXP(-LN(2)/25))/(LN(2)/25)*Calculateur!AQ117*Calculateur!AS117*VLOOKUP('Données projet'!$B$10,Paramètres!$A$1:$I$89,3,0)*0.475*44/12</f>
        <v>2.7144017199182953</v>
      </c>
      <c r="AW117" s="21">
        <f>EXP(-LN(2)/2)*AW116+(1-EXP(-LN(2)/2))/(LN(2)/2)*AQ117*AT117*VLOOKUP('Données projet'!$B$10,Paramètres!$A$1:$I$89,3,0)*0.475*44/12</f>
        <v>5.5481885139924725E-12</v>
      </c>
      <c r="AX117" s="21">
        <f t="shared" si="60"/>
        <v>4.2952911241167309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-7.9580786405131221E-13</v>
      </c>
      <c r="BE117" s="13">
        <f>BD117*VLOOKUP('Données projet'!$B$11,Paramètres!$A$1:$I$89,3,0)*VLOOKUP('Données projet'!$B$11,Paramètres!$A$1:$I$89,5,0)</f>
        <v>-3.8278358260868117E-13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402.22278907877927</v>
      </c>
      <c r="BJ117" s="59">
        <f t="shared" si="92"/>
        <v>393.06397734082458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5.2660077250729778</v>
      </c>
      <c r="BQ117" s="21">
        <f>EXP(-LN(2)/25)*BQ116+(1-EXP(-LN(2)/25))/(LN(2)/25)*Calculateur!BL117*Calculateur!BN117*VLOOKUP('Données projet'!$B$11,Paramètres!$A$1:$I$89,3,0)*0.475*44/12</f>
        <v>4.391631201981502</v>
      </c>
      <c r="BR117" s="21">
        <f>EXP(-LN(2)/2)*BR116+(1-EXP(-LN(2)/2))/(LN(2)/2)*BL117*BO117*VLOOKUP('Données projet'!$B$11,Paramètres!$A$1:$I$89,3,0)*0.475*44/12</f>
        <v>2.0114013599435531E-10</v>
      </c>
      <c r="BS117" s="22">
        <f t="shared" si="63"/>
        <v>9.6576389272556202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4.5</v>
      </c>
      <c r="BY117" s="12">
        <f>IF('Données projet'!$A$114&gt;35,BY116+BX117-CG116,IF(A117&lt;'Données projet'!$A$114,$BV$205^A117,IF(A117='Données projet'!$A$114,'Données projet'!$B$114,BY116+BX117-CG116)))</f>
        <v>324.99999999999966</v>
      </c>
      <c r="BZ117" s="13">
        <f>BY117*VLOOKUP('Données projet'!$B$12,Paramètres!$A$1:$I$89,3,0)*VLOOKUP('Données projet'!$B$12,Paramètres!$A$1:$I$89,5,0)</f>
        <v>294.05999999999972</v>
      </c>
      <c r="CA117" s="13">
        <f t="shared" si="93"/>
        <v>69.929765653573313</v>
      </c>
      <c r="CB117" s="20">
        <f t="shared" si="64"/>
        <v>633.94884184663977</v>
      </c>
      <c r="CC117" s="59">
        <f t="shared" si="65"/>
        <v>927.28217517997314</v>
      </c>
      <c r="CD117" s="59">
        <f ca="1">AVERAGE(OFFSET($CC$3,0,0,'Données projet'!$E$12+1,1))-AVERAGE(OFFSET($H$3,0,0,'Données projet'!$E$12+1,1))</f>
        <v>363.51171608224735</v>
      </c>
      <c r="CE117" s="59">
        <f t="shared" si="94"/>
        <v>257.9239334647138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0.4563354368121596</v>
      </c>
      <c r="CL117" s="21">
        <f>EXP(-LN(2)/25)*CL116+(1-EXP(-LN(2)/25))/(LN(2)/25)*Calculateur!CG117*Calculateur!CI117*VLOOKUP('Données projet'!$B$12,Paramètres!$A$1:$I$89,3,0)*0.475*44/12</f>
        <v>1.0988965570523674</v>
      </c>
      <c r="CM117" s="21">
        <f>EXP(-LN(2)/2)*CM116+(1-EXP(-LN(2)/2))/(LN(2)/2)*CG117*CJ117*VLOOKUP('Données projet'!$B$12,Paramètres!$A$1:$I$89,3,0)*0.475*44/12</f>
        <v>4.9006614003944111E-12</v>
      </c>
      <c r="CN117" s="22">
        <f t="shared" si="66"/>
        <v>1.5552319938694279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1">
        <f t="shared" si="86"/>
        <v>17.871791770153557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67">
        <f t="shared" si="56"/>
        <v>433.81928733301731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-1.2505552149377763E-12</v>
      </c>
      <c r="O118" s="13">
        <f>N118*VLOOKUP('Données projet'!$B$9,Paramètres!$A$1:$I$89,3,0)*VLOOKUP('Données projet'!$B$9,Paramètres!$A$1:$I$89,5,0)</f>
        <v>-6.9906036515021697E-13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446.28010102877403</v>
      </c>
      <c r="T118" s="59">
        <f t="shared" si="88"/>
        <v>445.84011537290456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2.1212313575721882</v>
      </c>
      <c r="AA118" s="21">
        <f>EXP(-LN(2)/25)*AA117+(1-EXP(-LN(2)/25))/(LN(2)/25)*Calculateur!V118*Calculateur!X118*VLOOKUP('Données projet'!$B$9,Paramètres!$A$1:$I$89,3,0)*0.475*44/12</f>
        <v>3.6717675002776837</v>
      </c>
      <c r="AB118" s="21">
        <f>EXP(-LN(2)/2)*AB117+(1-EXP(-LN(2)/2))/(LN(2)/2)*V118*Y118*VLOOKUP('Données projet'!$B$9,Paramètres!$A$1:$I$89,3,0)*0.475*44/12</f>
        <v>5.8638583368164357E-12</v>
      </c>
      <c r="AC118" s="22">
        <f t="shared" si="57"/>
        <v>5.7929988578557357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>
        <f>AI118*VLOOKUP('Données projet'!$B$10,Paramètres!$A$1:$I$89,3,0)*VLOOKUP('Données projet'!$B$10,Paramètres!$A$1:$I$89,5,0)</f>
        <v>0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285.77483300338548</v>
      </c>
      <c r="AO118" s="59">
        <f t="shared" si="90"/>
        <v>320.55212417690637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1.5498891272239899</v>
      </c>
      <c r="AV118" s="21">
        <f>EXP(-LN(2)/25)*AV117+(1-EXP(-LN(2)/25))/(LN(2)/25)*Calculateur!AQ118*Calculateur!AS118*VLOOKUP('Données projet'!$B$10,Paramètres!$A$1:$I$89,3,0)*0.475*44/12</f>
        <v>2.6401762621429468</v>
      </c>
      <c r="AW118" s="21">
        <f>EXP(-LN(2)/2)*AW117+(1-EXP(-LN(2)/2))/(LN(2)/2)*AQ118*AT118*VLOOKUP('Données projet'!$B$10,Paramètres!$A$1:$I$89,3,0)*0.475*44/12</f>
        <v>3.9231617215453914E-12</v>
      </c>
      <c r="AX118" s="21">
        <f t="shared" si="60"/>
        <v>4.1900653893708597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-7.9580786405131221E-13</v>
      </c>
      <c r="BE118" s="13">
        <f>BD118*VLOOKUP('Données projet'!$B$11,Paramètres!$A$1:$I$89,3,0)*VLOOKUP('Données projet'!$B$11,Paramètres!$A$1:$I$89,5,0)</f>
        <v>-3.8278358260868117E-13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402.22278907877927</v>
      </c>
      <c r="BJ118" s="59">
        <f t="shared" si="92"/>
        <v>393.06397734082458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5.1627445255318554</v>
      </c>
      <c r="BQ118" s="21">
        <f>EXP(-LN(2)/25)*BQ117+(1-EXP(-LN(2)/25))/(LN(2)/25)*Calculateur!BL118*Calculateur!BN118*VLOOKUP('Données projet'!$B$11,Paramètres!$A$1:$I$89,3,0)*0.475*44/12</f>
        <v>4.2715418158174705</v>
      </c>
      <c r="BR118" s="21">
        <f>EXP(-LN(2)/2)*BR117+(1-EXP(-LN(2)/2))/(LN(2)/2)*BL118*BO118*VLOOKUP('Données projet'!$B$11,Paramètres!$A$1:$I$89,3,0)*0.475*44/12</f>
        <v>1.4222755413039301E-10</v>
      </c>
      <c r="BS118" s="22">
        <f t="shared" si="63"/>
        <v>9.4342863414915534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4.5</v>
      </c>
      <c r="BY118" s="12">
        <f>IF('Données projet'!$A$114&gt;35,BY117+BX118-CG117,IF(A118&lt;'Données projet'!$A$114,$BV$205^A118,IF(A118='Données projet'!$A$114,'Données projet'!$B$114,BY117+BX118-CG117)))</f>
        <v>329.49999999999966</v>
      </c>
      <c r="BZ118" s="13">
        <f>BY118*VLOOKUP('Données projet'!$B$12,Paramètres!$A$1:$I$89,3,0)*VLOOKUP('Données projet'!$B$12,Paramètres!$A$1:$I$89,5,0)</f>
        <v>298.13159999999965</v>
      </c>
      <c r="CA118" s="13">
        <f t="shared" si="93"/>
        <v>70.784632764375971</v>
      </c>
      <c r="CB118" s="20">
        <f t="shared" si="64"/>
        <v>642.52910539795425</v>
      </c>
      <c r="CC118" s="59">
        <f t="shared" si="65"/>
        <v>935.86243873128751</v>
      </c>
      <c r="CD118" s="59">
        <f ca="1">AVERAGE(OFFSET($CC$3,0,0,'Données projet'!$E$12+1,1))-AVERAGE(OFFSET($H$3,0,0,'Données projet'!$E$12+1,1))</f>
        <v>363.51171608224735</v>
      </c>
      <c r="CE118" s="59">
        <f t="shared" si="94"/>
        <v>257.9239334647138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0.44738697723340609</v>
      </c>
      <c r="CL118" s="21">
        <f>EXP(-LN(2)/25)*CL117+(1-EXP(-LN(2)/25))/(LN(2)/25)*Calculateur!CG118*Calculateur!CI118*VLOOKUP('Données projet'!$B$12,Paramètres!$A$1:$I$89,3,0)*0.475*44/12</f>
        <v>1.068847172911312</v>
      </c>
      <c r="CM118" s="21">
        <f>EXP(-LN(2)/2)*CM117+(1-EXP(-LN(2)/2))/(LN(2)/2)*CG118*CJ118*VLOOKUP('Données projet'!$B$12,Paramètres!$A$1:$I$89,3,0)*0.475*44/12</f>
        <v>3.4652909085180505E-12</v>
      </c>
      <c r="CN118" s="22">
        <f t="shared" si="66"/>
        <v>1.5162341501481833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1">
        <f t="shared" si="86"/>
        <v>18.009040022946209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67">
        <f t="shared" si="56"/>
        <v>435.00927803996456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-1.2505552149377763E-12</v>
      </c>
      <c r="O119" s="13">
        <f>N119*VLOOKUP('Données projet'!$B$9,Paramètres!$A$1:$I$89,3,0)*VLOOKUP('Données projet'!$B$9,Paramètres!$A$1:$I$89,5,0)</f>
        <v>-6.9906036515021697E-13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446.28010102877403</v>
      </c>
      <c r="T119" s="59">
        <f t="shared" si="88"/>
        <v>445.84011537290456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2.0796353044735714</v>
      </c>
      <c r="AA119" s="21">
        <f>EXP(-LN(2)/25)*AA118+(1-EXP(-LN(2)/25))/(LN(2)/25)*Calculateur!V119*Calculateur!X119*VLOOKUP('Données projet'!$B$9,Paramètres!$A$1:$I$89,3,0)*0.475*44/12</f>
        <v>3.5713628248927294</v>
      </c>
      <c r="AB119" s="21">
        <f>EXP(-LN(2)/2)*AB118+(1-EXP(-LN(2)/2))/(LN(2)/2)*V119*Y119*VLOOKUP('Données projet'!$B$9,Paramètres!$A$1:$I$89,3,0)*0.475*44/12</f>
        <v>4.1463739938801718E-12</v>
      </c>
      <c r="AC119" s="22">
        <f t="shared" si="57"/>
        <v>5.6509981293704463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>
        <f>AI119*VLOOKUP('Données projet'!$B$10,Paramètres!$A$1:$I$89,3,0)*VLOOKUP('Données projet'!$B$10,Paramètres!$A$1:$I$89,5,0)</f>
        <v>0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285.77483300338548</v>
      </c>
      <c r="AO119" s="59">
        <f t="shared" si="90"/>
        <v>320.55212417690637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1.5194967467781506</v>
      </c>
      <c r="AV119" s="21">
        <f>EXP(-LN(2)/25)*AV118+(1-EXP(-LN(2)/25))/(LN(2)/25)*Calculateur!AQ119*Calculateur!AS119*VLOOKUP('Données projet'!$B$10,Paramètres!$A$1:$I$89,3,0)*0.475*44/12</f>
        <v>2.5679805034138123</v>
      </c>
      <c r="AW119" s="21">
        <f>EXP(-LN(2)/2)*AW118+(1-EXP(-LN(2)/2))/(LN(2)/2)*AQ119*AT119*VLOOKUP('Données projet'!$B$10,Paramètres!$A$1:$I$89,3,0)*0.475*44/12</f>
        <v>2.7740942569962362E-12</v>
      </c>
      <c r="AX119" s="21">
        <f t="shared" si="60"/>
        <v>4.0874772501947367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-7.9580786405131221E-13</v>
      </c>
      <c r="BE119" s="13">
        <f>BD119*VLOOKUP('Données projet'!$B$11,Paramètres!$A$1:$I$89,3,0)*VLOOKUP('Données projet'!$B$11,Paramètres!$A$1:$I$89,5,0)</f>
        <v>-3.8278358260868117E-13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402.22278907877927</v>
      </c>
      <c r="BJ119" s="59">
        <f t="shared" si="92"/>
        <v>393.06397734082458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5.0615062543494016</v>
      </c>
      <c r="BQ119" s="21">
        <f>EXP(-LN(2)/25)*BQ118+(1-EXP(-LN(2)/25))/(LN(2)/25)*Calculateur!BL119*Calculateur!BN119*VLOOKUP('Données projet'!$B$11,Paramètres!$A$1:$I$89,3,0)*0.475*44/12</f>
        <v>4.1547362802333208</v>
      </c>
      <c r="BR119" s="21">
        <f>EXP(-LN(2)/2)*BR118+(1-EXP(-LN(2)/2))/(LN(2)/2)*BL119*BO119*VLOOKUP('Données projet'!$B$11,Paramètres!$A$1:$I$89,3,0)*0.475*44/12</f>
        <v>1.0057006799717766E-10</v>
      </c>
      <c r="BS119" s="22">
        <f t="shared" si="63"/>
        <v>9.2162425346832926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4.5</v>
      </c>
      <c r="BY119" s="12">
        <f>IF('Données projet'!$A$114&gt;35,BY118+BX119-CG118,IF(A119&lt;'Données projet'!$A$114,$BV$205^A119,IF(A119='Données projet'!$A$114,'Données projet'!$B$114,BY118+BX119-CG118)))</f>
        <v>333.99999999999966</v>
      </c>
      <c r="BZ119" s="13">
        <f>BY119*VLOOKUP('Données projet'!$B$12,Paramètres!$A$1:$I$89,3,0)*VLOOKUP('Données projet'!$B$12,Paramètres!$A$1:$I$89,5,0)</f>
        <v>302.2031999999997</v>
      </c>
      <c r="CA119" s="13">
        <f t="shared" si="93"/>
        <v>71.638141943842228</v>
      </c>
      <c r="CB119" s="20">
        <f t="shared" si="64"/>
        <v>651.1070038855247</v>
      </c>
      <c r="CC119" s="59">
        <f t="shared" si="65"/>
        <v>944.44033721885808</v>
      </c>
      <c r="CD119" s="59">
        <f ca="1">AVERAGE(OFFSET($CC$3,0,0,'Données projet'!$E$12+1,1))-AVERAGE(OFFSET($H$3,0,0,'Données projet'!$E$12+1,1))</f>
        <v>363.51171608224735</v>
      </c>
      <c r="CE119" s="59">
        <f t="shared" si="94"/>
        <v>257.9239334647138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0.43861399148897051</v>
      </c>
      <c r="CL119" s="21">
        <f>EXP(-LN(2)/25)*CL118+(1-EXP(-LN(2)/25))/(LN(2)/25)*Calculateur!CG119*Calculateur!CI119*VLOOKUP('Données projet'!$B$12,Paramètres!$A$1:$I$89,3,0)*0.475*44/12</f>
        <v>1.0396194907598222</v>
      </c>
      <c r="CM119" s="21">
        <f>EXP(-LN(2)/2)*CM118+(1-EXP(-LN(2)/2))/(LN(2)/2)*CG119*CJ119*VLOOKUP('Données projet'!$B$12,Paramètres!$A$1:$I$89,3,0)*0.475*44/12</f>
        <v>2.4503307001972056E-12</v>
      </c>
      <c r="CN119" s="22">
        <f t="shared" si="66"/>
        <v>1.4782334822512431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1">
        <f t="shared" si="86"/>
        <v>18.146150621487966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67">
        <f t="shared" si="56"/>
        <v>436.19902899909141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-1.2505552149377763E-12</v>
      </c>
      <c r="O120" s="13">
        <f>N120*VLOOKUP('Données projet'!$B$9,Paramètres!$A$1:$I$89,3,0)*VLOOKUP('Données projet'!$B$9,Paramètres!$A$1:$I$89,5,0)</f>
        <v>-6.9906036515021697E-13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446.28010102877403</v>
      </c>
      <c r="T120" s="59">
        <f t="shared" si="88"/>
        <v>445.84011537290456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2.0388549246051313</v>
      </c>
      <c r="AA120" s="21">
        <f>EXP(-LN(2)/25)*AA119+(1-EXP(-LN(2)/25))/(LN(2)/25)*Calculateur!V120*Calculateur!X120*VLOOKUP('Données projet'!$B$9,Paramètres!$A$1:$I$89,3,0)*0.475*44/12</f>
        <v>3.4737037206362293</v>
      </c>
      <c r="AB120" s="21">
        <f>EXP(-LN(2)/2)*AB119+(1-EXP(-LN(2)/2))/(LN(2)/2)*V120*Y120*VLOOKUP('Données projet'!$B$9,Paramètres!$A$1:$I$89,3,0)*0.475*44/12</f>
        <v>2.9319291684082178E-12</v>
      </c>
      <c r="AC120" s="22">
        <f t="shared" si="57"/>
        <v>5.512558645244293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>
        <f>AI120*VLOOKUP('Données projet'!$B$10,Paramètres!$A$1:$I$89,3,0)*VLOOKUP('Données projet'!$B$10,Paramètres!$A$1:$I$89,5,0)</f>
        <v>0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285.77483300338548</v>
      </c>
      <c r="AO120" s="59">
        <f t="shared" si="90"/>
        <v>320.55212417690637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1.4897003423753326</v>
      </c>
      <c r="AV120" s="21">
        <f>EXP(-LN(2)/25)*AV119+(1-EXP(-LN(2)/25))/(LN(2)/25)*Calculateur!AQ120*Calculateur!AS120*VLOOKUP('Données projet'!$B$10,Paramètres!$A$1:$I$89,3,0)*0.475*44/12</f>
        <v>2.497758941503736</v>
      </c>
      <c r="AW120" s="21">
        <f>EXP(-LN(2)/2)*AW119+(1-EXP(-LN(2)/2))/(LN(2)/2)*AQ120*AT120*VLOOKUP('Données projet'!$B$10,Paramètres!$A$1:$I$89,3,0)*0.475*44/12</f>
        <v>1.9615808607726957E-12</v>
      </c>
      <c r="AX120" s="21">
        <f t="shared" si="60"/>
        <v>3.9874592838810301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-7.9580786405131221E-13</v>
      </c>
      <c r="BE120" s="13">
        <f>BD120*VLOOKUP('Données projet'!$B$11,Paramètres!$A$1:$I$89,3,0)*VLOOKUP('Données projet'!$B$11,Paramètres!$A$1:$I$89,5,0)</f>
        <v>-3.8278358260868117E-13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402.22278907877927</v>
      </c>
      <c r="BJ120" s="59">
        <f t="shared" si="92"/>
        <v>393.06397734082458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4.962253203915588</v>
      </c>
      <c r="BQ120" s="21">
        <f>EXP(-LN(2)/25)*BQ119+(1-EXP(-LN(2)/25))/(LN(2)/25)*Calculateur!BL120*Calculateur!BN120*VLOOKUP('Données projet'!$B$11,Paramètres!$A$1:$I$89,3,0)*0.475*44/12</f>
        <v>4.0411247981622553</v>
      </c>
      <c r="BR120" s="21">
        <f>EXP(-LN(2)/2)*BR119+(1-EXP(-LN(2)/2))/(LN(2)/2)*BL120*BO120*VLOOKUP('Données projet'!$B$11,Paramètres!$A$1:$I$89,3,0)*0.475*44/12</f>
        <v>7.1113777065196505E-11</v>
      </c>
      <c r="BS120" s="22">
        <f t="shared" si="63"/>
        <v>9.0033780021489562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4.5</v>
      </c>
      <c r="BY120" s="12">
        <f>IF('Données projet'!$A$114&gt;35,BY119+BX120-CG119,IF(A120&lt;'Données projet'!$A$114,$BV$205^A120,IF(A120='Données projet'!$A$114,'Données projet'!$B$114,BY119+BX120-CG119)))</f>
        <v>338.49999999999966</v>
      </c>
      <c r="BZ120" s="13">
        <f>BY120*VLOOKUP('Données projet'!$B$12,Paramètres!$A$1:$I$89,3,0)*VLOOKUP('Données projet'!$B$12,Paramètres!$A$1:$I$89,5,0)</f>
        <v>306.27479999999969</v>
      </c>
      <c r="CA120" s="13">
        <f t="shared" si="93"/>
        <v>72.490313602282981</v>
      </c>
      <c r="CB120" s="20">
        <f t="shared" si="64"/>
        <v>659.68257285730897</v>
      </c>
      <c r="CC120" s="59">
        <f t="shared" si="65"/>
        <v>953.01590619064223</v>
      </c>
      <c r="CD120" s="59">
        <f ca="1">AVERAGE(OFFSET($CC$3,0,0,'Données projet'!$E$12+1,1))-AVERAGE(OFFSET($H$3,0,0,'Données projet'!$E$12+1,1))</f>
        <v>363.51171608224735</v>
      </c>
      <c r="CE120" s="59">
        <f t="shared" si="94"/>
        <v>257.9239334647138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0.43001303864399038</v>
      </c>
      <c r="CL120" s="21">
        <f>EXP(-LN(2)/25)*CL119+(1-EXP(-LN(2)/25))/(LN(2)/25)*Calculateur!CG120*Calculateur!CI120*VLOOKUP('Données projet'!$B$12,Paramètres!$A$1:$I$89,3,0)*0.475*44/12</f>
        <v>1.0111910411137819</v>
      </c>
      <c r="CM120" s="21">
        <f>EXP(-LN(2)/2)*CM119+(1-EXP(-LN(2)/2))/(LN(2)/2)*CG120*CJ120*VLOOKUP('Données projet'!$B$12,Paramètres!$A$1:$I$89,3,0)*0.475*44/12</f>
        <v>1.7326454542590252E-12</v>
      </c>
      <c r="CN120" s="22">
        <f t="shared" si="66"/>
        <v>1.4412040797595049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1">
        <f t="shared" si="86"/>
        <v>18.283124878638194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67">
        <f t="shared" si="56"/>
        <v>437.38854249696135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-1.2505552149377763E-12</v>
      </c>
      <c r="O121" s="13">
        <f>N121*VLOOKUP('Données projet'!$B$9,Paramètres!$A$1:$I$89,3,0)*VLOOKUP('Données projet'!$B$9,Paramètres!$A$1:$I$89,5,0)</f>
        <v>-6.9906036515021697E-13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446.28010102877403</v>
      </c>
      <c r="T121" s="59">
        <f t="shared" si="88"/>
        <v>445.84011537290456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1.9988742231123355</v>
      </c>
      <c r="AA121" s="21">
        <f>EXP(-LN(2)/25)*AA120+(1-EXP(-LN(2)/25))/(LN(2)/25)*Calculateur!V121*Calculateur!X121*VLOOKUP('Données projet'!$B$9,Paramètres!$A$1:$I$89,3,0)*0.475*44/12</f>
        <v>3.3787151097212922</v>
      </c>
      <c r="AB121" s="21">
        <f>EXP(-LN(2)/2)*AB120+(1-EXP(-LN(2)/2))/(LN(2)/2)*V121*Y121*VLOOKUP('Données projet'!$B$9,Paramètres!$A$1:$I$89,3,0)*0.475*44/12</f>
        <v>2.0731869969400859E-12</v>
      </c>
      <c r="AC121" s="22">
        <f t="shared" si="57"/>
        <v>5.3775893328357007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>
        <f>AI121*VLOOKUP('Données projet'!$B$10,Paramètres!$A$1:$I$89,3,0)*VLOOKUP('Données projet'!$B$10,Paramètres!$A$1:$I$89,5,0)</f>
        <v>0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285.77483300338548</v>
      </c>
      <c r="AO121" s="59">
        <f t="shared" si="90"/>
        <v>320.55212417690637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1.4604882272888415</v>
      </c>
      <c r="AV121" s="21">
        <f>EXP(-LN(2)/25)*AV120+(1-EXP(-LN(2)/25))/(LN(2)/25)*Calculateur!AQ121*Calculateur!AS121*VLOOKUP('Données projet'!$B$10,Paramètres!$A$1:$I$89,3,0)*0.475*44/12</f>
        <v>2.4294575918968824</v>
      </c>
      <c r="AW121" s="21">
        <f>EXP(-LN(2)/2)*AW120+(1-EXP(-LN(2)/2))/(LN(2)/2)*AQ121*AT121*VLOOKUP('Données projet'!$B$10,Paramètres!$A$1:$I$89,3,0)*0.475*44/12</f>
        <v>1.3870471284981181E-12</v>
      </c>
      <c r="AX121" s="21">
        <f t="shared" si="60"/>
        <v>3.8899458191871106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-7.9580786405131221E-13</v>
      </c>
      <c r="BE121" s="13">
        <f>BD121*VLOOKUP('Données projet'!$B$11,Paramètres!$A$1:$I$89,3,0)*VLOOKUP('Données projet'!$B$11,Paramètres!$A$1:$I$89,5,0)</f>
        <v>-3.8278358260868117E-13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402.22278907877927</v>
      </c>
      <c r="BJ121" s="59">
        <f t="shared" si="92"/>
        <v>393.06397734082458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4.8649464452623983</v>
      </c>
      <c r="BQ121" s="21">
        <f>EXP(-LN(2)/25)*BQ120+(1-EXP(-LN(2)/25))/(LN(2)/25)*Calculateur!BL121*Calculateur!BN121*VLOOKUP('Données projet'!$B$11,Paramètres!$A$1:$I$89,3,0)*0.475*44/12</f>
        <v>3.9306200280429913</v>
      </c>
      <c r="BR121" s="21">
        <f>EXP(-LN(2)/2)*BR120+(1-EXP(-LN(2)/2))/(LN(2)/2)*BL121*BO121*VLOOKUP('Données projet'!$B$11,Paramètres!$A$1:$I$89,3,0)*0.475*44/12</f>
        <v>5.0285033998588828E-11</v>
      </c>
      <c r="BS121" s="22">
        <f t="shared" si="63"/>
        <v>8.7955664733556738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4.5</v>
      </c>
      <c r="BY121" s="12">
        <f>IF('Données projet'!$A$114&gt;35,BY120+BX121-CG120,IF(A121&lt;'Données projet'!$A$114,$BV$205^A121,IF(A121='Données projet'!$A$114,'Données projet'!$B$114,BY120+BX121-CG120)))</f>
        <v>342.99999999999966</v>
      </c>
      <c r="BZ121" s="13">
        <f>BY121*VLOOKUP('Données projet'!$B$12,Paramètres!$A$1:$I$89,3,0)*VLOOKUP('Données projet'!$B$12,Paramètres!$A$1:$I$89,5,0)</f>
        <v>310.34639999999968</v>
      </c>
      <c r="CA121" s="13">
        <f t="shared" si="93"/>
        <v>73.341167576152998</v>
      </c>
      <c r="CB121" s="20">
        <f t="shared" si="64"/>
        <v>668.25584686179923</v>
      </c>
      <c r="CC121" s="59">
        <f t="shared" si="65"/>
        <v>961.58918019513249</v>
      </c>
      <c r="CD121" s="59">
        <f ca="1">AVERAGE(OFFSET($CC$3,0,0,'Données projet'!$E$12+1,1))-AVERAGE(OFFSET($H$3,0,0,'Données projet'!$E$12+1,1))</f>
        <v>363.51171608224735</v>
      </c>
      <c r="CE121" s="59">
        <f t="shared" si="94"/>
        <v>257.9239334647138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0.42158074523823708</v>
      </c>
      <c r="CL121" s="21">
        <f>EXP(-LN(2)/25)*CL120+(1-EXP(-LN(2)/25))/(LN(2)/25)*Calculateur!CG121*Calculateur!CI121*VLOOKUP('Données projet'!$B$12,Paramètres!$A$1:$I$89,3,0)*0.475*44/12</f>
        <v>0.98353996891829976</v>
      </c>
      <c r="CM121" s="21">
        <f>EXP(-LN(2)/2)*CM120+(1-EXP(-LN(2)/2))/(LN(2)/2)*CG121*CJ121*VLOOKUP('Données projet'!$B$12,Paramètres!$A$1:$I$89,3,0)*0.475*44/12</f>
        <v>1.2251653500986028E-12</v>
      </c>
      <c r="CN121" s="22">
        <f t="shared" si="66"/>
        <v>1.405120714157762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1">
        <f t="shared" si="86"/>
        <v>18.41996408372005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67">
        <f t="shared" si="56"/>
        <v>438.57782077914567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-1.2505552149377763E-12</v>
      </c>
      <c r="O122" s="13">
        <f>N122*VLOOKUP('Données projet'!$B$9,Paramètres!$A$1:$I$89,3,0)*VLOOKUP('Données projet'!$B$9,Paramètres!$A$1:$I$89,5,0)</f>
        <v>-6.9906036515021697E-13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446.28010102877403</v>
      </c>
      <c r="T122" s="59">
        <f t="shared" si="88"/>
        <v>445.84011537290456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1.9596775187899935</v>
      </c>
      <c r="AA122" s="21">
        <f>EXP(-LN(2)/25)*AA121+(1-EXP(-LN(2)/25))/(LN(2)/25)*Calculateur!V122*Calculateur!X122*VLOOKUP('Données projet'!$B$9,Paramètres!$A$1:$I$89,3,0)*0.475*44/12</f>
        <v>3.2863239673670579</v>
      </c>
      <c r="AB122" s="21">
        <f>EXP(-LN(2)/2)*AB121+(1-EXP(-LN(2)/2))/(LN(2)/2)*V122*Y122*VLOOKUP('Données projet'!$B$9,Paramètres!$A$1:$I$89,3,0)*0.475*44/12</f>
        <v>1.4659645842041089E-12</v>
      </c>
      <c r="AC122" s="22">
        <f t="shared" si="57"/>
        <v>5.2460014861585176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>
        <f>AI122*VLOOKUP('Données projet'!$B$10,Paramètres!$A$1:$I$89,3,0)*VLOOKUP('Données projet'!$B$10,Paramètres!$A$1:$I$89,5,0)</f>
        <v>0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285.77483300338548</v>
      </c>
      <c r="AO122" s="59">
        <f t="shared" si="90"/>
        <v>320.55212417690637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1.4318489439615658</v>
      </c>
      <c r="AV122" s="21">
        <f>EXP(-LN(2)/25)*AV121+(1-EXP(-LN(2)/25))/(LN(2)/25)*Calculateur!AQ122*Calculateur!AS122*VLOOKUP('Données projet'!$B$10,Paramètres!$A$1:$I$89,3,0)*0.475*44/12</f>
        <v>2.3630239462868401</v>
      </c>
      <c r="AW122" s="21">
        <f>EXP(-LN(2)/2)*AW121+(1-EXP(-LN(2)/2))/(LN(2)/2)*AQ122*AT122*VLOOKUP('Données projet'!$B$10,Paramètres!$A$1:$I$89,3,0)*0.475*44/12</f>
        <v>9.8079043038634786E-13</v>
      </c>
      <c r="AX122" s="21">
        <f t="shared" si="60"/>
        <v>3.7948728902493869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-7.9580786405131221E-13</v>
      </c>
      <c r="BE122" s="13">
        <f>BD122*VLOOKUP('Données projet'!$B$11,Paramètres!$A$1:$I$89,3,0)*VLOOKUP('Données projet'!$B$11,Paramètres!$A$1:$I$89,5,0)</f>
        <v>-3.8278358260868117E-13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402.22278907877927</v>
      </c>
      <c r="BJ122" s="59">
        <f t="shared" si="92"/>
        <v>393.06397734082458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4.7695478127951354</v>
      </c>
      <c r="BQ122" s="21">
        <f>EXP(-LN(2)/25)*BQ121+(1-EXP(-LN(2)/25))/(LN(2)/25)*Calculateur!BL122*Calculateur!BN122*VLOOKUP('Données projet'!$B$11,Paramètres!$A$1:$I$89,3,0)*0.475*44/12</f>
        <v>3.8231370166738321</v>
      </c>
      <c r="BR122" s="21">
        <f>EXP(-LN(2)/2)*BR121+(1-EXP(-LN(2)/2))/(LN(2)/2)*BL122*BO122*VLOOKUP('Données projet'!$B$11,Paramètres!$A$1:$I$89,3,0)*0.475*44/12</f>
        <v>3.5556888532598252E-11</v>
      </c>
      <c r="BS122" s="22">
        <f t="shared" si="63"/>
        <v>8.5926848295045257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4.5</v>
      </c>
      <c r="BY122" s="12">
        <f>IF('Données projet'!$A$114&gt;35,BY121+BX122-CG121,IF(A122&lt;'Données projet'!$A$114,$BV$205^A122,IF(A122='Données projet'!$A$114,'Données projet'!$B$114,BY121+BX122-CG121)))</f>
        <v>347.49999999999966</v>
      </c>
      <c r="BZ122" s="13">
        <f>BY122*VLOOKUP('Données projet'!$B$12,Paramètres!$A$1:$I$89,3,0)*VLOOKUP('Données projet'!$B$12,Paramètres!$A$1:$I$89,5,0)</f>
        <v>314.41799999999967</v>
      </c>
      <c r="CA122" s="13">
        <f t="shared" si="93"/>
        <v>74.190723151497266</v>
      </c>
      <c r="CB122" s="20">
        <f t="shared" si="64"/>
        <v>676.82685948885705</v>
      </c>
      <c r="CC122" s="59">
        <f t="shared" si="65"/>
        <v>970.16019282219031</v>
      </c>
      <c r="CD122" s="59">
        <f ca="1">AVERAGE(OFFSET($CC$3,0,0,'Données projet'!$E$12+1,1))-AVERAGE(OFFSET($H$3,0,0,'Données projet'!$E$12+1,1))</f>
        <v>363.51171608224735</v>
      </c>
      <c r="CE122" s="59">
        <f t="shared" si="94"/>
        <v>257.9239334647138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0.41331380396297951</v>
      </c>
      <c r="CL122" s="21">
        <f>EXP(-LN(2)/25)*CL121+(1-EXP(-LN(2)/25))/(LN(2)/25)*Calculateur!CG122*Calculateur!CI122*VLOOKUP('Données projet'!$B$12,Paramètres!$A$1:$I$89,3,0)*0.475*44/12</f>
        <v>0.9566450167461098</v>
      </c>
      <c r="CM122" s="21">
        <f>EXP(-LN(2)/2)*CM121+(1-EXP(-LN(2)/2))/(LN(2)/2)*CG122*CJ122*VLOOKUP('Données projet'!$B$12,Paramètres!$A$1:$I$89,3,0)*0.475*44/12</f>
        <v>8.6632272712951262E-13</v>
      </c>
      <c r="CN122" s="22">
        <f t="shared" si="66"/>
        <v>1.3699588207099558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1">
        <f t="shared" si="86"/>
        <v>18.556669503136707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67">
        <f t="shared" si="56"/>
        <v>439.76686605129635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-1.2505552149377763E-12</v>
      </c>
      <c r="O123" s="13">
        <f>N123*VLOOKUP('Données projet'!$B$9,Paramètres!$A$1:$I$89,3,0)*VLOOKUP('Données projet'!$B$9,Paramètres!$A$1:$I$89,5,0)</f>
        <v>-6.9906036515021697E-13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446.28010102877403</v>
      </c>
      <c r="T123" s="59">
        <f t="shared" si="88"/>
        <v>445.84011537290456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1.9212494379317835</v>
      </c>
      <c r="AA123" s="21">
        <f>EXP(-LN(2)/25)*AA122+(1-EXP(-LN(2)/25))/(LN(2)/25)*Calculateur!V123*Calculateur!X123*VLOOKUP('Données projet'!$B$9,Paramètres!$A$1:$I$89,3,0)*0.475*44/12</f>
        <v>3.1964592656591391</v>
      </c>
      <c r="AB123" s="21">
        <f>EXP(-LN(2)/2)*AB122+(1-EXP(-LN(2)/2))/(LN(2)/2)*V123*Y123*VLOOKUP('Données projet'!$B$9,Paramètres!$A$1:$I$89,3,0)*0.475*44/12</f>
        <v>1.036593498470043E-12</v>
      </c>
      <c r="AC123" s="22">
        <f t="shared" si="57"/>
        <v>5.1177087035919593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>
        <f>AI123*VLOOKUP('Données projet'!$B$10,Paramètres!$A$1:$I$89,3,0)*VLOOKUP('Données projet'!$B$10,Paramètres!$A$1:$I$89,5,0)</f>
        <v>0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285.77483300338548</v>
      </c>
      <c r="AO123" s="59">
        <f t="shared" si="90"/>
        <v>320.55212417690637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1.4037712595120999</v>
      </c>
      <c r="AV123" s="21">
        <f>EXP(-LN(2)/25)*AV122+(1-EXP(-LN(2)/25))/(LN(2)/25)*Calculateur!AQ123*Calculateur!AS123*VLOOKUP('Données projet'!$B$10,Paramètres!$A$1:$I$89,3,0)*0.475*44/12</f>
        <v>2.2984069322095979</v>
      </c>
      <c r="AW123" s="21">
        <f>EXP(-LN(2)/2)*AW122+(1-EXP(-LN(2)/2))/(LN(2)/2)*AQ123*AT123*VLOOKUP('Données projet'!$B$10,Paramètres!$A$1:$I$89,3,0)*0.475*44/12</f>
        <v>6.9352356424905906E-13</v>
      </c>
      <c r="AX123" s="21">
        <f t="shared" si="60"/>
        <v>3.7021781917223917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-7.9580786405131221E-13</v>
      </c>
      <c r="BE123" s="13">
        <f>BD123*VLOOKUP('Données projet'!$B$11,Paramètres!$A$1:$I$89,3,0)*VLOOKUP('Données projet'!$B$11,Paramètres!$A$1:$I$89,5,0)</f>
        <v>-3.8278358260868117E-13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402.22278907877927</v>
      </c>
      <c r="BJ123" s="59">
        <f t="shared" si="92"/>
        <v>393.06397734082458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4.6760198893231353</v>
      </c>
      <c r="BQ123" s="21">
        <f>EXP(-LN(2)/25)*BQ122+(1-EXP(-LN(2)/25))/(LN(2)/25)*Calculateur!BL123*Calculateur!BN123*VLOOKUP('Données projet'!$B$11,Paramètres!$A$1:$I$89,3,0)*0.475*44/12</f>
        <v>3.7185931339028482</v>
      </c>
      <c r="BR123" s="21">
        <f>EXP(-LN(2)/2)*BR122+(1-EXP(-LN(2)/2))/(LN(2)/2)*BL123*BO123*VLOOKUP('Données projet'!$B$11,Paramètres!$A$1:$I$89,3,0)*0.475*44/12</f>
        <v>2.5142516999294414E-11</v>
      </c>
      <c r="BS123" s="22">
        <f t="shared" si="63"/>
        <v>8.3946130232511251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>
        <f>VLOOKUP(A123,'Données projet'!$A$113:$I$133,2,0)</f>
        <v>352</v>
      </c>
      <c r="BW123" s="12">
        <f>VLOOKUP(A123,'Données projet'!$A$113:$I$133,9,0)</f>
        <v>4.5</v>
      </c>
      <c r="BX123" s="12">
        <f t="array" ref="BX123">INDEX(BW:BW,MIN(IF(ISNUMBER(BW123:BW319),ROW(BW123:BW319),"")))</f>
        <v>4.5</v>
      </c>
      <c r="BY123" s="12">
        <f>IF('Données projet'!$A$114&gt;35,BY122+BX123-CG122,IF(A123&lt;'Données projet'!$A$114,$BV$205^A123,IF(A123='Données projet'!$A$114,'Données projet'!$B$114,BY122+BX123-CG122)))</f>
        <v>351.99999999999966</v>
      </c>
      <c r="BZ123" s="13">
        <f>BY123*VLOOKUP('Données projet'!$B$12,Paramètres!$A$1:$I$89,3,0)*VLOOKUP('Données projet'!$B$12,Paramètres!$A$1:$I$89,5,0)</f>
        <v>318.48959999999971</v>
      </c>
      <c r="CA123" s="13">
        <f t="shared" si="93"/>
        <v>75.038999086150227</v>
      </c>
      <c r="CB123" s="20">
        <f t="shared" si="64"/>
        <v>685.39564340837785</v>
      </c>
      <c r="CC123" s="59">
        <f t="shared" si="65"/>
        <v>978.72897674171122</v>
      </c>
      <c r="CD123" s="59">
        <f ca="1">AVERAGE(OFFSET($CC$3,0,0,'Données projet'!$E$12+1,1))-AVERAGE(OFFSET($H$3,0,0,'Données projet'!$E$12+1,1))</f>
        <v>363.51171608224735</v>
      </c>
      <c r="CE123" s="59">
        <f t="shared" si="94"/>
        <v>257.9239334647138</v>
      </c>
      <c r="CF123" s="15">
        <f>IF(ISNA(VLOOKUP(A123,'Données projet'!$A$113:$I$133,3,0)),0,VLOOKUP(A123,'Données projet'!$A$113:$I$133,3,0))</f>
        <v>11</v>
      </c>
      <c r="CG123" s="15">
        <f>IF(ISNA(VLOOKUP(A123,'Données projet'!$A$113:$I$133,4,0)),0,VLOOKUP(A123,'Données projet'!$A$113:$I$133,4,0))</f>
        <v>352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0.40520897236379344</v>
      </c>
      <c r="CL123" s="21">
        <f>EXP(-LN(2)/25)*CL122+(1-EXP(-LN(2)/25))/(LN(2)/25)*Calculateur!CG123*Calculateur!CI123*VLOOKUP('Données projet'!$B$12,Paramètres!$A$1:$I$89,3,0)*0.475*44/12</f>
        <v>0.93048550845541245</v>
      </c>
      <c r="CM123" s="21">
        <f>EXP(-LN(2)/2)*CM122+(1-EXP(-LN(2)/2))/(LN(2)/2)*CG123*CJ123*VLOOKUP('Données projet'!$B$12,Paramètres!$A$1:$I$89,3,0)*0.475*44/12</f>
        <v>6.1258267504930139E-13</v>
      </c>
      <c r="CN123" s="22">
        <f t="shared" si="66"/>
        <v>1.3356944808198186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1">
        <f t="shared" si="86"/>
        <v>18.69324238096624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67">
        <f t="shared" si="56"/>
        <v>440.95568048018276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-1.2505552149377763E-12</v>
      </c>
      <c r="O124" s="13">
        <f>N124*VLOOKUP('Données projet'!$B$9,Paramètres!$A$1:$I$89,3,0)*VLOOKUP('Données projet'!$B$9,Paramètres!$A$1:$I$89,5,0)</f>
        <v>-6.9906036515021697E-13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446.28010102877403</v>
      </c>
      <c r="T124" s="59">
        <f t="shared" si="88"/>
        <v>445.84011537290456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1.8835749083003881</v>
      </c>
      <c r="AA124" s="21">
        <f>EXP(-LN(2)/25)*AA123+(1-EXP(-LN(2)/25))/(LN(2)/25)*Calculateur!V124*Calculateur!X124*VLOOKUP('Données projet'!$B$9,Paramètres!$A$1:$I$89,3,0)*0.475*44/12</f>
        <v>3.1090519189452026</v>
      </c>
      <c r="AB124" s="21">
        <f>EXP(-LN(2)/2)*AB123+(1-EXP(-LN(2)/2))/(LN(2)/2)*V124*Y124*VLOOKUP('Données projet'!$B$9,Paramètres!$A$1:$I$89,3,0)*0.475*44/12</f>
        <v>7.3298229210205446E-13</v>
      </c>
      <c r="AC124" s="22">
        <f t="shared" si="57"/>
        <v>4.9926268272463235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>
        <f>AI124*VLOOKUP('Données projet'!$B$10,Paramètres!$A$1:$I$89,3,0)*VLOOKUP('Données projet'!$B$10,Paramètres!$A$1:$I$89,5,0)</f>
        <v>0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285.77483300338548</v>
      </c>
      <c r="AO124" s="59">
        <f t="shared" si="90"/>
        <v>320.55212417690637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1.3762441613289917</v>
      </c>
      <c r="AV124" s="21">
        <f>EXP(-LN(2)/25)*AV123+(1-EXP(-LN(2)/25))/(LN(2)/25)*Calculateur!AQ124*Calculateur!AS124*VLOOKUP('Données projet'!$B$10,Paramètres!$A$1:$I$89,3,0)*0.475*44/12</f>
        <v>2.2355568737803591</v>
      </c>
      <c r="AW124" s="21">
        <f>EXP(-LN(2)/2)*AW123+(1-EXP(-LN(2)/2))/(LN(2)/2)*AQ124*AT124*VLOOKUP('Données projet'!$B$10,Paramètres!$A$1:$I$89,3,0)*0.475*44/12</f>
        <v>4.9039521519317393E-13</v>
      </c>
      <c r="AX124" s="21">
        <f t="shared" si="60"/>
        <v>3.6118010351098411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-7.9580786405131221E-13</v>
      </c>
      <c r="BE124" s="13">
        <f>BD124*VLOOKUP('Données projet'!$B$11,Paramètres!$A$1:$I$89,3,0)*VLOOKUP('Données projet'!$B$11,Paramètres!$A$1:$I$89,5,0)</f>
        <v>-3.8278358260868117E-13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402.22278907877927</v>
      </c>
      <c r="BJ124" s="59">
        <f t="shared" si="92"/>
        <v>393.06397734082458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4.5843259913840209</v>
      </c>
      <c r="BQ124" s="21">
        <f>EXP(-LN(2)/25)*BQ123+(1-EXP(-LN(2)/25))/(LN(2)/25)*Calculateur!BL124*Calculateur!BN124*VLOOKUP('Données projet'!$B$11,Paramètres!$A$1:$I$89,3,0)*0.475*44/12</f>
        <v>3.6169080091039607</v>
      </c>
      <c r="BR124" s="21">
        <f>EXP(-LN(2)/2)*BR123+(1-EXP(-LN(2)/2))/(LN(2)/2)*BL124*BO124*VLOOKUP('Données projet'!$B$11,Paramètres!$A$1:$I$89,3,0)*0.475*44/12</f>
        <v>1.7778444266299126E-11</v>
      </c>
      <c r="BS124" s="22">
        <f t="shared" si="63"/>
        <v>8.2012340005057602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-3.4106051316484809E-13</v>
      </c>
      <c r="BZ124" s="13">
        <f>BY124*VLOOKUP('Données projet'!$B$12,Paramètres!$A$1:$I$89,3,0)*VLOOKUP('Données projet'!$B$12,Paramètres!$A$1:$I$89,5,0)</f>
        <v>-3.0859155231155454E-13</v>
      </c>
      <c r="CA124" s="13" t="e">
        <f t="shared" si="93"/>
        <v>#NUM!</v>
      </c>
      <c r="CB124" s="20" t="e">
        <f t="shared" si="64"/>
        <v>#NUM!</v>
      </c>
      <c r="CC124" s="59" t="e">
        <f t="shared" si="65"/>
        <v>#NUM!</v>
      </c>
      <c r="CD124" s="59">
        <f ca="1">AVERAGE(OFFSET($CC$3,0,0,'Données projet'!$E$12+1,1))-AVERAGE(OFFSET($H$3,0,0,'Données projet'!$E$12+1,1))</f>
        <v>363.51171608224735</v>
      </c>
      <c r="CE124" s="59">
        <f t="shared" si="94"/>
        <v>257.9239334647138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0.39726307156880825</v>
      </c>
      <c r="CL124" s="21">
        <f>EXP(-LN(2)/25)*CL123+(1-EXP(-LN(2)/25))/(LN(2)/25)*Calculateur!CG124*Calculateur!CI124*VLOOKUP('Données projet'!$B$12,Paramètres!$A$1:$I$89,3,0)*0.475*44/12</f>
        <v>0.90504133329459291</v>
      </c>
      <c r="CM124" s="21">
        <f>EXP(-LN(2)/2)*CM123+(1-EXP(-LN(2)/2))/(LN(2)/2)*CG124*CJ124*VLOOKUP('Données projet'!$B$12,Paramètres!$A$1:$I$89,3,0)*0.475*44/12</f>
        <v>4.3316136356475631E-13</v>
      </c>
      <c r="CN124" s="22">
        <f t="shared" si="66"/>
        <v>1.3023044048638344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1">
        <f t="shared" si="86"/>
        <v>18.829683939536395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67">
        <f t="shared" si="56"/>
        <v>442.14426619469248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-1.2505552149377763E-12</v>
      </c>
      <c r="O125" s="13">
        <f>N125*VLOOKUP('Données projet'!$B$9,Paramètres!$A$1:$I$89,3,0)*VLOOKUP('Données projet'!$B$9,Paramètres!$A$1:$I$89,5,0)</f>
        <v>-6.9906036515021697E-13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446.28010102877403</v>
      </c>
      <c r="T125" s="59">
        <f t="shared" si="88"/>
        <v>445.84011537290456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1.8466391532158704</v>
      </c>
      <c r="AA125" s="21">
        <f>EXP(-LN(2)/25)*AA124+(1-EXP(-LN(2)/25))/(LN(2)/25)*Calculateur!V125*Calculateur!X125*VLOOKUP('Données projet'!$B$9,Paramètres!$A$1:$I$89,3,0)*0.475*44/12</f>
        <v>3.0240347307237117</v>
      </c>
      <c r="AB125" s="21">
        <f>EXP(-LN(2)/2)*AB124+(1-EXP(-LN(2)/2))/(LN(2)/2)*V125*Y125*VLOOKUP('Données projet'!$B$9,Paramètres!$A$1:$I$89,3,0)*0.475*44/12</f>
        <v>5.1829674923502148E-13</v>
      </c>
      <c r="AC125" s="22">
        <f t="shared" si="57"/>
        <v>4.8706738839401007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>
        <f>AI125*VLOOKUP('Données projet'!$B$10,Paramètres!$A$1:$I$89,3,0)*VLOOKUP('Données projet'!$B$10,Paramètres!$A$1:$I$89,5,0)</f>
        <v>0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285.77483300338548</v>
      </c>
      <c r="AO125" s="59">
        <f t="shared" si="90"/>
        <v>320.55212417690637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1.3492568527513822</v>
      </c>
      <c r="AV125" s="21">
        <f>EXP(-LN(2)/25)*AV124+(1-EXP(-LN(2)/25))/(LN(2)/25)*Calculateur!AQ125*Calculateur!AS125*VLOOKUP('Données projet'!$B$10,Paramètres!$A$1:$I$89,3,0)*0.475*44/12</f>
        <v>2.1744254535040084</v>
      </c>
      <c r="AW125" s="21">
        <f>EXP(-LN(2)/2)*AW124+(1-EXP(-LN(2)/2))/(LN(2)/2)*AQ125*AT125*VLOOKUP('Données projet'!$B$10,Paramètres!$A$1:$I$89,3,0)*0.475*44/12</f>
        <v>3.4676178212452953E-13</v>
      </c>
      <c r="AX125" s="21">
        <f t="shared" si="60"/>
        <v>3.5236823062557376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-7.9580786405131221E-13</v>
      </c>
      <c r="BE125" s="13">
        <f>BD125*VLOOKUP('Données projet'!$B$11,Paramètres!$A$1:$I$89,3,0)*VLOOKUP('Données projet'!$B$11,Paramètres!$A$1:$I$89,5,0)</f>
        <v>-3.8278358260868117E-13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402.22278907877927</v>
      </c>
      <c r="BJ125" s="59">
        <f t="shared" si="92"/>
        <v>393.06397734082458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4.4944301548557366</v>
      </c>
      <c r="BQ125" s="21">
        <f>EXP(-LN(2)/25)*BQ124+(1-EXP(-LN(2)/25))/(LN(2)/25)*Calculateur!BL125*Calculateur!BN125*VLOOKUP('Données projet'!$B$11,Paramètres!$A$1:$I$89,3,0)*0.475*44/12</f>
        <v>3.5180034693900875</v>
      </c>
      <c r="BR125" s="21">
        <f>EXP(-LN(2)/2)*BR124+(1-EXP(-LN(2)/2))/(LN(2)/2)*BL125*BO125*VLOOKUP('Données projet'!$B$11,Paramètres!$A$1:$I$89,3,0)*0.475*44/12</f>
        <v>1.2571258499647207E-11</v>
      </c>
      <c r="BS125" s="22">
        <f t="shared" si="63"/>
        <v>8.0124336242583958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-3.4106051316484809E-13</v>
      </c>
      <c r="BZ125" s="13">
        <f>BY125*VLOOKUP('Données projet'!$B$12,Paramètres!$A$1:$I$89,3,0)*VLOOKUP('Données projet'!$B$12,Paramètres!$A$1:$I$89,5,0)</f>
        <v>-3.0859155231155454E-13</v>
      </c>
      <c r="CA125" s="13" t="e">
        <f t="shared" si="93"/>
        <v>#NUM!</v>
      </c>
      <c r="CB125" s="20" t="e">
        <f t="shared" si="64"/>
        <v>#NUM!</v>
      </c>
      <c r="CC125" s="59" t="e">
        <f t="shared" si="65"/>
        <v>#NUM!</v>
      </c>
      <c r="CD125" s="59">
        <f ca="1">AVERAGE(OFFSET($CC$3,0,0,'Données projet'!$E$12+1,1))-AVERAGE(OFFSET($H$3,0,0,'Données projet'!$E$12+1,1))</f>
        <v>363.51171608224735</v>
      </c>
      <c r="CE125" s="59">
        <f t="shared" si="94"/>
        <v>257.9239334647138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0.38947298504189176</v>
      </c>
      <c r="CL125" s="21">
        <f>EXP(-LN(2)/25)*CL124+(1-EXP(-LN(2)/25))/(LN(2)/25)*Calculateur!CG125*Calculateur!CI125*VLOOKUP('Données projet'!$B$12,Paramètres!$A$1:$I$89,3,0)*0.475*44/12</f>
        <v>0.88029293044159707</v>
      </c>
      <c r="CM125" s="21">
        <f>EXP(-LN(2)/2)*CM124+(1-EXP(-LN(2)/2))/(LN(2)/2)*CG125*CJ125*VLOOKUP('Données projet'!$B$12,Paramètres!$A$1:$I$89,3,0)*0.475*44/12</f>
        <v>3.0629133752465069E-13</v>
      </c>
      <c r="CN125" s="22">
        <f t="shared" si="66"/>
        <v>1.269765915483795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1">
        <f t="shared" si="86"/>
        <v>18.965995379979955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67">
        <f t="shared" si="56"/>
        <v>443.33262528679836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-1.2505552149377763E-12</v>
      </c>
      <c r="O126" s="13">
        <f>N126*VLOOKUP('Données projet'!$B$9,Paramètres!$A$1:$I$89,3,0)*VLOOKUP('Données projet'!$B$9,Paramètres!$A$1:$I$89,5,0)</f>
        <v>-6.9906036515021697E-13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446.28010102877403</v>
      </c>
      <c r="T126" s="59">
        <f t="shared" si="88"/>
        <v>445.84011537290456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1.8104276857599739</v>
      </c>
      <c r="AA126" s="21">
        <f>EXP(-LN(2)/25)*AA125+(1-EXP(-LN(2)/25))/(LN(2)/25)*Calculateur!V126*Calculateur!X126*VLOOKUP('Données projet'!$B$9,Paramètres!$A$1:$I$89,3,0)*0.475*44/12</f>
        <v>2.9413423419849969</v>
      </c>
      <c r="AB126" s="21">
        <f>EXP(-LN(2)/2)*AB125+(1-EXP(-LN(2)/2))/(LN(2)/2)*V126*Y126*VLOOKUP('Données projet'!$B$9,Paramètres!$A$1:$I$89,3,0)*0.475*44/12</f>
        <v>3.6649114605102723E-13</v>
      </c>
      <c r="AC126" s="22">
        <f t="shared" si="57"/>
        <v>4.7517700277453381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>
        <f>AI126*VLOOKUP('Données projet'!$B$10,Paramètres!$A$1:$I$89,3,0)*VLOOKUP('Données projet'!$B$10,Paramètres!$A$1:$I$89,5,0)</f>
        <v>0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285.77483300338548</v>
      </c>
      <c r="AO126" s="59">
        <f t="shared" si="90"/>
        <v>320.55212417690637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1.3227987488343467</v>
      </c>
      <c r="AV126" s="21">
        <f>EXP(-LN(2)/25)*AV125+(1-EXP(-LN(2)/25))/(LN(2)/25)*Calculateur!AQ126*Calculateur!AS126*VLOOKUP('Données projet'!$B$10,Paramètres!$A$1:$I$89,3,0)*0.475*44/12</f>
        <v>2.1149656751298762</v>
      </c>
      <c r="AW126" s="21">
        <f>EXP(-LN(2)/2)*AW125+(1-EXP(-LN(2)/2))/(LN(2)/2)*AQ126*AT126*VLOOKUP('Données projet'!$B$10,Paramètres!$A$1:$I$89,3,0)*0.475*44/12</f>
        <v>2.4519760759658697E-13</v>
      </c>
      <c r="AX126" s="21">
        <f t="shared" si="60"/>
        <v>3.437764423964468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-7.9580786405131221E-13</v>
      </c>
      <c r="BE126" s="13">
        <f>BD126*VLOOKUP('Données projet'!$B$11,Paramètres!$A$1:$I$89,3,0)*VLOOKUP('Données projet'!$B$11,Paramètres!$A$1:$I$89,5,0)</f>
        <v>-3.8278358260868117E-13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402.22278907877927</v>
      </c>
      <c r="BJ126" s="59">
        <f t="shared" si="92"/>
        <v>393.06397734082458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4.4062971208507262</v>
      </c>
      <c r="BQ126" s="21">
        <f>EXP(-LN(2)/25)*BQ125+(1-EXP(-LN(2)/25))/(LN(2)/25)*Calculateur!BL126*Calculateur!BN126*VLOOKUP('Données projet'!$B$11,Paramètres!$A$1:$I$89,3,0)*0.475*44/12</f>
        <v>3.4218034795158534</v>
      </c>
      <c r="BR126" s="21">
        <f>EXP(-LN(2)/2)*BR125+(1-EXP(-LN(2)/2))/(LN(2)/2)*BL126*BO126*VLOOKUP('Données projet'!$B$11,Paramètres!$A$1:$I$89,3,0)*0.475*44/12</f>
        <v>8.8892221331495631E-12</v>
      </c>
      <c r="BS126" s="22">
        <f t="shared" si="63"/>
        <v>7.8281006003754685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-3.4106051316484809E-13</v>
      </c>
      <c r="BZ126" s="13">
        <f>BY126*VLOOKUP('Données projet'!$B$12,Paramètres!$A$1:$I$89,3,0)*VLOOKUP('Données projet'!$B$12,Paramètres!$A$1:$I$89,5,0)</f>
        <v>-3.0859155231155454E-13</v>
      </c>
      <c r="CA126" s="13" t="e">
        <f t="shared" si="93"/>
        <v>#NUM!</v>
      </c>
      <c r="CB126" s="20" t="e">
        <f t="shared" si="64"/>
        <v>#NUM!</v>
      </c>
      <c r="CC126" s="59" t="e">
        <f t="shared" si="65"/>
        <v>#NUM!</v>
      </c>
      <c r="CD126" s="59">
        <f ca="1">AVERAGE(OFFSET($CC$3,0,0,'Données projet'!$E$12+1,1))-AVERAGE(OFFSET($H$3,0,0,'Données projet'!$E$12+1,1))</f>
        <v>363.51171608224735</v>
      </c>
      <c r="CE126" s="59">
        <f t="shared" si="94"/>
        <v>257.9239334647138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0.38183565736028452</v>
      </c>
      <c r="CL126" s="21">
        <f>EXP(-LN(2)/25)*CL125+(1-EXP(-LN(2)/25))/(LN(2)/25)*Calculateur!CG126*Calculateur!CI126*VLOOKUP('Données projet'!$B$12,Paramètres!$A$1:$I$89,3,0)*0.475*44/12</f>
        <v>0.85622127396607828</v>
      </c>
      <c r="CM126" s="21">
        <f>EXP(-LN(2)/2)*CM125+(1-EXP(-LN(2)/2))/(LN(2)/2)*CG126*CJ126*VLOOKUP('Données projet'!$B$12,Paramètres!$A$1:$I$89,3,0)*0.475*44/12</f>
        <v>2.1658068178237815E-13</v>
      </c>
      <c r="CN126" s="22">
        <f t="shared" si="66"/>
        <v>1.2380569313265792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1">
        <f t="shared" si="86"/>
        <v>19.102177882771514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67">
        <f t="shared" si="56"/>
        <v>444.52075981249368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-1.2505552149377763E-12</v>
      </c>
      <c r="O127" s="13">
        <f>N127*VLOOKUP('Données projet'!$B$9,Paramètres!$A$1:$I$89,3,0)*VLOOKUP('Données projet'!$B$9,Paramètres!$A$1:$I$89,5,0)</f>
        <v>-6.9906036515021697E-13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446.28010102877403</v>
      </c>
      <c r="T127" s="59">
        <f t="shared" si="88"/>
        <v>445.84011537290456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1.7749263030940734</v>
      </c>
      <c r="AA127" s="21">
        <f>EXP(-LN(2)/25)*AA126+(1-EXP(-LN(2)/25))/(LN(2)/25)*Calculateur!V127*Calculateur!X127*VLOOKUP('Données projet'!$B$9,Paramètres!$A$1:$I$89,3,0)*0.475*44/12</f>
        <v>2.8609111809649459</v>
      </c>
      <c r="AB127" s="21">
        <f>EXP(-LN(2)/2)*AB126+(1-EXP(-LN(2)/2))/(LN(2)/2)*V127*Y127*VLOOKUP('Données projet'!$B$9,Paramètres!$A$1:$I$89,3,0)*0.475*44/12</f>
        <v>2.5914837461751074E-13</v>
      </c>
      <c r="AC127" s="22">
        <f t="shared" si="57"/>
        <v>4.6358374840592784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>
        <f>AI127*VLOOKUP('Données projet'!$B$10,Paramètres!$A$1:$I$89,3,0)*VLOOKUP('Données projet'!$B$10,Paramètres!$A$1:$I$89,5,0)</f>
        <v>0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285.77483300338548</v>
      </c>
      <c r="AO127" s="59">
        <f t="shared" si="90"/>
        <v>320.55212417690637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1.2968594721972744</v>
      </c>
      <c r="AV127" s="21">
        <f>EXP(-LN(2)/25)*AV126+(1-EXP(-LN(2)/25))/(LN(2)/25)*Calculateur!AQ127*Calculateur!AS127*VLOOKUP('Données projet'!$B$10,Paramètres!$A$1:$I$89,3,0)*0.475*44/12</f>
        <v>2.0571318275222388</v>
      </c>
      <c r="AW127" s="21">
        <f>EXP(-LN(2)/2)*AW126+(1-EXP(-LN(2)/2))/(LN(2)/2)*AQ127*AT127*VLOOKUP('Données projet'!$B$10,Paramètres!$A$1:$I$89,3,0)*0.475*44/12</f>
        <v>1.7338089106226477E-13</v>
      </c>
      <c r="AX127" s="21">
        <f t="shared" si="60"/>
        <v>3.3539912997196861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-7.9580786405131221E-13</v>
      </c>
      <c r="BE127" s="13">
        <f>BD127*VLOOKUP('Données projet'!$B$11,Paramètres!$A$1:$I$89,3,0)*VLOOKUP('Données projet'!$B$11,Paramètres!$A$1:$I$89,5,0)</f>
        <v>-3.8278358260868117E-13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402.22278907877927</v>
      </c>
      <c r="BJ127" s="59">
        <f t="shared" si="92"/>
        <v>393.06397734082458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4.3198923218867114</v>
      </c>
      <c r="BQ127" s="21">
        <f>EXP(-LN(2)/25)*BQ126+(1-EXP(-LN(2)/25))/(LN(2)/25)*Calculateur!BL127*Calculateur!BN127*VLOOKUP('Données projet'!$B$11,Paramètres!$A$1:$I$89,3,0)*0.475*44/12</f>
        <v>3.3282340834236681</v>
      </c>
      <c r="BR127" s="21">
        <f>EXP(-LN(2)/2)*BR126+(1-EXP(-LN(2)/2))/(LN(2)/2)*BL127*BO127*VLOOKUP('Données projet'!$B$11,Paramètres!$A$1:$I$89,3,0)*0.475*44/12</f>
        <v>6.2856292498236034E-12</v>
      </c>
      <c r="BS127" s="22">
        <f t="shared" si="63"/>
        <v>7.6481264053166651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-3.4106051316484809E-13</v>
      </c>
      <c r="BZ127" s="13">
        <f>BY127*VLOOKUP('Données projet'!$B$12,Paramètres!$A$1:$I$89,3,0)*VLOOKUP('Données projet'!$B$12,Paramètres!$A$1:$I$89,5,0)</f>
        <v>-3.0859155231155454E-13</v>
      </c>
      <c r="CA127" s="13" t="e">
        <f t="shared" si="93"/>
        <v>#NUM!</v>
      </c>
      <c r="CB127" s="20" t="e">
        <f t="shared" si="64"/>
        <v>#NUM!</v>
      </c>
      <c r="CC127" s="59" t="e">
        <f t="shared" si="65"/>
        <v>#NUM!</v>
      </c>
      <c r="CD127" s="59">
        <f ca="1">AVERAGE(OFFSET($CC$3,0,0,'Données projet'!$E$12+1,1))-AVERAGE(OFFSET($H$3,0,0,'Données projet'!$E$12+1,1))</f>
        <v>363.51171608224735</v>
      </c>
      <c r="CE127" s="59">
        <f t="shared" si="94"/>
        <v>257.9239334647138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0.3743480930162037</v>
      </c>
      <c r="CL127" s="21">
        <f>EXP(-LN(2)/25)*CL126+(1-EXP(-LN(2)/25))/(LN(2)/25)*Calculateur!CG127*Calculateur!CI127*VLOOKUP('Données projet'!$B$12,Paramètres!$A$1:$I$89,3,0)*0.475*44/12</f>
        <v>0.83280785820275594</v>
      </c>
      <c r="CM127" s="21">
        <f>EXP(-LN(2)/2)*CM126+(1-EXP(-LN(2)/2))/(LN(2)/2)*CG127*CJ127*VLOOKUP('Données projet'!$B$12,Paramètres!$A$1:$I$89,3,0)*0.475*44/12</f>
        <v>1.5314566876232535E-13</v>
      </c>
      <c r="CN127" s="22">
        <f t="shared" si="66"/>
        <v>1.2071559512191128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1">
        <f t="shared" si="86"/>
        <v>19.238232608246435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67">
        <f t="shared" si="56"/>
        <v>445.70867179269578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-1.2505552149377763E-12</v>
      </c>
      <c r="O128" s="13">
        <f>N128*VLOOKUP('Données projet'!$B$9,Paramètres!$A$1:$I$89,3,0)*VLOOKUP('Données projet'!$B$9,Paramètres!$A$1:$I$89,5,0)</f>
        <v>-6.9906036515021697E-13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446.28010102877403</v>
      </c>
      <c r="T128" s="59">
        <f t="shared" si="88"/>
        <v>445.84011537290456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1.7401210808885459</v>
      </c>
      <c r="AA128" s="21">
        <f>EXP(-LN(2)/25)*AA127+(1-EXP(-LN(2)/25))/(LN(2)/25)*Calculateur!V128*Calculateur!X128*VLOOKUP('Données projet'!$B$9,Paramètres!$A$1:$I$89,3,0)*0.475*44/12</f>
        <v>2.7826794142726792</v>
      </c>
      <c r="AB128" s="21">
        <f>EXP(-LN(2)/2)*AB127+(1-EXP(-LN(2)/2))/(LN(2)/2)*V128*Y128*VLOOKUP('Données projet'!$B$9,Paramètres!$A$1:$I$89,3,0)*0.475*44/12</f>
        <v>1.8324557302551361E-13</v>
      </c>
      <c r="AC128" s="22">
        <f t="shared" si="57"/>
        <v>4.522800495161408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>
        <f>AI128*VLOOKUP('Données projet'!$B$10,Paramètres!$A$1:$I$89,3,0)*VLOOKUP('Données projet'!$B$10,Paramètres!$A$1:$I$89,5,0)</f>
        <v>0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285.77483300338548</v>
      </c>
      <c r="AO128" s="59">
        <f t="shared" si="90"/>
        <v>320.55212417690637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1.2714288489536585</v>
      </c>
      <c r="AV128" s="21">
        <f>EXP(-LN(2)/25)*AV127+(1-EXP(-LN(2)/25))/(LN(2)/25)*Calculateur!AQ128*Calculateur!AS128*VLOOKUP('Données projet'!$B$10,Paramètres!$A$1:$I$89,3,0)*0.475*44/12</f>
        <v>2.000879449518782</v>
      </c>
      <c r="AW128" s="21">
        <f>EXP(-LN(2)/2)*AW127+(1-EXP(-LN(2)/2))/(LN(2)/2)*AQ128*AT128*VLOOKUP('Données projet'!$B$10,Paramètres!$A$1:$I$89,3,0)*0.475*44/12</f>
        <v>1.2259880379829348E-13</v>
      </c>
      <c r="AX128" s="21">
        <f t="shared" si="60"/>
        <v>3.2723082984725629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-7.9580786405131221E-13</v>
      </c>
      <c r="BE128" s="13">
        <f>BD128*VLOOKUP('Données projet'!$B$11,Paramètres!$A$1:$I$89,3,0)*VLOOKUP('Données projet'!$B$11,Paramètres!$A$1:$I$89,5,0)</f>
        <v>-3.8278358260868117E-13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402.22278907877927</v>
      </c>
      <c r="BJ128" s="59">
        <f t="shared" si="92"/>
        <v>393.06397734082458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4.2351818683286568</v>
      </c>
      <c r="BQ128" s="21">
        <f>EXP(-LN(2)/25)*BQ127+(1-EXP(-LN(2)/25))/(LN(2)/25)*Calculateur!BL128*Calculateur!BN128*VLOOKUP('Données projet'!$B$11,Paramètres!$A$1:$I$89,3,0)*0.475*44/12</f>
        <v>3.2372233473882241</v>
      </c>
      <c r="BR128" s="21">
        <f>EXP(-LN(2)/2)*BR127+(1-EXP(-LN(2)/2))/(LN(2)/2)*BL128*BO128*VLOOKUP('Données projet'!$B$11,Paramètres!$A$1:$I$89,3,0)*0.475*44/12</f>
        <v>4.4446110665747816E-12</v>
      </c>
      <c r="BS128" s="22">
        <f t="shared" si="63"/>
        <v>7.4724052157213254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-3.4106051316484809E-13</v>
      </c>
      <c r="BZ128" s="13">
        <f>BY128*VLOOKUP('Données projet'!$B$12,Paramètres!$A$1:$I$89,3,0)*VLOOKUP('Données projet'!$B$12,Paramètres!$A$1:$I$89,5,0)</f>
        <v>-3.0859155231155454E-13</v>
      </c>
      <c r="CA128" s="13" t="e">
        <f t="shared" si="93"/>
        <v>#NUM!</v>
      </c>
      <c r="CB128" s="20" t="e">
        <f t="shared" si="64"/>
        <v>#NUM!</v>
      </c>
      <c r="CC128" s="59" t="e">
        <f t="shared" si="65"/>
        <v>#NUM!</v>
      </c>
      <c r="CD128" s="59">
        <f ca="1">AVERAGE(OFFSET($CC$3,0,0,'Données projet'!$E$12+1,1))-AVERAGE(OFFSET($H$3,0,0,'Données projet'!$E$12+1,1))</f>
        <v>363.51171608224735</v>
      </c>
      <c r="CE128" s="59">
        <f t="shared" si="94"/>
        <v>257.9239334647138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0.367007355241947</v>
      </c>
      <c r="CL128" s="21">
        <f>EXP(-LN(2)/25)*CL127+(1-EXP(-LN(2)/25))/(LN(2)/25)*Calculateur!CG128*Calculateur!CI128*VLOOKUP('Données projet'!$B$12,Paramètres!$A$1:$I$89,3,0)*0.475*44/12</f>
        <v>0.81003468352473973</v>
      </c>
      <c r="CM128" s="21">
        <f>EXP(-LN(2)/2)*CM127+(1-EXP(-LN(2)/2))/(LN(2)/2)*CG128*CJ128*VLOOKUP('Données projet'!$B$12,Paramètres!$A$1:$I$89,3,0)*0.475*44/12</f>
        <v>1.0829034089118908E-13</v>
      </c>
      <c r="CN128" s="22">
        <f t="shared" si="66"/>
        <v>1.177042038766795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1">
        <f t="shared" si="86"/>
        <v>19.374160697102734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67">
        <f t="shared" si="56"/>
        <v>446.89636321412058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-1.2505552149377763E-12</v>
      </c>
      <c r="O129" s="13">
        <f>N129*VLOOKUP('Données projet'!$B$9,Paramètres!$A$1:$I$89,3,0)*VLOOKUP('Données projet'!$B$9,Paramètres!$A$1:$I$89,5,0)</f>
        <v>-6.9906036515021697E-13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446.28010102877403</v>
      </c>
      <c r="T129" s="59">
        <f t="shared" si="88"/>
        <v>445.84011537290456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1.7059983678613793</v>
      </c>
      <c r="AA129" s="21">
        <f>EXP(-LN(2)/25)*AA128+(1-EXP(-LN(2)/25))/(LN(2)/25)*Calculateur!V129*Calculateur!X129*VLOOKUP('Données projet'!$B$9,Paramètres!$A$1:$I$89,3,0)*0.475*44/12</f>
        <v>2.7065868993546425</v>
      </c>
      <c r="AB129" s="21">
        <f>EXP(-LN(2)/2)*AB128+(1-EXP(-LN(2)/2))/(LN(2)/2)*V129*Y129*VLOOKUP('Données projet'!$B$9,Paramètres!$A$1:$I$89,3,0)*0.475*44/12</f>
        <v>1.2957418730875537E-13</v>
      </c>
      <c r="AC129" s="22">
        <f t="shared" si="57"/>
        <v>4.4125852672161514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>
        <f>AI129*VLOOKUP('Données projet'!$B$10,Paramètres!$A$1:$I$89,3,0)*VLOOKUP('Données projet'!$B$10,Paramètres!$A$1:$I$89,5,0)</f>
        <v>0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285.77483300338548</v>
      </c>
      <c r="AO129" s="59">
        <f t="shared" si="90"/>
        <v>320.55212417690637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1.2464969047207013</v>
      </c>
      <c r="AV129" s="21">
        <f>EXP(-LN(2)/25)*AV128+(1-EXP(-LN(2)/25))/(LN(2)/25)*Calculateur!AQ129*Calculateur!AS129*VLOOKUP('Données projet'!$B$10,Paramètres!$A$1:$I$89,3,0)*0.475*44/12</f>
        <v>1.9461652957500137</v>
      </c>
      <c r="AW129" s="21">
        <f>EXP(-LN(2)/2)*AW128+(1-EXP(-LN(2)/2))/(LN(2)/2)*AQ129*AT129*VLOOKUP('Données projet'!$B$10,Paramètres!$A$1:$I$89,3,0)*0.475*44/12</f>
        <v>8.6690445531132383E-14</v>
      </c>
      <c r="AX129" s="21">
        <f t="shared" si="60"/>
        <v>3.1926622004708016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-7.9580786405131221E-13</v>
      </c>
      <c r="BE129" s="13">
        <f>BD129*VLOOKUP('Données projet'!$B$11,Paramètres!$A$1:$I$89,3,0)*VLOOKUP('Données projet'!$B$11,Paramètres!$A$1:$I$89,5,0)</f>
        <v>-3.8278358260868117E-13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402.22278907877927</v>
      </c>
      <c r="BJ129" s="59">
        <f t="shared" si="92"/>
        <v>393.06397734082458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4.1521325350966007</v>
      </c>
      <c r="BQ129" s="21">
        <f>EXP(-LN(2)/25)*BQ128+(1-EXP(-LN(2)/25))/(LN(2)/25)*Calculateur!BL129*Calculateur!BN129*VLOOKUP('Données projet'!$B$11,Paramètres!$A$1:$I$89,3,0)*0.475*44/12</f>
        <v>3.1487013047157162</v>
      </c>
      <c r="BR129" s="21">
        <f>EXP(-LN(2)/2)*BR128+(1-EXP(-LN(2)/2))/(LN(2)/2)*BL129*BO129*VLOOKUP('Données projet'!$B$11,Paramètres!$A$1:$I$89,3,0)*0.475*44/12</f>
        <v>3.1428146249118017E-12</v>
      </c>
      <c r="BS129" s="22">
        <f t="shared" si="63"/>
        <v>7.3008338398154589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-3.4106051316484809E-13</v>
      </c>
      <c r="BZ129" s="13">
        <f>BY129*VLOOKUP('Données projet'!$B$12,Paramètres!$A$1:$I$89,3,0)*VLOOKUP('Données projet'!$B$12,Paramètres!$A$1:$I$89,5,0)</f>
        <v>-3.0859155231155454E-13</v>
      </c>
      <c r="CA129" s="13" t="e">
        <f t="shared" si="93"/>
        <v>#NUM!</v>
      </c>
      <c r="CB129" s="20" t="e">
        <f t="shared" si="64"/>
        <v>#NUM!</v>
      </c>
      <c r="CC129" s="59" t="e">
        <f t="shared" si="65"/>
        <v>#NUM!</v>
      </c>
      <c r="CD129" s="59">
        <f ca="1">AVERAGE(OFFSET($CC$3,0,0,'Données projet'!$E$12+1,1))-AVERAGE(OFFSET($H$3,0,0,'Données projet'!$E$12+1,1))</f>
        <v>363.51171608224735</v>
      </c>
      <c r="CE129" s="59">
        <f t="shared" si="94"/>
        <v>257.9239334647138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0.35981056485803553</v>
      </c>
      <c r="CL129" s="21">
        <f>EXP(-LN(2)/25)*CL128+(1-EXP(-LN(2)/25))/(LN(2)/25)*Calculateur!CG129*Calculateur!CI129*VLOOKUP('Données projet'!$B$12,Paramètres!$A$1:$I$89,3,0)*0.475*44/12</f>
        <v>0.78788424250588307</v>
      </c>
      <c r="CM129" s="21">
        <f>EXP(-LN(2)/2)*CM128+(1-EXP(-LN(2)/2))/(LN(2)/2)*CG129*CJ129*VLOOKUP('Données projet'!$B$12,Paramètres!$A$1:$I$89,3,0)*0.475*44/12</f>
        <v>7.6572834381162674E-14</v>
      </c>
      <c r="CN129" s="22">
        <f t="shared" si="66"/>
        <v>1.1476948073639952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1">
        <f t="shared" si="86"/>
        <v>19.509963270886551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67">
        <f t="shared" si="56"/>
        <v>448.08383603012737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-1.2505552149377763E-12</v>
      </c>
      <c r="O130" s="13">
        <f>N130*VLOOKUP('Données projet'!$B$9,Paramètres!$A$1:$I$89,3,0)*VLOOKUP('Données projet'!$B$9,Paramètres!$A$1:$I$89,5,0)</f>
        <v>-6.9906036515021697E-13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446.28010102877403</v>
      </c>
      <c r="T130" s="59">
        <f t="shared" si="88"/>
        <v>445.84011537290456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1.6725447804238756</v>
      </c>
      <c r="AA130" s="21">
        <f>EXP(-LN(2)/25)*AA129+(1-EXP(-LN(2)/25))/(LN(2)/25)*Calculateur!V130*Calculateur!X130*VLOOKUP('Données projet'!$B$9,Paramètres!$A$1:$I$89,3,0)*0.475*44/12</f>
        <v>2.6325751382585709</v>
      </c>
      <c r="AB130" s="21">
        <f>EXP(-LN(2)/2)*AB129+(1-EXP(-LN(2)/2))/(LN(2)/2)*V130*Y130*VLOOKUP('Données projet'!$B$9,Paramètres!$A$1:$I$89,3,0)*0.475*44/12</f>
        <v>9.1622786512756807E-14</v>
      </c>
      <c r="AC130" s="22">
        <f t="shared" si="57"/>
        <v>4.3051199186825384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>
        <f>AI130*VLOOKUP('Données projet'!$B$10,Paramètres!$A$1:$I$89,3,0)*VLOOKUP('Données projet'!$B$10,Paramètres!$A$1:$I$89,5,0)</f>
        <v>0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285.77483300338548</v>
      </c>
      <c r="AO130" s="59">
        <f t="shared" si="90"/>
        <v>320.55212417690637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1.222053860707168</v>
      </c>
      <c r="AV130" s="21">
        <f>EXP(-LN(2)/25)*AV129+(1-EXP(-LN(2)/25))/(LN(2)/25)*Calculateur!AQ130*Calculateur!AS130*VLOOKUP('Données projet'!$B$10,Paramètres!$A$1:$I$89,3,0)*0.475*44/12</f>
        <v>1.8929473033933448</v>
      </c>
      <c r="AW130" s="21">
        <f>EXP(-LN(2)/2)*AW129+(1-EXP(-LN(2)/2))/(LN(2)/2)*AQ130*AT130*VLOOKUP('Données projet'!$B$10,Paramètres!$A$1:$I$89,3,0)*0.475*44/12</f>
        <v>6.1299401899146741E-14</v>
      </c>
      <c r="AX130" s="21">
        <f t="shared" si="60"/>
        <v>3.1150011641005744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-7.9580786405131221E-13</v>
      </c>
      <c r="BE130" s="13">
        <f>BD130*VLOOKUP('Données projet'!$B$11,Paramètres!$A$1:$I$89,3,0)*VLOOKUP('Données projet'!$B$11,Paramètres!$A$1:$I$89,5,0)</f>
        <v>-3.8278358260868117E-13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402.22278907877927</v>
      </c>
      <c r="BJ130" s="59">
        <f t="shared" si="92"/>
        <v>393.06397734082458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4.0707117486341344</v>
      </c>
      <c r="BQ130" s="21">
        <f>EXP(-LN(2)/25)*BQ129+(1-EXP(-LN(2)/25))/(LN(2)/25)*Calculateur!BL130*Calculateur!BN130*VLOOKUP('Données projet'!$B$11,Paramètres!$A$1:$I$89,3,0)*0.475*44/12</f>
        <v>3.0625999019552599</v>
      </c>
      <c r="BR130" s="21">
        <f>EXP(-LN(2)/2)*BR129+(1-EXP(-LN(2)/2))/(LN(2)/2)*BL130*BO130*VLOOKUP('Données projet'!$B$11,Paramètres!$A$1:$I$89,3,0)*0.475*44/12</f>
        <v>2.2223055332873908E-12</v>
      </c>
      <c r="BS130" s="22">
        <f t="shared" si="63"/>
        <v>7.133311650591617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-3.4106051316484809E-13</v>
      </c>
      <c r="BZ130" s="13">
        <f>BY130*VLOOKUP('Données projet'!$B$12,Paramètres!$A$1:$I$89,3,0)*VLOOKUP('Données projet'!$B$12,Paramètres!$A$1:$I$89,5,0)</f>
        <v>-3.0859155231155454E-13</v>
      </c>
      <c r="CA130" s="13" t="e">
        <f t="shared" si="93"/>
        <v>#NUM!</v>
      </c>
      <c r="CB130" s="20" t="e">
        <f t="shared" si="64"/>
        <v>#NUM!</v>
      </c>
      <c r="CC130" s="59" t="e">
        <f t="shared" si="65"/>
        <v>#NUM!</v>
      </c>
      <c r="CD130" s="59">
        <f ca="1">AVERAGE(OFFSET($CC$3,0,0,'Données projet'!$E$12+1,1))-AVERAGE(OFFSET($H$3,0,0,'Données projet'!$E$12+1,1))</f>
        <v>363.51171608224735</v>
      </c>
      <c r="CE130" s="59">
        <f t="shared" si="94"/>
        <v>257.9239334647138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0.35275489914394387</v>
      </c>
      <c r="CL130" s="21">
        <f>EXP(-LN(2)/25)*CL129+(1-EXP(-LN(2)/25))/(LN(2)/25)*Calculateur!CG130*Calculateur!CI130*VLOOKUP('Données projet'!$B$12,Paramètres!$A$1:$I$89,3,0)*0.475*44/12</f>
        <v>0.76633950646152815</v>
      </c>
      <c r="CM130" s="21">
        <f>EXP(-LN(2)/2)*CM129+(1-EXP(-LN(2)/2))/(LN(2)/2)*CG130*CJ130*VLOOKUP('Données projet'!$B$12,Paramètres!$A$1:$I$89,3,0)*0.475*44/12</f>
        <v>5.4145170445594539E-14</v>
      </c>
      <c r="CN130" s="22">
        <f t="shared" si="66"/>
        <v>1.1190944056055261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1">
        <f t="shared" si="86"/>
        <v>19.645641432461961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67">
        <f t="shared" si="56"/>
        <v>449.27109216153792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-1.2505552149377763E-12</v>
      </c>
      <c r="O131" s="13">
        <f>N131*VLOOKUP('Données projet'!$B$9,Paramètres!$A$1:$I$89,3,0)*VLOOKUP('Données projet'!$B$9,Paramètres!$A$1:$I$89,5,0)</f>
        <v>-6.9906036515021697E-13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446.28010102877403</v>
      </c>
      <c r="T131" s="59">
        <f t="shared" si="88"/>
        <v>445.84011537290456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1.6397471974313478</v>
      </c>
      <c r="AA131" s="21">
        <f>EXP(-LN(2)/25)*AA130+(1-EXP(-LN(2)/25))/(LN(2)/25)*Calculateur!V131*Calculateur!X131*VLOOKUP('Données projet'!$B$9,Paramètres!$A$1:$I$89,3,0)*0.475*44/12</f>
        <v>2.5605872326617805</v>
      </c>
      <c r="AB131" s="21">
        <f>EXP(-LN(2)/2)*AB130+(1-EXP(-LN(2)/2))/(LN(2)/2)*V131*Y131*VLOOKUP('Données projet'!$B$9,Paramètres!$A$1:$I$89,3,0)*0.475*44/12</f>
        <v>6.4787093654377685E-14</v>
      </c>
      <c r="AC131" s="22">
        <f t="shared" si="57"/>
        <v>4.2003344300931929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>
        <f>AI131*VLOOKUP('Données projet'!$B$10,Paramètres!$A$1:$I$89,3,0)*VLOOKUP('Données projet'!$B$10,Paramètres!$A$1:$I$89,5,0)</f>
        <v>0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285.77483300338548</v>
      </c>
      <c r="AO131" s="59">
        <f t="shared" si="90"/>
        <v>320.55212417690637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1.1980901298779554</v>
      </c>
      <c r="AV131" s="21">
        <f>EXP(-LN(2)/25)*AV130+(1-EXP(-LN(2)/25))/(LN(2)/25)*Calculateur!AQ131*Calculateur!AS131*VLOOKUP('Données projet'!$B$10,Paramètres!$A$1:$I$89,3,0)*0.475*44/12</f>
        <v>1.8411845598362815</v>
      </c>
      <c r="AW131" s="21">
        <f>EXP(-LN(2)/2)*AW130+(1-EXP(-LN(2)/2))/(LN(2)/2)*AQ131*AT131*VLOOKUP('Données projet'!$B$10,Paramètres!$A$1:$I$89,3,0)*0.475*44/12</f>
        <v>4.3345222765566191E-14</v>
      </c>
      <c r="AX131" s="21">
        <f t="shared" si="60"/>
        <v>3.0392746897142802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-7.9580786405131221E-13</v>
      </c>
      <c r="BE131" s="13">
        <f>BD131*VLOOKUP('Données projet'!$B$11,Paramètres!$A$1:$I$89,3,0)*VLOOKUP('Données projet'!$B$11,Paramètres!$A$1:$I$89,5,0)</f>
        <v>-3.8278358260868117E-13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402.22278907877927</v>
      </c>
      <c r="BJ131" s="59">
        <f t="shared" si="92"/>
        <v>393.06397734082458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3.990887574132421</v>
      </c>
      <c r="BQ131" s="21">
        <f>EXP(-LN(2)/25)*BQ130+(1-EXP(-LN(2)/25))/(LN(2)/25)*Calculateur!BL131*Calculateur!BN131*VLOOKUP('Données projet'!$B$11,Paramètres!$A$1:$I$89,3,0)*0.475*44/12</f>
        <v>2.978852946581164</v>
      </c>
      <c r="BR131" s="21">
        <f>EXP(-LN(2)/2)*BR130+(1-EXP(-LN(2)/2))/(LN(2)/2)*BL131*BO131*VLOOKUP('Données projet'!$B$11,Paramètres!$A$1:$I$89,3,0)*0.475*44/12</f>
        <v>1.5714073124559009E-12</v>
      </c>
      <c r="BS131" s="22">
        <f t="shared" si="63"/>
        <v>6.9697405207151562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-3.4106051316484809E-13</v>
      </c>
      <c r="BZ131" s="13">
        <f>BY131*VLOOKUP('Données projet'!$B$12,Paramètres!$A$1:$I$89,3,0)*VLOOKUP('Données projet'!$B$12,Paramètres!$A$1:$I$89,5,0)</f>
        <v>-3.0859155231155454E-13</v>
      </c>
      <c r="CA131" s="13" t="e">
        <f t="shared" si="93"/>
        <v>#NUM!</v>
      </c>
      <c r="CB131" s="20" t="e">
        <f t="shared" si="64"/>
        <v>#NUM!</v>
      </c>
      <c r="CC131" s="59" t="e">
        <f t="shared" si="65"/>
        <v>#NUM!</v>
      </c>
      <c r="CD131" s="59">
        <f ca="1">AVERAGE(OFFSET($CC$3,0,0,'Données projet'!$E$12+1,1))-AVERAGE(OFFSET($H$3,0,0,'Données projet'!$E$12+1,1))</f>
        <v>363.51171608224735</v>
      </c>
      <c r="CE131" s="59">
        <f t="shared" si="94"/>
        <v>257.9239334647138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0.34583759073097442</v>
      </c>
      <c r="CL131" s="21">
        <f>EXP(-LN(2)/25)*CL130+(1-EXP(-LN(2)/25))/(LN(2)/25)*Calculateur!CG131*Calculateur!CI131*VLOOKUP('Données projet'!$B$12,Paramètres!$A$1:$I$89,3,0)*0.475*44/12</f>
        <v>0.74538391235729451</v>
      </c>
      <c r="CM131" s="21">
        <f>EXP(-LN(2)/2)*CM130+(1-EXP(-LN(2)/2))/(LN(2)/2)*CG131*CJ131*VLOOKUP('Données projet'!$B$12,Paramètres!$A$1:$I$89,3,0)*0.475*44/12</f>
        <v>3.8286417190581337E-14</v>
      </c>
      <c r="CN131" s="22">
        <f t="shared" si="66"/>
        <v>1.091221503088307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1">
        <f t="shared" si="86"/>
        <v>19.78119626646561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67">
        <f t="shared" ref="H132:H195" si="110">(B132+E132+F132)*44/12+(C132+D132)*0.475*44/12</f>
        <v>450.45813349742764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-1.2505552149377763E-12</v>
      </c>
      <c r="O132" s="13">
        <f>N132*VLOOKUP('Données projet'!$B$9,Paramètres!$A$1:$I$89,3,0)*VLOOKUP('Données projet'!$B$9,Paramètres!$A$1:$I$89,5,0)</f>
        <v>-6.9906036515021697E-13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446.28010102877403</v>
      </c>
      <c r="T132" s="59">
        <f t="shared" si="88"/>
        <v>445.84011537290456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1.6075927550367533</v>
      </c>
      <c r="AA132" s="21">
        <f>EXP(-LN(2)/25)*AA131+(1-EXP(-LN(2)/25))/(LN(2)/25)*Calculateur!V132*Calculateur!X132*VLOOKUP('Données projet'!$B$9,Paramètres!$A$1:$I$89,3,0)*0.475*44/12</f>
        <v>2.4905678401292137</v>
      </c>
      <c r="AB132" s="21">
        <f>EXP(-LN(2)/2)*AB131+(1-EXP(-LN(2)/2))/(LN(2)/2)*V132*Y132*VLOOKUP('Données projet'!$B$9,Paramètres!$A$1:$I$89,3,0)*0.475*44/12</f>
        <v>4.5811393256378404E-14</v>
      </c>
      <c r="AC132" s="22">
        <f t="shared" ref="AC132:AC153" si="111">SUM(Z132:AB132)</f>
        <v>4.0981605951660134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>
        <f>AI132*VLOOKUP('Données projet'!$B$10,Paramètres!$A$1:$I$89,3,0)*VLOOKUP('Données projet'!$B$10,Paramètres!$A$1:$I$89,5,0)</f>
        <v>0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285.77483300338548</v>
      </c>
      <c r="AO132" s="59">
        <f t="shared" si="90"/>
        <v>320.55212417690637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1.174596313193871</v>
      </c>
      <c r="AV132" s="21">
        <f>EXP(-LN(2)/25)*AV131+(1-EXP(-LN(2)/25))/(LN(2)/25)*Calculateur!AQ132*Calculateur!AS132*VLOOKUP('Données projet'!$B$10,Paramètres!$A$1:$I$89,3,0)*0.475*44/12</f>
        <v>1.7908372712238705</v>
      </c>
      <c r="AW132" s="21">
        <f>EXP(-LN(2)/2)*AW131+(1-EXP(-LN(2)/2))/(LN(2)/2)*AQ132*AT132*VLOOKUP('Données projet'!$B$10,Paramètres!$A$1:$I$89,3,0)*0.475*44/12</f>
        <v>3.0649700949573371E-14</v>
      </c>
      <c r="AX132" s="21">
        <f t="shared" ref="AX132:AX153" si="114">SUM(AU132:AW132)</f>
        <v>2.9654335844177724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-7.9580786405131221E-13</v>
      </c>
      <c r="BE132" s="13">
        <f>BD132*VLOOKUP('Données projet'!$B$11,Paramètres!$A$1:$I$89,3,0)*VLOOKUP('Données projet'!$B$11,Paramètres!$A$1:$I$89,5,0)</f>
        <v>-3.8278358260868117E-13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402.22278907877927</v>
      </c>
      <c r="BJ132" s="59">
        <f t="shared" si="92"/>
        <v>393.06397734082458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3.9126287030047471</v>
      </c>
      <c r="BQ132" s="21">
        <f>EXP(-LN(2)/25)*BQ131+(1-EXP(-LN(2)/25))/(LN(2)/25)*Calculateur!BL132*Calculateur!BN132*VLOOKUP('Données projet'!$B$11,Paramètres!$A$1:$I$89,3,0)*0.475*44/12</f>
        <v>2.8973960561058338</v>
      </c>
      <c r="BR132" s="21">
        <f>EXP(-LN(2)/2)*BR131+(1-EXP(-LN(2)/2))/(LN(2)/2)*BL132*BO132*VLOOKUP('Données projet'!$B$11,Paramètres!$A$1:$I$89,3,0)*0.475*44/12</f>
        <v>1.1111527666436954E-12</v>
      </c>
      <c r="BS132" s="22">
        <f t="shared" ref="BS132:BS153" si="117">SUM(BP132:BR132)</f>
        <v>6.810024759111692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-3.4106051316484809E-13</v>
      </c>
      <c r="BZ132" s="13">
        <f>BY132*VLOOKUP('Données projet'!$B$12,Paramètres!$A$1:$I$89,3,0)*VLOOKUP('Données projet'!$B$12,Paramètres!$A$1:$I$89,5,0)</f>
        <v>-3.0859155231155454E-13</v>
      </c>
      <c r="CA132" s="13" t="e">
        <f t="shared" si="93"/>
        <v>#NUM!</v>
      </c>
      <c r="CB132" s="20" t="e">
        <f t="shared" ref="CB132:CB153" si="118">(BZ132+CA132)*0.475*44/12</f>
        <v>#NUM!</v>
      </c>
      <c r="CC132" s="59" t="e">
        <f t="shared" ref="CC132:CC195" si="119">CB132+(BT132+BU132)*44/12</f>
        <v>#NUM!</v>
      </c>
      <c r="CD132" s="59">
        <f ca="1">AVERAGE(OFFSET($CC$3,0,0,'Données projet'!$E$12+1,1))-AVERAGE(OFFSET($H$3,0,0,'Données projet'!$E$12+1,1))</f>
        <v>363.51171608224735</v>
      </c>
      <c r="CE132" s="59">
        <f t="shared" si="94"/>
        <v>257.9239334647138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0.33905592651684174</v>
      </c>
      <c r="CL132" s="21">
        <f>EXP(-LN(2)/25)*CL131+(1-EXP(-LN(2)/25))/(LN(2)/25)*Calculateur!CG132*Calculateur!CI132*VLOOKUP('Données projet'!$B$12,Paramètres!$A$1:$I$89,3,0)*0.475*44/12</f>
        <v>0.72500135007584798</v>
      </c>
      <c r="CM132" s="21">
        <f>EXP(-LN(2)/2)*CM131+(1-EXP(-LN(2)/2))/(LN(2)/2)*CG132*CJ132*VLOOKUP('Données projet'!$B$12,Paramètres!$A$1:$I$89,3,0)*0.475*44/12</f>
        <v>2.7072585222797269E-14</v>
      </c>
      <c r="CN132" s="22">
        <f t="shared" ref="CN132:CN153" si="120">SUM(CK132:CM132)</f>
        <v>1.0640572765927168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1">
        <f t="shared" ref="D133:D196" si="140">IFERROR(EXP(-1.0587+0.8836*LN(C133)+0.284),0)</f>
        <v>19.916628839746853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67">
        <f t="shared" si="110"/>
        <v>451.64496189589244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-1.2505552149377763E-12</v>
      </c>
      <c r="O133" s="13">
        <f>N133*VLOOKUP('Données projet'!$B$9,Paramètres!$A$1:$I$89,3,0)*VLOOKUP('Données projet'!$B$9,Paramètres!$A$1:$I$89,5,0)</f>
        <v>-6.9906036515021697E-13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446.28010102877403</v>
      </c>
      <c r="T133" s="59">
        <f t="shared" ref="T133:T196" si="142">$T$3</f>
        <v>445.84011537290456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1.5760688416452433</v>
      </c>
      <c r="AA133" s="21">
        <f>EXP(-LN(2)/25)*AA132+(1-EXP(-LN(2)/25))/(LN(2)/25)*Calculateur!V133*Calculateur!X133*VLOOKUP('Données projet'!$B$9,Paramètres!$A$1:$I$89,3,0)*0.475*44/12</f>
        <v>2.4224631315676097</v>
      </c>
      <c r="AB133" s="21">
        <f>EXP(-LN(2)/2)*AB132+(1-EXP(-LN(2)/2))/(LN(2)/2)*V133*Y133*VLOOKUP('Données projet'!$B$9,Paramètres!$A$1:$I$89,3,0)*0.475*44/12</f>
        <v>3.2393546827188842E-14</v>
      </c>
      <c r="AC133" s="22">
        <f t="shared" si="111"/>
        <v>3.9985319732128857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>
        <f>AI133*VLOOKUP('Données projet'!$B$10,Paramètres!$A$1:$I$89,3,0)*VLOOKUP('Données projet'!$B$10,Paramètres!$A$1:$I$89,5,0)</f>
        <v>0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285.77483300338548</v>
      </c>
      <c r="AO133" s="59">
        <f t="shared" ref="AO133:AO196" si="144">$AO$3</f>
        <v>320.55212417690637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1.1515631959251484</v>
      </c>
      <c r="AV133" s="21">
        <f>EXP(-LN(2)/25)*AV132+(1-EXP(-LN(2)/25))/(LN(2)/25)*Calculateur!AQ133*Calculateur!AS133*VLOOKUP('Données projet'!$B$10,Paramètres!$A$1:$I$89,3,0)*0.475*44/12</f>
        <v>1.7418667318662147</v>
      </c>
      <c r="AW133" s="21">
        <f>EXP(-LN(2)/2)*AW132+(1-EXP(-LN(2)/2))/(LN(2)/2)*AQ133*AT133*VLOOKUP('Données projet'!$B$10,Paramètres!$A$1:$I$89,3,0)*0.475*44/12</f>
        <v>2.1672611382783096E-14</v>
      </c>
      <c r="AX133" s="21">
        <f t="shared" si="114"/>
        <v>2.8934299277913849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-7.9580786405131221E-13</v>
      </c>
      <c r="BE133" s="13">
        <f>BD133*VLOOKUP('Données projet'!$B$11,Paramètres!$A$1:$I$89,3,0)*VLOOKUP('Données projet'!$B$11,Paramètres!$A$1:$I$89,5,0)</f>
        <v>-3.8278358260868117E-13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402.22278907877927</v>
      </c>
      <c r="BJ133" s="59">
        <f t="shared" ref="BJ133:BJ196" si="146">$BJ$3</f>
        <v>393.06397734082458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3.8359044406066887</v>
      </c>
      <c r="BQ133" s="21">
        <f>EXP(-LN(2)/25)*BQ132+(1-EXP(-LN(2)/25))/(LN(2)/25)*Calculateur!BL133*Calculateur!BN133*VLOOKUP('Données projet'!$B$11,Paramètres!$A$1:$I$89,3,0)*0.475*44/12</f>
        <v>2.8181666085841832</v>
      </c>
      <c r="BR133" s="21">
        <f>EXP(-LN(2)/2)*BR132+(1-EXP(-LN(2)/2))/(LN(2)/2)*BL133*BO133*VLOOKUP('Données projet'!$B$11,Paramètres!$A$1:$I$89,3,0)*0.475*44/12</f>
        <v>7.8570365622795043E-13</v>
      </c>
      <c r="BS133" s="22">
        <f t="shared" si="117"/>
        <v>6.6540710491916579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-3.4106051316484809E-13</v>
      </c>
      <c r="BZ133" s="13">
        <f>BY133*VLOOKUP('Données projet'!$B$12,Paramètres!$A$1:$I$89,3,0)*VLOOKUP('Données projet'!$B$12,Paramètres!$A$1:$I$89,5,0)</f>
        <v>-3.0859155231155454E-13</v>
      </c>
      <c r="CA133" s="13" t="e">
        <f t="shared" ref="CA133:CA153" si="147">EXP(-1.0587+0.8836*LN(BZ133)+0.284)</f>
        <v>#NUM!</v>
      </c>
      <c r="CB133" s="20" t="e">
        <f t="shared" si="118"/>
        <v>#NUM!</v>
      </c>
      <c r="CC133" s="59" t="e">
        <f t="shared" si="119"/>
        <v>#NUM!</v>
      </c>
      <c r="CD133" s="59">
        <f ca="1">AVERAGE(OFFSET($CC$3,0,0,'Données projet'!$E$12+1,1))-AVERAGE(OFFSET($H$3,0,0,'Données projet'!$E$12+1,1))</f>
        <v>363.51171608224735</v>
      </c>
      <c r="CE133" s="59">
        <f t="shared" ref="CE133:CE196" si="148">$CE$3</f>
        <v>257.9239334647138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0.33240724660154147</v>
      </c>
      <c r="CL133" s="21">
        <f>EXP(-LN(2)/25)*CL132+(1-EXP(-LN(2)/25))/(LN(2)/25)*Calculateur!CG133*Calculateur!CI133*VLOOKUP('Données projet'!$B$12,Paramètres!$A$1:$I$89,3,0)*0.475*44/12</f>
        <v>0.70517615003185996</v>
      </c>
      <c r="CM133" s="21">
        <f>EXP(-LN(2)/2)*CM132+(1-EXP(-LN(2)/2))/(LN(2)/2)*CG133*CJ133*VLOOKUP('Données projet'!$B$12,Paramètres!$A$1:$I$89,3,0)*0.475*44/12</f>
        <v>1.9143208595290668E-14</v>
      </c>
      <c r="CN133" s="22">
        <f t="shared" si="120"/>
        <v>1.0375833966334205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1">
        <f t="shared" si="140"/>
        <v>20.051940201794032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67">
        <f t="shared" si="110"/>
        <v>452.83157918479128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-1.2505552149377763E-12</v>
      </c>
      <c r="O134" s="13">
        <f>N134*VLOOKUP('Données projet'!$B$9,Paramètres!$A$1:$I$89,3,0)*VLOOKUP('Données projet'!$B$9,Paramètres!$A$1:$I$89,5,0)</f>
        <v>-6.9906036515021697E-13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446.28010102877403</v>
      </c>
      <c r="T134" s="59">
        <f t="shared" si="142"/>
        <v>445.84011537290456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1.5451630929676523</v>
      </c>
      <c r="AA134" s="21">
        <f>EXP(-LN(2)/25)*AA133+(1-EXP(-LN(2)/25))/(LN(2)/25)*Calculateur!V134*Calculateur!X134*VLOOKUP('Données projet'!$B$9,Paramètres!$A$1:$I$89,3,0)*0.475*44/12</f>
        <v>2.3562207498430938</v>
      </c>
      <c r="AB134" s="21">
        <f>EXP(-LN(2)/2)*AB133+(1-EXP(-LN(2)/2))/(LN(2)/2)*V134*Y134*VLOOKUP('Données projet'!$B$9,Paramètres!$A$1:$I$89,3,0)*0.475*44/12</f>
        <v>2.2905696628189202E-14</v>
      </c>
      <c r="AC134" s="22">
        <f t="shared" si="111"/>
        <v>3.9013838428107692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>
        <f>AI134*VLOOKUP('Données projet'!$B$10,Paramètres!$A$1:$I$89,3,0)*VLOOKUP('Données projet'!$B$10,Paramètres!$A$1:$I$89,5,0)</f>
        <v>0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285.77483300338548</v>
      </c>
      <c r="AO134" s="59">
        <f t="shared" si="144"/>
        <v>320.55212417690637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1.1289817440372512</v>
      </c>
      <c r="AV134" s="21">
        <f>EXP(-LN(2)/25)*AV133+(1-EXP(-LN(2)/25))/(LN(2)/25)*Calculateur!AQ134*Calculateur!AS134*VLOOKUP('Données projet'!$B$10,Paramètres!$A$1:$I$89,3,0)*0.475*44/12</f>
        <v>1.6942352944825427</v>
      </c>
      <c r="AW134" s="21">
        <f>EXP(-LN(2)/2)*AW133+(1-EXP(-LN(2)/2))/(LN(2)/2)*AQ134*AT134*VLOOKUP('Données projet'!$B$10,Paramètres!$A$1:$I$89,3,0)*0.475*44/12</f>
        <v>1.5324850474786685E-14</v>
      </c>
      <c r="AX134" s="21">
        <f t="shared" si="114"/>
        <v>2.8232170385198097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-7.9580786405131221E-13</v>
      </c>
      <c r="BE134" s="13">
        <f>BD134*VLOOKUP('Données projet'!$B$11,Paramètres!$A$1:$I$89,3,0)*VLOOKUP('Données projet'!$B$11,Paramètres!$A$1:$I$89,5,0)</f>
        <v>-3.8278358260868117E-13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402.22278907877927</v>
      </c>
      <c r="BJ134" s="59">
        <f t="shared" si="146"/>
        <v>393.06397734082458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3.7606846941970771</v>
      </c>
      <c r="BQ134" s="21">
        <f>EXP(-LN(2)/25)*BQ133+(1-EXP(-LN(2)/25))/(LN(2)/25)*Calculateur!BL134*Calculateur!BN134*VLOOKUP('Données projet'!$B$11,Paramètres!$A$1:$I$89,3,0)*0.475*44/12</f>
        <v>2.7411036944715077</v>
      </c>
      <c r="BR134" s="21">
        <f>EXP(-LN(2)/2)*BR133+(1-EXP(-LN(2)/2))/(LN(2)/2)*BL134*BO134*VLOOKUP('Données projet'!$B$11,Paramètres!$A$1:$I$89,3,0)*0.475*44/12</f>
        <v>5.5557638332184769E-13</v>
      </c>
      <c r="BS134" s="22">
        <f t="shared" si="117"/>
        <v>6.5017883886691408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-3.4106051316484809E-13</v>
      </c>
      <c r="BZ134" s="13">
        <f>BY134*VLOOKUP('Données projet'!$B$12,Paramètres!$A$1:$I$89,3,0)*VLOOKUP('Données projet'!$B$12,Paramètres!$A$1:$I$89,5,0)</f>
        <v>-3.0859155231155454E-13</v>
      </c>
      <c r="CA134" s="13" t="e">
        <f t="shared" si="147"/>
        <v>#NUM!</v>
      </c>
      <c r="CB134" s="20" t="e">
        <f t="shared" si="118"/>
        <v>#NUM!</v>
      </c>
      <c r="CC134" s="59" t="e">
        <f t="shared" si="119"/>
        <v>#NUM!</v>
      </c>
      <c r="CD134" s="59">
        <f ca="1">AVERAGE(OFFSET($CC$3,0,0,'Données projet'!$E$12+1,1))-AVERAGE(OFFSET($H$3,0,0,'Données projet'!$E$12+1,1))</f>
        <v>363.51171608224735</v>
      </c>
      <c r="CE134" s="59">
        <f t="shared" si="148"/>
        <v>257.9239334647138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0.3258889432440859</v>
      </c>
      <c r="CL134" s="21">
        <f>EXP(-LN(2)/25)*CL133+(1-EXP(-LN(2)/25))/(LN(2)/25)*Calculateur!CG134*Calculateur!CI134*VLOOKUP('Données projet'!$B$12,Paramètres!$A$1:$I$89,3,0)*0.475*44/12</f>
        <v>0.68589307112563669</v>
      </c>
      <c r="CM134" s="21">
        <f>EXP(-LN(2)/2)*CM133+(1-EXP(-LN(2)/2))/(LN(2)/2)*CG134*CJ134*VLOOKUP('Données projet'!$B$12,Paramètres!$A$1:$I$89,3,0)*0.475*44/12</f>
        <v>1.3536292611398635E-14</v>
      </c>
      <c r="CN134" s="22">
        <f t="shared" si="120"/>
        <v>1.011782014369736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1">
        <f t="shared" si="140"/>
        <v>20.187131385147271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67">
        <f t="shared" si="110"/>
        <v>454.01798716246486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-1.2505552149377763E-12</v>
      </c>
      <c r="O135" s="13">
        <f>N135*VLOOKUP('Données projet'!$B$9,Paramètres!$A$1:$I$89,3,0)*VLOOKUP('Données projet'!$B$9,Paramètres!$A$1:$I$89,5,0)</f>
        <v>-6.9906036515021697E-13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446.28010102877403</v>
      </c>
      <c r="T135" s="59">
        <f t="shared" si="142"/>
        <v>445.84011537290456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1.5148633871709836</v>
      </c>
      <c r="AA135" s="21">
        <f>EXP(-LN(2)/25)*AA134+(1-EXP(-LN(2)/25))/(LN(2)/25)*Calculateur!V135*Calculateur!X135*VLOOKUP('Données projet'!$B$9,Paramètres!$A$1:$I$89,3,0)*0.475*44/12</f>
        <v>2.2917897695303706</v>
      </c>
      <c r="AB135" s="21">
        <f>EXP(-LN(2)/2)*AB134+(1-EXP(-LN(2)/2))/(LN(2)/2)*V135*Y135*VLOOKUP('Données projet'!$B$9,Paramètres!$A$1:$I$89,3,0)*0.475*44/12</f>
        <v>1.6196773413594421E-14</v>
      </c>
      <c r="AC135" s="22">
        <f t="shared" si="111"/>
        <v>3.8066531567013699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>
        <f>AI135*VLOOKUP('Données projet'!$B$10,Paramètres!$A$1:$I$89,3,0)*VLOOKUP('Données projet'!$B$10,Paramètres!$A$1:$I$89,5,0)</f>
        <v>0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285.77483300338548</v>
      </c>
      <c r="AO135" s="59">
        <f t="shared" si="144"/>
        <v>320.55212417690637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1.1068431006475499</v>
      </c>
      <c r="AV135" s="21">
        <f>EXP(-LN(2)/25)*AV134+(1-EXP(-LN(2)/25))/(LN(2)/25)*Calculateur!AQ135*Calculateur!AS135*VLOOKUP('Données projet'!$B$10,Paramètres!$A$1:$I$89,3,0)*0.475*44/12</f>
        <v>1.6479063412589556</v>
      </c>
      <c r="AW135" s="21">
        <f>EXP(-LN(2)/2)*AW134+(1-EXP(-LN(2)/2))/(LN(2)/2)*AQ135*AT135*VLOOKUP('Données projet'!$B$10,Paramètres!$A$1:$I$89,3,0)*0.475*44/12</f>
        <v>1.0836305691391548E-14</v>
      </c>
      <c r="AX135" s="21">
        <f t="shared" si="114"/>
        <v>2.7547494419065162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-7.9580786405131221E-13</v>
      </c>
      <c r="BE135" s="13">
        <f>BD135*VLOOKUP('Données projet'!$B$11,Paramètres!$A$1:$I$89,3,0)*VLOOKUP('Données projet'!$B$11,Paramètres!$A$1:$I$89,5,0)</f>
        <v>-3.8278358260868117E-13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402.22278907877927</v>
      </c>
      <c r="BJ135" s="59">
        <f t="shared" si="146"/>
        <v>393.06397734082458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3.6869399611350429</v>
      </c>
      <c r="BQ135" s="21">
        <f>EXP(-LN(2)/25)*BQ134+(1-EXP(-LN(2)/25))/(LN(2)/25)*Calculateur!BL135*Calculateur!BN135*VLOOKUP('Données projet'!$B$11,Paramètres!$A$1:$I$89,3,0)*0.475*44/12</f>
        <v>2.6661480697978059</v>
      </c>
      <c r="BR135" s="21">
        <f>EXP(-LN(2)/2)*BR134+(1-EXP(-LN(2)/2))/(LN(2)/2)*BL135*BO135*VLOOKUP('Données projet'!$B$11,Paramètres!$A$1:$I$89,3,0)*0.475*44/12</f>
        <v>3.9285182811397522E-13</v>
      </c>
      <c r="BS135" s="22">
        <f t="shared" si="117"/>
        <v>6.3530880309332414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-3.4106051316484809E-13</v>
      </c>
      <c r="BZ135" s="13">
        <f>BY135*VLOOKUP('Données projet'!$B$12,Paramètres!$A$1:$I$89,3,0)*VLOOKUP('Données projet'!$B$12,Paramètres!$A$1:$I$89,5,0)</f>
        <v>-3.0859155231155454E-13</v>
      </c>
      <c r="CA135" s="13" t="e">
        <f t="shared" si="147"/>
        <v>#NUM!</v>
      </c>
      <c r="CB135" s="20" t="e">
        <f t="shared" si="118"/>
        <v>#NUM!</v>
      </c>
      <c r="CC135" s="59" t="e">
        <f t="shared" si="119"/>
        <v>#NUM!</v>
      </c>
      <c r="CD135" s="59">
        <f ca="1">AVERAGE(OFFSET($CC$3,0,0,'Données projet'!$E$12+1,1))-AVERAGE(OFFSET($H$3,0,0,'Données projet'!$E$12+1,1))</f>
        <v>363.51171608224735</v>
      </c>
      <c r="CE135" s="59">
        <f t="shared" si="148"/>
        <v>257.9239334647138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0.3194984598396976</v>
      </c>
      <c r="CL135" s="21">
        <f>EXP(-LN(2)/25)*CL134+(1-EXP(-LN(2)/25))/(LN(2)/25)*Calculateur!CG135*Calculateur!CI135*VLOOKUP('Données projet'!$B$12,Paramètres!$A$1:$I$89,3,0)*0.475*44/12</f>
        <v>0.66713728902615721</v>
      </c>
      <c r="CM135" s="21">
        <f>EXP(-LN(2)/2)*CM134+(1-EXP(-LN(2)/2))/(LN(2)/2)*CG135*CJ135*VLOOKUP('Données projet'!$B$12,Paramètres!$A$1:$I$89,3,0)*0.475*44/12</f>
        <v>9.5716042976453342E-15</v>
      </c>
      <c r="CN135" s="22">
        <f t="shared" si="120"/>
        <v>0.98663574886586436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1">
        <f t="shared" si="140"/>
        <v>20.322203405798462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67">
        <f t="shared" si="110"/>
        <v>455.20418759843233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-1.2505552149377763E-12</v>
      </c>
      <c r="O136" s="13">
        <f>N136*VLOOKUP('Données projet'!$B$9,Paramètres!$A$1:$I$89,3,0)*VLOOKUP('Données projet'!$B$9,Paramètres!$A$1:$I$89,5,0)</f>
        <v>-6.9906036515021697E-13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446.28010102877403</v>
      </c>
      <c r="T136" s="59">
        <f t="shared" si="142"/>
        <v>445.84011537290456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1.4851578401239918</v>
      </c>
      <c r="AA136" s="21">
        <f>EXP(-LN(2)/25)*AA135+(1-EXP(-LN(2)/25))/(LN(2)/25)*Calculateur!V136*Calculateur!X136*VLOOKUP('Données projet'!$B$9,Paramètres!$A$1:$I$89,3,0)*0.475*44/12</f>
        <v>2.2291206577625764</v>
      </c>
      <c r="AB136" s="21">
        <f>EXP(-LN(2)/2)*AB135+(1-EXP(-LN(2)/2))/(LN(2)/2)*V136*Y136*VLOOKUP('Données projet'!$B$9,Paramètres!$A$1:$I$89,3,0)*0.475*44/12</f>
        <v>1.1452848314094601E-14</v>
      </c>
      <c r="AC136" s="22">
        <f t="shared" si="111"/>
        <v>3.7142784978865797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>
        <f>AI136*VLOOKUP('Données projet'!$B$10,Paramètres!$A$1:$I$89,3,0)*VLOOKUP('Données projet'!$B$10,Paramètres!$A$1:$I$89,5,0)</f>
        <v>0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285.77483300338548</v>
      </c>
      <c r="AO136" s="59">
        <f t="shared" si="144"/>
        <v>320.55212417690637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1.0851385825514814</v>
      </c>
      <c r="AV136" s="21">
        <f>EXP(-LN(2)/25)*AV135+(1-EXP(-LN(2)/25))/(LN(2)/25)*Calculateur!AQ136*Calculateur!AS136*VLOOKUP('Données projet'!$B$10,Paramètres!$A$1:$I$89,3,0)*0.475*44/12</f>
        <v>1.6028442556976013</v>
      </c>
      <c r="AW136" s="21">
        <f>EXP(-LN(2)/2)*AW135+(1-EXP(-LN(2)/2))/(LN(2)/2)*AQ136*AT136*VLOOKUP('Données projet'!$B$10,Paramètres!$A$1:$I$89,3,0)*0.475*44/12</f>
        <v>7.6624252373933427E-15</v>
      </c>
      <c r="AX136" s="21">
        <f t="shared" si="114"/>
        <v>2.68798283824909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-7.9580786405131221E-13</v>
      </c>
      <c r="BE136" s="13">
        <f>BD136*VLOOKUP('Données projet'!$B$11,Paramètres!$A$1:$I$89,3,0)*VLOOKUP('Données projet'!$B$11,Paramètres!$A$1:$I$89,5,0)</f>
        <v>-3.8278358260868117E-13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402.22278907877927</v>
      </c>
      <c r="BJ136" s="59">
        <f t="shared" si="146"/>
        <v>393.06397734082458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3.6146413173085095</v>
      </c>
      <c r="BQ136" s="21">
        <f>EXP(-LN(2)/25)*BQ135+(1-EXP(-LN(2)/25))/(LN(2)/25)*Calculateur!BL136*Calculateur!BN136*VLOOKUP('Données projet'!$B$11,Paramètres!$A$1:$I$89,3,0)*0.475*44/12</f>
        <v>2.5932421106225516</v>
      </c>
      <c r="BR136" s="21">
        <f>EXP(-LN(2)/2)*BR135+(1-EXP(-LN(2)/2))/(LN(2)/2)*BL136*BO136*VLOOKUP('Données projet'!$B$11,Paramètres!$A$1:$I$89,3,0)*0.475*44/12</f>
        <v>2.7778819166092385E-13</v>
      </c>
      <c r="BS136" s="22">
        <f t="shared" si="117"/>
        <v>6.2078834279313391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-3.4106051316484809E-13</v>
      </c>
      <c r="BZ136" s="13">
        <f>BY136*VLOOKUP('Données projet'!$B$12,Paramètres!$A$1:$I$89,3,0)*VLOOKUP('Données projet'!$B$12,Paramètres!$A$1:$I$89,5,0)</f>
        <v>-3.0859155231155454E-13</v>
      </c>
      <c r="CA136" s="13" t="e">
        <f t="shared" si="147"/>
        <v>#NUM!</v>
      </c>
      <c r="CB136" s="20" t="e">
        <f t="shared" si="118"/>
        <v>#NUM!</v>
      </c>
      <c r="CC136" s="59" t="e">
        <f t="shared" si="119"/>
        <v>#NUM!</v>
      </c>
      <c r="CD136" s="59">
        <f ca="1">AVERAGE(OFFSET($CC$3,0,0,'Données projet'!$E$12+1,1))-AVERAGE(OFFSET($H$3,0,0,'Données projet'!$E$12+1,1))</f>
        <v>363.51171608224735</v>
      </c>
      <c r="CE136" s="59">
        <f t="shared" si="148"/>
        <v>257.9239334647138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0.31323328991705934</v>
      </c>
      <c r="CL136" s="21">
        <f>EXP(-LN(2)/25)*CL135+(1-EXP(-LN(2)/25))/(LN(2)/25)*Calculateur!CG136*Calculateur!CI136*VLOOKUP('Données projet'!$B$12,Paramètres!$A$1:$I$89,3,0)*0.475*44/12</f>
        <v>0.64889438477451167</v>
      </c>
      <c r="CM136" s="21">
        <f>EXP(-LN(2)/2)*CM135+(1-EXP(-LN(2)/2))/(LN(2)/2)*CG136*CJ136*VLOOKUP('Données projet'!$B$12,Paramètres!$A$1:$I$89,3,0)*0.475*44/12</f>
        <v>6.7681463056993173E-15</v>
      </c>
      <c r="CN136" s="22">
        <f t="shared" si="120"/>
        <v>0.96212767469157778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1">
        <f t="shared" si="140"/>
        <v>20.457157263578868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67">
        <f t="shared" si="110"/>
        <v>456.39018223406657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-1.2505552149377763E-12</v>
      </c>
      <c r="O137" s="13">
        <f>N137*VLOOKUP('Données projet'!$B$9,Paramètres!$A$1:$I$89,3,0)*VLOOKUP('Données projet'!$B$9,Paramètres!$A$1:$I$89,5,0)</f>
        <v>-6.9906036515021697E-13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446.28010102877403</v>
      </c>
      <c r="T137" s="59">
        <f t="shared" si="142"/>
        <v>445.84011537290456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1.4560348007359969</v>
      </c>
      <c r="AA137" s="21">
        <f>EXP(-LN(2)/25)*AA136+(1-EXP(-LN(2)/25))/(LN(2)/25)*Calculateur!V137*Calculateur!X137*VLOOKUP('Données projet'!$B$9,Paramètres!$A$1:$I$89,3,0)*0.475*44/12</f>
        <v>2.1681652361516979</v>
      </c>
      <c r="AB137" s="21">
        <f>EXP(-LN(2)/2)*AB136+(1-EXP(-LN(2)/2))/(LN(2)/2)*V137*Y137*VLOOKUP('Données projet'!$B$9,Paramètres!$A$1:$I$89,3,0)*0.475*44/12</f>
        <v>8.0983867067972106E-15</v>
      </c>
      <c r="AC137" s="22">
        <f t="shared" si="111"/>
        <v>3.6242000368877028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>
        <f>AI137*VLOOKUP('Données projet'!$B$10,Paramètres!$A$1:$I$89,3,0)*VLOOKUP('Données projet'!$B$10,Paramètres!$A$1:$I$89,5,0)</f>
        <v>0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285.77483300338548</v>
      </c>
      <c r="AO137" s="59">
        <f t="shared" si="144"/>
        <v>320.55212417690637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1.063859676816828</v>
      </c>
      <c r="AV137" s="21">
        <f>EXP(-LN(2)/25)*AV136+(1-EXP(-LN(2)/25))/(LN(2)/25)*Calculateur!AQ137*Calculateur!AS137*VLOOKUP('Données projet'!$B$10,Paramètres!$A$1:$I$89,3,0)*0.475*44/12</f>
        <v>1.5590143952356343</v>
      </c>
      <c r="AW137" s="21">
        <f>EXP(-LN(2)/2)*AW136+(1-EXP(-LN(2)/2))/(LN(2)/2)*AQ137*AT137*VLOOKUP('Données projet'!$B$10,Paramètres!$A$1:$I$89,3,0)*0.475*44/12</f>
        <v>5.4181528456957739E-15</v>
      </c>
      <c r="AX137" s="21">
        <f t="shared" si="114"/>
        <v>2.6228740720524675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-7.9580786405131221E-13</v>
      </c>
      <c r="BE137" s="13">
        <f>BD137*VLOOKUP('Données projet'!$B$11,Paramètres!$A$1:$I$89,3,0)*VLOOKUP('Données projet'!$B$11,Paramètres!$A$1:$I$89,5,0)</f>
        <v>-3.8278358260868117E-13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402.22278907877927</v>
      </c>
      <c r="BJ137" s="59">
        <f t="shared" si="146"/>
        <v>393.06397734082458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3.5437604057895959</v>
      </c>
      <c r="BQ137" s="21">
        <f>EXP(-LN(2)/25)*BQ136+(1-EXP(-LN(2)/25))/(LN(2)/25)*Calculateur!BL137*Calculateur!BN137*VLOOKUP('Données projet'!$B$11,Paramètres!$A$1:$I$89,3,0)*0.475*44/12</f>
        <v>2.5223297687349024</v>
      </c>
      <c r="BR137" s="21">
        <f>EXP(-LN(2)/2)*BR136+(1-EXP(-LN(2)/2))/(LN(2)/2)*BL137*BO137*VLOOKUP('Données projet'!$B$11,Paramètres!$A$1:$I$89,3,0)*0.475*44/12</f>
        <v>1.9642591405698761E-13</v>
      </c>
      <c r="BS137" s="22">
        <f t="shared" si="117"/>
        <v>6.0660901745246951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-3.4106051316484809E-13</v>
      </c>
      <c r="BZ137" s="13">
        <f>BY137*VLOOKUP('Données projet'!$B$12,Paramètres!$A$1:$I$89,3,0)*VLOOKUP('Données projet'!$B$12,Paramètres!$A$1:$I$89,5,0)</f>
        <v>-3.0859155231155454E-13</v>
      </c>
      <c r="CA137" s="13" t="e">
        <f t="shared" si="147"/>
        <v>#NUM!</v>
      </c>
      <c r="CB137" s="20" t="e">
        <f t="shared" si="118"/>
        <v>#NUM!</v>
      </c>
      <c r="CC137" s="59" t="e">
        <f t="shared" si="119"/>
        <v>#NUM!</v>
      </c>
      <c r="CD137" s="59">
        <f ca="1">AVERAGE(OFFSET($CC$3,0,0,'Données projet'!$E$12+1,1))-AVERAGE(OFFSET($H$3,0,0,'Données projet'!$E$12+1,1))</f>
        <v>363.51171608224735</v>
      </c>
      <c r="CE137" s="59">
        <f t="shared" si="148"/>
        <v>257.9239334647138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0.30709097615522768</v>
      </c>
      <c r="CL137" s="21">
        <f>EXP(-LN(2)/25)*CL136+(1-EXP(-LN(2)/25))/(LN(2)/25)*Calculateur!CG137*Calculateur!CI137*VLOOKUP('Données projet'!$B$12,Paramètres!$A$1:$I$89,3,0)*0.475*44/12</f>
        <v>0.63115033369897999</v>
      </c>
      <c r="CM137" s="21">
        <f>EXP(-LN(2)/2)*CM136+(1-EXP(-LN(2)/2))/(LN(2)/2)*CG137*CJ137*VLOOKUP('Données projet'!$B$12,Paramètres!$A$1:$I$89,3,0)*0.475*44/12</f>
        <v>4.7858021488226671E-15</v>
      </c>
      <c r="CN137" s="22">
        <f t="shared" si="120"/>
        <v>0.9382413098542125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1">
        <f t="shared" si="140"/>
        <v>20.591993942534774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67">
        <f t="shared" si="110"/>
        <v>457.57597278324812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-1.2505552149377763E-12</v>
      </c>
      <c r="O138" s="13">
        <f>N138*VLOOKUP('Données projet'!$B$9,Paramètres!$A$1:$I$89,3,0)*VLOOKUP('Données projet'!$B$9,Paramètres!$A$1:$I$89,5,0)</f>
        <v>-6.9906036515021697E-13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446.28010102877403</v>
      </c>
      <c r="T138" s="59">
        <f t="shared" si="142"/>
        <v>445.84011537290456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1.4274828463871005</v>
      </c>
      <c r="AA138" s="21">
        <f>EXP(-LN(2)/25)*AA137+(1-EXP(-LN(2)/25))/(LN(2)/25)*Calculateur!V138*Calculateur!X138*VLOOKUP('Données projet'!$B$9,Paramètres!$A$1:$I$89,3,0)*0.475*44/12</f>
        <v>2.1088766437502753</v>
      </c>
      <c r="AB138" s="21">
        <f>EXP(-LN(2)/2)*AB137+(1-EXP(-LN(2)/2))/(LN(2)/2)*V138*Y138*VLOOKUP('Données projet'!$B$9,Paramètres!$A$1:$I$89,3,0)*0.475*44/12</f>
        <v>5.7264241570473004E-15</v>
      </c>
      <c r="AC138" s="22">
        <f t="shared" si="111"/>
        <v>3.5363594901373818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>
        <f>AI138*VLOOKUP('Données projet'!$B$10,Paramètres!$A$1:$I$89,3,0)*VLOOKUP('Données projet'!$B$10,Paramètres!$A$1:$I$89,5,0)</f>
        <v>0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285.77483300338548</v>
      </c>
      <c r="AO138" s="59">
        <f t="shared" si="144"/>
        <v>320.55212417690637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1.0429980374447803</v>
      </c>
      <c r="AV138" s="21">
        <f>EXP(-LN(2)/25)*AV137+(1-EXP(-LN(2)/25))/(LN(2)/25)*Calculateur!AQ138*Calculateur!AS138*VLOOKUP('Données projet'!$B$10,Paramètres!$A$1:$I$89,3,0)*0.475*44/12</f>
        <v>1.5163830646129119</v>
      </c>
      <c r="AW138" s="21">
        <f>EXP(-LN(2)/2)*AW137+(1-EXP(-LN(2)/2))/(LN(2)/2)*AQ138*AT138*VLOOKUP('Données projet'!$B$10,Paramètres!$A$1:$I$89,3,0)*0.475*44/12</f>
        <v>3.8312126186966713E-15</v>
      </c>
      <c r="AX138" s="21">
        <f t="shared" si="114"/>
        <v>2.5593811020576962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-7.9580786405131221E-13</v>
      </c>
      <c r="BE138" s="13">
        <f>BD138*VLOOKUP('Données projet'!$B$11,Paramètres!$A$1:$I$89,3,0)*VLOOKUP('Données projet'!$B$11,Paramètres!$A$1:$I$89,5,0)</f>
        <v>-3.8278358260868117E-13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402.22278907877927</v>
      </c>
      <c r="BJ138" s="59">
        <f t="shared" si="146"/>
        <v>393.06397734082458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3.4742694257124809</v>
      </c>
      <c r="BQ138" s="21">
        <f>EXP(-LN(2)/25)*BQ137+(1-EXP(-LN(2)/25))/(LN(2)/25)*Calculateur!BL138*Calculateur!BN138*VLOOKUP('Données projet'!$B$11,Paramètres!$A$1:$I$89,3,0)*0.475*44/12</f>
        <v>2.4533565285652887</v>
      </c>
      <c r="BR138" s="21">
        <f>EXP(-LN(2)/2)*BR137+(1-EXP(-LN(2)/2))/(LN(2)/2)*BL138*BO138*VLOOKUP('Données projet'!$B$11,Paramètres!$A$1:$I$89,3,0)*0.475*44/12</f>
        <v>1.3889409583046192E-13</v>
      </c>
      <c r="BS138" s="22">
        <f t="shared" si="117"/>
        <v>5.9276259542779082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-3.4106051316484809E-13</v>
      </c>
      <c r="BZ138" s="13">
        <f>BY138*VLOOKUP('Données projet'!$B$12,Paramètres!$A$1:$I$89,3,0)*VLOOKUP('Données projet'!$B$12,Paramètres!$A$1:$I$89,5,0)</f>
        <v>-3.0859155231155454E-13</v>
      </c>
      <c r="CA138" s="13" t="e">
        <f t="shared" si="147"/>
        <v>#NUM!</v>
      </c>
      <c r="CB138" s="20" t="e">
        <f t="shared" si="118"/>
        <v>#NUM!</v>
      </c>
      <c r="CC138" s="59" t="e">
        <f t="shared" si="119"/>
        <v>#NUM!</v>
      </c>
      <c r="CD138" s="59">
        <f ca="1">AVERAGE(OFFSET($CC$3,0,0,'Données projet'!$E$12+1,1))-AVERAGE(OFFSET($H$3,0,0,'Données projet'!$E$12+1,1))</f>
        <v>363.51171608224735</v>
      </c>
      <c r="CE138" s="59">
        <f t="shared" si="148"/>
        <v>257.9239334647138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0.30106910941982407</v>
      </c>
      <c r="CL138" s="21">
        <f>EXP(-LN(2)/25)*CL137+(1-EXP(-LN(2)/25))/(LN(2)/25)*Calculateur!CG138*Calculateur!CI138*VLOOKUP('Données projet'!$B$12,Paramètres!$A$1:$I$89,3,0)*0.475*44/12</f>
        <v>0.6138914946332279</v>
      </c>
      <c r="CM138" s="21">
        <f>EXP(-LN(2)/2)*CM137+(1-EXP(-LN(2)/2))/(LN(2)/2)*CG138*CJ138*VLOOKUP('Données projet'!$B$12,Paramètres!$A$1:$I$89,3,0)*0.475*44/12</f>
        <v>3.3840731528496587E-15</v>
      </c>
      <c r="CN138" s="22">
        <f t="shared" si="120"/>
        <v>0.91496060405305535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1">
        <f t="shared" si="140"/>
        <v>20.726714411291841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67">
        <f t="shared" si="110"/>
        <v>458.76156093300006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-1.2505552149377763E-12</v>
      </c>
      <c r="O139" s="13">
        <f>N139*VLOOKUP('Données projet'!$B$9,Paramètres!$A$1:$I$89,3,0)*VLOOKUP('Données projet'!$B$9,Paramètres!$A$1:$I$89,5,0)</f>
        <v>-6.9906036515021697E-13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446.28010102877403</v>
      </c>
      <c r="T139" s="59">
        <f t="shared" si="142"/>
        <v>445.84011537290456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1.3994907784480135</v>
      </c>
      <c r="AA139" s="21">
        <f>EXP(-LN(2)/25)*AA138+(1-EXP(-LN(2)/25))/(LN(2)/25)*Calculateur!V139*Calculateur!X139*VLOOKUP('Données projet'!$B$9,Paramètres!$A$1:$I$89,3,0)*0.475*44/12</f>
        <v>2.0512093010259211</v>
      </c>
      <c r="AB139" s="21">
        <f>EXP(-LN(2)/2)*AB138+(1-EXP(-LN(2)/2))/(LN(2)/2)*V139*Y139*VLOOKUP('Données projet'!$B$9,Paramètres!$A$1:$I$89,3,0)*0.475*44/12</f>
        <v>4.0491933533986053E-15</v>
      </c>
      <c r="AC139" s="22">
        <f t="shared" si="111"/>
        <v>3.4507000794739384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>
        <f>AI139*VLOOKUP('Données projet'!$B$10,Paramètres!$A$1:$I$89,3,0)*VLOOKUP('Données projet'!$B$10,Paramètres!$A$1:$I$89,5,0)</f>
        <v>0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285.77483300338548</v>
      </c>
      <c r="AO139" s="59">
        <f t="shared" si="144"/>
        <v>320.55212417690637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1.0225454820964748</v>
      </c>
      <c r="AV139" s="21">
        <f>EXP(-LN(2)/25)*AV138+(1-EXP(-LN(2)/25))/(LN(2)/25)*Calculateur!AQ139*Calculateur!AS139*VLOOKUP('Données projet'!$B$10,Paramètres!$A$1:$I$89,3,0)*0.475*44/12</f>
        <v>1.4749174899679522</v>
      </c>
      <c r="AW139" s="21">
        <f>EXP(-LN(2)/2)*AW138+(1-EXP(-LN(2)/2))/(LN(2)/2)*AQ139*AT139*VLOOKUP('Données projet'!$B$10,Paramètres!$A$1:$I$89,3,0)*0.475*44/12</f>
        <v>2.709076422847887E-15</v>
      </c>
      <c r="AX139" s="21">
        <f t="shared" si="114"/>
        <v>2.4974629720644295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-7.9580786405131221E-13</v>
      </c>
      <c r="BE139" s="13">
        <f>BD139*VLOOKUP('Données projet'!$B$11,Paramètres!$A$1:$I$89,3,0)*VLOOKUP('Données projet'!$B$11,Paramètres!$A$1:$I$89,5,0)</f>
        <v>-3.8278358260868117E-13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402.22278907877927</v>
      </c>
      <c r="BJ139" s="59">
        <f t="shared" si="146"/>
        <v>393.06397734082458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3.4061411213693655</v>
      </c>
      <c r="BQ139" s="21">
        <f>EXP(-LN(2)/25)*BQ138+(1-EXP(-LN(2)/25))/(LN(2)/25)*Calculateur!BL139*Calculateur!BN139*VLOOKUP('Données projet'!$B$11,Paramètres!$A$1:$I$89,3,0)*0.475*44/12</f>
        <v>2.3862693652752585</v>
      </c>
      <c r="BR139" s="21">
        <f>EXP(-LN(2)/2)*BR138+(1-EXP(-LN(2)/2))/(LN(2)/2)*BL139*BO139*VLOOKUP('Données projet'!$B$11,Paramètres!$A$1:$I$89,3,0)*0.475*44/12</f>
        <v>9.8212957028493804E-14</v>
      </c>
      <c r="BS139" s="22">
        <f t="shared" si="117"/>
        <v>5.7924104866447221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-3.4106051316484809E-13</v>
      </c>
      <c r="BZ139" s="13">
        <f>BY139*VLOOKUP('Données projet'!$B$12,Paramètres!$A$1:$I$89,3,0)*VLOOKUP('Données projet'!$B$12,Paramètres!$A$1:$I$89,5,0)</f>
        <v>-3.0859155231155454E-13</v>
      </c>
      <c r="CA139" s="13" t="e">
        <f t="shared" si="147"/>
        <v>#NUM!</v>
      </c>
      <c r="CB139" s="20" t="e">
        <f t="shared" si="118"/>
        <v>#NUM!</v>
      </c>
      <c r="CC139" s="59" t="e">
        <f t="shared" si="119"/>
        <v>#NUM!</v>
      </c>
      <c r="CD139" s="59">
        <f ca="1">AVERAGE(OFFSET($CC$3,0,0,'Données projet'!$E$12+1,1))-AVERAGE(OFFSET($H$3,0,0,'Données projet'!$E$12+1,1))</f>
        <v>363.51171608224735</v>
      </c>
      <c r="CE139" s="59">
        <f t="shared" si="148"/>
        <v>257.9239334647138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0.29516532781812571</v>
      </c>
      <c r="CL139" s="21">
        <f>EXP(-LN(2)/25)*CL138+(1-EXP(-LN(2)/25))/(LN(2)/25)*Calculateur!CG139*Calculateur!CI139*VLOOKUP('Données projet'!$B$12,Paramètres!$A$1:$I$89,3,0)*0.475*44/12</f>
        <v>0.59710459942933169</v>
      </c>
      <c r="CM139" s="21">
        <f>EXP(-LN(2)/2)*CM138+(1-EXP(-LN(2)/2))/(LN(2)/2)*CG139*CJ139*VLOOKUP('Données projet'!$B$12,Paramètres!$A$1:$I$89,3,0)*0.475*44/12</f>
        <v>2.3929010744113335E-15</v>
      </c>
      <c r="CN139" s="22">
        <f t="shared" si="120"/>
        <v>0.8922699272474599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1">
        <f t="shared" si="140"/>
        <v>20.861319623408168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67">
        <f t="shared" si="110"/>
        <v>459.94694834410268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-1.2505552149377763E-12</v>
      </c>
      <c r="O140" s="13">
        <f>N140*VLOOKUP('Données projet'!$B$9,Paramètres!$A$1:$I$89,3,0)*VLOOKUP('Données projet'!$B$9,Paramètres!$A$1:$I$89,5,0)</f>
        <v>-6.9906036515021697E-13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446.28010102877403</v>
      </c>
      <c r="T140" s="59">
        <f t="shared" si="142"/>
        <v>445.84011537290456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1.3720476178877363</v>
      </c>
      <c r="AA140" s="21">
        <f>EXP(-LN(2)/25)*AA139+(1-EXP(-LN(2)/25))/(LN(2)/25)*Calculateur!V140*Calculateur!X140*VLOOKUP('Données projet'!$B$9,Paramètres!$A$1:$I$89,3,0)*0.475*44/12</f>
        <v>1.9951188748209583</v>
      </c>
      <c r="AB140" s="21">
        <f>EXP(-LN(2)/2)*AB139+(1-EXP(-LN(2)/2))/(LN(2)/2)*V140*Y140*VLOOKUP('Données projet'!$B$9,Paramètres!$A$1:$I$89,3,0)*0.475*44/12</f>
        <v>2.8632120785236502E-15</v>
      </c>
      <c r="AC140" s="22">
        <f t="shared" si="111"/>
        <v>3.3671664927086971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>
        <f>AI140*VLOOKUP('Données projet'!$B$10,Paramètres!$A$1:$I$89,3,0)*VLOOKUP('Données projet'!$B$10,Paramètres!$A$1:$I$89,5,0)</f>
        <v>0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285.77483300338548</v>
      </c>
      <c r="AO140" s="59">
        <f t="shared" si="144"/>
        <v>320.55212417690637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1.0024939888837225</v>
      </c>
      <c r="AV140" s="21">
        <f>EXP(-LN(2)/25)*AV139+(1-EXP(-LN(2)/25))/(LN(2)/25)*Calculateur!AQ140*Calculateur!AS140*VLOOKUP('Données projet'!$B$10,Paramètres!$A$1:$I$89,3,0)*0.475*44/12</f>
        <v>1.4345857936422388</v>
      </c>
      <c r="AW140" s="21">
        <f>EXP(-LN(2)/2)*AW139+(1-EXP(-LN(2)/2))/(LN(2)/2)*AQ140*AT140*VLOOKUP('Données projet'!$B$10,Paramètres!$A$1:$I$89,3,0)*0.475*44/12</f>
        <v>1.9156063093483357E-15</v>
      </c>
      <c r="AX140" s="21">
        <f t="shared" si="114"/>
        <v>2.4370797825259629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-7.9580786405131221E-13</v>
      </c>
      <c r="BE140" s="13">
        <f>BD140*VLOOKUP('Données projet'!$B$11,Paramètres!$A$1:$I$89,3,0)*VLOOKUP('Données projet'!$B$11,Paramètres!$A$1:$I$89,5,0)</f>
        <v>-3.8278358260868117E-13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402.22278907877927</v>
      </c>
      <c r="BJ140" s="59">
        <f t="shared" si="146"/>
        <v>393.06397734082458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3.3393487715202563</v>
      </c>
      <c r="BQ140" s="21">
        <f>EXP(-LN(2)/25)*BQ139+(1-EXP(-LN(2)/25))/(LN(2)/25)*Calculateur!BL140*Calculateur!BN140*VLOOKUP('Données projet'!$B$11,Paramètres!$A$1:$I$89,3,0)*0.475*44/12</f>
        <v>2.3210167039933545</v>
      </c>
      <c r="BR140" s="21">
        <f>EXP(-LN(2)/2)*BR139+(1-EXP(-LN(2)/2))/(LN(2)/2)*BL140*BO140*VLOOKUP('Données projet'!$B$11,Paramètres!$A$1:$I$89,3,0)*0.475*44/12</f>
        <v>6.9447047915230962E-14</v>
      </c>
      <c r="BS140" s="22">
        <f t="shared" si="117"/>
        <v>5.6603654755136805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-3.4106051316484809E-13</v>
      </c>
      <c r="BZ140" s="13">
        <f>BY140*VLOOKUP('Données projet'!$B$12,Paramètres!$A$1:$I$89,3,0)*VLOOKUP('Données projet'!$B$12,Paramètres!$A$1:$I$89,5,0)</f>
        <v>-3.0859155231155454E-13</v>
      </c>
      <c r="CA140" s="13" t="e">
        <f t="shared" si="147"/>
        <v>#NUM!</v>
      </c>
      <c r="CB140" s="20" t="e">
        <f t="shared" si="118"/>
        <v>#NUM!</v>
      </c>
      <c r="CC140" s="59" t="e">
        <f t="shared" si="119"/>
        <v>#NUM!</v>
      </c>
      <c r="CD140" s="59">
        <f ca="1">AVERAGE(OFFSET($CC$3,0,0,'Données projet'!$E$12+1,1))-AVERAGE(OFFSET($H$3,0,0,'Données projet'!$E$12+1,1))</f>
        <v>363.51171608224735</v>
      </c>
      <c r="CE140" s="59">
        <f t="shared" si="148"/>
        <v>257.9239334647138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0.28937731577268544</v>
      </c>
      <c r="CL140" s="21">
        <f>EXP(-LN(2)/25)*CL139+(1-EXP(-LN(2)/25))/(LN(2)/25)*Calculateur!CG140*Calculateur!CI140*VLOOKUP('Données projet'!$B$12,Paramètres!$A$1:$I$89,3,0)*0.475*44/12</f>
        <v>0.58077674275757041</v>
      </c>
      <c r="CM140" s="21">
        <f>EXP(-LN(2)/2)*CM139+(1-EXP(-LN(2)/2))/(LN(2)/2)*CG140*CJ140*VLOOKUP('Données projet'!$B$12,Paramètres!$A$1:$I$89,3,0)*0.475*44/12</f>
        <v>1.6920365764248293E-15</v>
      </c>
      <c r="CN140" s="22">
        <f t="shared" si="120"/>
        <v>0.87015405853025751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1">
        <f t="shared" si="140"/>
        <v>20.995810517717057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67">
        <f t="shared" si="110"/>
        <v>461.13213665169064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-1.2505552149377763E-12</v>
      </c>
      <c r="O141" s="13">
        <f>N141*VLOOKUP('Données projet'!$B$9,Paramètres!$A$1:$I$89,3,0)*VLOOKUP('Données projet'!$B$9,Paramètres!$A$1:$I$89,5,0)</f>
        <v>-6.9906036515021697E-13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446.28010102877403</v>
      </c>
      <c r="T141" s="59">
        <f t="shared" si="142"/>
        <v>445.84011537290456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1.345142600967371</v>
      </c>
      <c r="AA141" s="21">
        <f>EXP(-LN(2)/25)*AA140+(1-EXP(-LN(2)/25))/(LN(2)/25)*Calculateur!V141*Calculateur!X141*VLOOKUP('Données projet'!$B$9,Paramètres!$A$1:$I$89,3,0)*0.475*44/12</f>
        <v>1.9405622442702375</v>
      </c>
      <c r="AB141" s="21">
        <f>EXP(-LN(2)/2)*AB140+(1-EXP(-LN(2)/2))/(LN(2)/2)*V141*Y141*VLOOKUP('Données projet'!$B$9,Paramètres!$A$1:$I$89,3,0)*0.475*44/12</f>
        <v>2.0245966766993026E-15</v>
      </c>
      <c r="AC141" s="22">
        <f t="shared" si="111"/>
        <v>3.285704845237611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>
        <f>AI141*VLOOKUP('Données projet'!$B$10,Paramètres!$A$1:$I$89,3,0)*VLOOKUP('Données projet'!$B$10,Paramètres!$A$1:$I$89,5,0)</f>
        <v>0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285.77483300338548</v>
      </c>
      <c r="AO141" s="59">
        <f t="shared" si="144"/>
        <v>320.55212417690637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0.98283569322266917</v>
      </c>
      <c r="AV141" s="21">
        <f>EXP(-LN(2)/25)*AV140+(1-EXP(-LN(2)/25))/(LN(2)/25)*Calculateur!AQ141*Calculateur!AS141*VLOOKUP('Données projet'!$B$10,Paramètres!$A$1:$I$89,3,0)*0.475*44/12</f>
        <v>1.3953569696735038</v>
      </c>
      <c r="AW141" s="21">
        <f>EXP(-LN(2)/2)*AW140+(1-EXP(-LN(2)/2))/(LN(2)/2)*AQ141*AT141*VLOOKUP('Données projet'!$B$10,Paramètres!$A$1:$I$89,3,0)*0.475*44/12</f>
        <v>1.3545382114239435E-15</v>
      </c>
      <c r="AX141" s="21">
        <f t="shared" si="114"/>
        <v>2.3781926628961743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-7.9580786405131221E-13</v>
      </c>
      <c r="BE141" s="13">
        <f>BD141*VLOOKUP('Données projet'!$B$11,Paramètres!$A$1:$I$89,3,0)*VLOOKUP('Données projet'!$B$11,Paramètres!$A$1:$I$89,5,0)</f>
        <v>-3.8278358260868117E-13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402.22278907877927</v>
      </c>
      <c r="BJ141" s="59">
        <f t="shared" si="146"/>
        <v>393.06397734082458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3.2738661789123773</v>
      </c>
      <c r="BQ141" s="21">
        <f>EXP(-LN(2)/25)*BQ140+(1-EXP(-LN(2)/25))/(LN(2)/25)*Calculateur!BL141*Calculateur!BN141*VLOOKUP('Données projet'!$B$11,Paramètres!$A$1:$I$89,3,0)*0.475*44/12</f>
        <v>2.2575483801656926</v>
      </c>
      <c r="BR141" s="21">
        <f>EXP(-LN(2)/2)*BR140+(1-EXP(-LN(2)/2))/(LN(2)/2)*BL141*BO141*VLOOKUP('Données projet'!$B$11,Paramètres!$A$1:$I$89,3,0)*0.475*44/12</f>
        <v>4.9106478514246902E-14</v>
      </c>
      <c r="BS141" s="22">
        <f t="shared" si="117"/>
        <v>5.5314145590781187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-3.4106051316484809E-13</v>
      </c>
      <c r="BZ141" s="13">
        <f>BY141*VLOOKUP('Données projet'!$B$12,Paramètres!$A$1:$I$89,3,0)*VLOOKUP('Données projet'!$B$12,Paramètres!$A$1:$I$89,5,0)</f>
        <v>-3.0859155231155454E-13</v>
      </c>
      <c r="CA141" s="13" t="e">
        <f t="shared" si="147"/>
        <v>#NUM!</v>
      </c>
      <c r="CB141" s="20" t="e">
        <f t="shared" si="118"/>
        <v>#NUM!</v>
      </c>
      <c r="CC141" s="59" t="e">
        <f t="shared" si="119"/>
        <v>#NUM!</v>
      </c>
      <c r="CD141" s="59">
        <f ca="1">AVERAGE(OFFSET($CC$3,0,0,'Données projet'!$E$12+1,1))-AVERAGE(OFFSET($H$3,0,0,'Données projet'!$E$12+1,1))</f>
        <v>363.51171608224735</v>
      </c>
      <c r="CE141" s="59">
        <f t="shared" si="148"/>
        <v>257.9239334647138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0.28370280311311752</v>
      </c>
      <c r="CL141" s="21">
        <f>EXP(-LN(2)/25)*CL140+(1-EXP(-LN(2)/25))/(LN(2)/25)*Calculateur!CG141*Calculateur!CI141*VLOOKUP('Données projet'!$B$12,Paramètres!$A$1:$I$89,3,0)*0.475*44/12</f>
        <v>0.56489537218514307</v>
      </c>
      <c r="CM141" s="21">
        <f>EXP(-LN(2)/2)*CM140+(1-EXP(-LN(2)/2))/(LN(2)/2)*CG141*CJ141*VLOOKUP('Données projet'!$B$12,Paramètres!$A$1:$I$89,3,0)*0.475*44/12</f>
        <v>1.1964505372056668E-15</v>
      </c>
      <c r="CN141" s="22">
        <f t="shared" si="120"/>
        <v>0.84859817529826176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1">
        <f t="shared" si="140"/>
        <v>21.130188018659304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67">
        <f t="shared" si="110"/>
        <v>462.31712746583173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-1.2505552149377763E-12</v>
      </c>
      <c r="O142" s="13">
        <f>N142*VLOOKUP('Données projet'!$B$9,Paramètres!$A$1:$I$89,3,0)*VLOOKUP('Données projet'!$B$9,Paramètres!$A$1:$I$89,5,0)</f>
        <v>-6.9906036515021697E-13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446.28010102877403</v>
      </c>
      <c r="T142" s="59">
        <f t="shared" si="142"/>
        <v>445.84011537290456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1.3187651750183742</v>
      </c>
      <c r="AA142" s="21">
        <f>EXP(-LN(2)/25)*AA141+(1-EXP(-LN(2)/25))/(LN(2)/25)*Calculateur!V142*Calculateur!X142*VLOOKUP('Données projet'!$B$9,Paramètres!$A$1:$I$89,3,0)*0.475*44/12</f>
        <v>1.8874974676509346</v>
      </c>
      <c r="AB142" s="21">
        <f>EXP(-LN(2)/2)*AB141+(1-EXP(-LN(2)/2))/(LN(2)/2)*V142*Y142*VLOOKUP('Données projet'!$B$9,Paramètres!$A$1:$I$89,3,0)*0.475*44/12</f>
        <v>1.4316060392618251E-15</v>
      </c>
      <c r="AC142" s="22">
        <f t="shared" si="111"/>
        <v>3.2062626426693099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>
        <f>AI142*VLOOKUP('Données projet'!$B$10,Paramètres!$A$1:$I$89,3,0)*VLOOKUP('Données projet'!$B$10,Paramètres!$A$1:$I$89,5,0)</f>
        <v>0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285.77483300338548</v>
      </c>
      <c r="AO142" s="59">
        <f t="shared" si="144"/>
        <v>320.55212417690637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0.96356288474915264</v>
      </c>
      <c r="AV142" s="21">
        <f>EXP(-LN(2)/25)*AV141+(1-EXP(-LN(2)/25))/(LN(2)/25)*Calculateur!AQ142*Calculateur!AS142*VLOOKUP('Données projet'!$B$10,Paramètres!$A$1:$I$89,3,0)*0.475*44/12</f>
        <v>1.3572008599591479</v>
      </c>
      <c r="AW142" s="21">
        <f>EXP(-LN(2)/2)*AW141+(1-EXP(-LN(2)/2))/(LN(2)/2)*AQ142*AT142*VLOOKUP('Données projet'!$B$10,Paramètres!$A$1:$I$89,3,0)*0.475*44/12</f>
        <v>9.5780315467416783E-16</v>
      </c>
      <c r="AX142" s="21">
        <f t="shared" si="114"/>
        <v>2.3207637447083016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-7.9580786405131221E-13</v>
      </c>
      <c r="BE142" s="13">
        <f>BD142*VLOOKUP('Données projet'!$B$11,Paramètres!$A$1:$I$89,3,0)*VLOOKUP('Données projet'!$B$11,Paramètres!$A$1:$I$89,5,0)</f>
        <v>-3.8278358260868117E-13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402.22278907877927</v>
      </c>
      <c r="BJ142" s="59">
        <f t="shared" si="146"/>
        <v>393.06397734082458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3.2096676600051008</v>
      </c>
      <c r="BQ142" s="21">
        <f>EXP(-LN(2)/25)*BQ141+(1-EXP(-LN(2)/25))/(LN(2)/25)*Calculateur!BL142*Calculateur!BN142*VLOOKUP('Données projet'!$B$11,Paramètres!$A$1:$I$89,3,0)*0.475*44/12</f>
        <v>2.1958156009907519</v>
      </c>
      <c r="BR142" s="21">
        <f>EXP(-LN(2)/2)*BR141+(1-EXP(-LN(2)/2))/(LN(2)/2)*BL142*BO142*VLOOKUP('Données projet'!$B$11,Paramètres!$A$1:$I$89,3,0)*0.475*44/12</f>
        <v>3.4723523957615481E-14</v>
      </c>
      <c r="BS142" s="22">
        <f t="shared" si="117"/>
        <v>5.4054832609958874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-3.4106051316484809E-13</v>
      </c>
      <c r="BZ142" s="13">
        <f>BY142*VLOOKUP('Données projet'!$B$12,Paramètres!$A$1:$I$89,3,0)*VLOOKUP('Données projet'!$B$12,Paramètres!$A$1:$I$89,5,0)</f>
        <v>-3.0859155231155454E-13</v>
      </c>
      <c r="CA142" s="13" t="e">
        <f t="shared" si="147"/>
        <v>#NUM!</v>
      </c>
      <c r="CB142" s="20" t="e">
        <f t="shared" si="118"/>
        <v>#NUM!</v>
      </c>
      <c r="CC142" s="59" t="e">
        <f t="shared" si="119"/>
        <v>#NUM!</v>
      </c>
      <c r="CD142" s="59">
        <f ca="1">AVERAGE(OFFSET($CC$3,0,0,'Données projet'!$E$12+1,1))-AVERAGE(OFFSET($H$3,0,0,'Données projet'!$E$12+1,1))</f>
        <v>363.51171608224735</v>
      </c>
      <c r="CE142" s="59">
        <f t="shared" si="148"/>
        <v>257.9239334647138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0.27813956418569274</v>
      </c>
      <c r="CL142" s="21">
        <f>EXP(-LN(2)/25)*CL141+(1-EXP(-LN(2)/25))/(LN(2)/25)*Calculateur!CG142*Calculateur!CI142*VLOOKUP('Données projet'!$B$12,Paramètres!$A$1:$I$89,3,0)*0.475*44/12</f>
        <v>0.54944827852618383</v>
      </c>
      <c r="CM142" s="21">
        <f>EXP(-LN(2)/2)*CM141+(1-EXP(-LN(2)/2))/(LN(2)/2)*CG142*CJ142*VLOOKUP('Données projet'!$B$12,Paramètres!$A$1:$I$89,3,0)*0.475*44/12</f>
        <v>8.4601828821241466E-16</v>
      </c>
      <c r="CN142" s="22">
        <f t="shared" si="120"/>
        <v>0.82758784271187746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1">
        <f t="shared" si="140"/>
        <v>21.264453036605797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67">
        <f t="shared" si="110"/>
        <v>463.50192237208853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-1.2505552149377763E-12</v>
      </c>
      <c r="O143" s="13">
        <f>N143*VLOOKUP('Données projet'!$B$9,Paramètres!$A$1:$I$89,3,0)*VLOOKUP('Données projet'!$B$9,Paramètres!$A$1:$I$89,5,0)</f>
        <v>-6.9906036515021697E-13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446.28010102877403</v>
      </c>
      <c r="T143" s="59">
        <f t="shared" si="142"/>
        <v>445.84011537290456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1.292904994303596</v>
      </c>
      <c r="AA143" s="21">
        <f>EXP(-LN(2)/25)*AA142+(1-EXP(-LN(2)/25))/(LN(2)/25)*Calculateur!V143*Calculateur!X143*VLOOKUP('Données projet'!$B$9,Paramètres!$A$1:$I$89,3,0)*0.475*44/12</f>
        <v>1.8358837501388419</v>
      </c>
      <c r="AB143" s="21">
        <f>EXP(-LN(2)/2)*AB142+(1-EXP(-LN(2)/2))/(LN(2)/2)*V143*Y143*VLOOKUP('Données projet'!$B$9,Paramètres!$A$1:$I$89,3,0)*0.475*44/12</f>
        <v>1.0122983383496513E-15</v>
      </c>
      <c r="AC143" s="22">
        <f t="shared" si="111"/>
        <v>3.1287887444424385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>
        <f>AI143*VLOOKUP('Données projet'!$B$10,Paramètres!$A$1:$I$89,3,0)*VLOOKUP('Données projet'!$B$10,Paramètres!$A$1:$I$89,5,0)</f>
        <v>0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285.77483300338548</v>
      </c>
      <c r="AO143" s="59">
        <f t="shared" si="144"/>
        <v>320.55212417690637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0.94466800429454933</v>
      </c>
      <c r="AV143" s="21">
        <f>EXP(-LN(2)/25)*AV142+(1-EXP(-LN(2)/25))/(LN(2)/25)*Calculateur!AQ143*Calculateur!AS143*VLOOKUP('Données projet'!$B$10,Paramètres!$A$1:$I$89,3,0)*0.475*44/12</f>
        <v>1.3200881310714736</v>
      </c>
      <c r="AW143" s="21">
        <f>EXP(-LN(2)/2)*AW142+(1-EXP(-LN(2)/2))/(LN(2)/2)*AQ143*AT143*VLOOKUP('Données projet'!$B$10,Paramètres!$A$1:$I$89,3,0)*0.475*44/12</f>
        <v>6.7726910571197174E-16</v>
      </c>
      <c r="AX143" s="21">
        <f t="shared" si="114"/>
        <v>2.2647561353660239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-7.9580786405131221E-13</v>
      </c>
      <c r="BE143" s="13">
        <f>BD143*VLOOKUP('Données projet'!$B$11,Paramètres!$A$1:$I$89,3,0)*VLOOKUP('Données projet'!$B$11,Paramètres!$A$1:$I$89,5,0)</f>
        <v>-3.8278358260868117E-13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402.22278907877927</v>
      </c>
      <c r="BJ143" s="59">
        <f t="shared" si="146"/>
        <v>393.06397734082458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3.1467280348963662</v>
      </c>
      <c r="BQ143" s="21">
        <f>EXP(-LN(2)/25)*BQ142+(1-EXP(-LN(2)/25))/(LN(2)/25)*Calculateur!BL143*Calculateur!BN143*VLOOKUP('Données projet'!$B$11,Paramètres!$A$1:$I$89,3,0)*0.475*44/12</f>
        <v>2.1357709079087361</v>
      </c>
      <c r="BR143" s="21">
        <f>EXP(-LN(2)/2)*BR142+(1-EXP(-LN(2)/2))/(LN(2)/2)*BL143*BO143*VLOOKUP('Données projet'!$B$11,Paramètres!$A$1:$I$89,3,0)*0.475*44/12</f>
        <v>2.4553239257123451E-14</v>
      </c>
      <c r="BS143" s="22">
        <f t="shared" si="117"/>
        <v>5.2824989428051268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-3.4106051316484809E-13</v>
      </c>
      <c r="BZ143" s="13">
        <f>BY143*VLOOKUP('Données projet'!$B$12,Paramètres!$A$1:$I$89,3,0)*VLOOKUP('Données projet'!$B$12,Paramètres!$A$1:$I$89,5,0)</f>
        <v>-3.0859155231155454E-13</v>
      </c>
      <c r="CA143" s="13" t="e">
        <f t="shared" si="147"/>
        <v>#NUM!</v>
      </c>
      <c r="CB143" s="20" t="e">
        <f t="shared" si="118"/>
        <v>#NUM!</v>
      </c>
      <c r="CC143" s="59" t="e">
        <f t="shared" si="119"/>
        <v>#NUM!</v>
      </c>
      <c r="CD143" s="59">
        <f ca="1">AVERAGE(OFFSET($CC$3,0,0,'Données projet'!$E$12+1,1))-AVERAGE(OFFSET($H$3,0,0,'Données projet'!$E$12+1,1))</f>
        <v>363.51171608224735</v>
      </c>
      <c r="CE143" s="59">
        <f t="shared" si="148"/>
        <v>257.9239334647138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0.27268541698039406</v>
      </c>
      <c r="CL143" s="21">
        <f>EXP(-LN(2)/25)*CL142+(1-EXP(-LN(2)/25))/(LN(2)/25)*Calculateur!CG143*Calculateur!CI143*VLOOKUP('Données projet'!$B$12,Paramètres!$A$1:$I$89,3,0)*0.475*44/12</f>
        <v>0.53442358645565613</v>
      </c>
      <c r="CM143" s="21">
        <f>EXP(-LN(2)/2)*CM142+(1-EXP(-LN(2)/2))/(LN(2)/2)*CG143*CJ143*VLOOKUP('Données projet'!$B$12,Paramètres!$A$1:$I$89,3,0)*0.475*44/12</f>
        <v>5.9822526860283339E-16</v>
      </c>
      <c r="CN143" s="22">
        <f t="shared" si="120"/>
        <v>0.80710900343605074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1">
        <f t="shared" si="140"/>
        <v>21.39860646817062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67">
        <f t="shared" si="110"/>
        <v>464.68652293206395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-1.2505552149377763E-12</v>
      </c>
      <c r="O144" s="13">
        <f>N144*VLOOKUP('Données projet'!$B$9,Paramètres!$A$1:$I$89,3,0)*VLOOKUP('Données projet'!$B$9,Paramètres!$A$1:$I$89,5,0)</f>
        <v>-6.9906036515021697E-13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446.28010102877403</v>
      </c>
      <c r="T144" s="59">
        <f t="shared" si="142"/>
        <v>445.84011537290456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1.2675519159594817</v>
      </c>
      <c r="AA144" s="21">
        <f>EXP(-LN(2)/25)*AA143+(1-EXP(-LN(2)/25))/(LN(2)/25)*Calculateur!V144*Calculateur!X144*VLOOKUP('Données projet'!$B$9,Paramètres!$A$1:$I$89,3,0)*0.475*44/12</f>
        <v>1.7856814124463647</v>
      </c>
      <c r="AB144" s="21">
        <f>EXP(-LN(2)/2)*AB143+(1-EXP(-LN(2)/2))/(LN(2)/2)*V144*Y144*VLOOKUP('Données projet'!$B$9,Paramètres!$A$1:$I$89,3,0)*0.475*44/12</f>
        <v>7.1580301963091256E-16</v>
      </c>
      <c r="AC144" s="22">
        <f t="shared" si="111"/>
        <v>3.053233328405847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>
        <f>AI144*VLOOKUP('Données projet'!$B$10,Paramètres!$A$1:$I$89,3,0)*VLOOKUP('Données projet'!$B$10,Paramètres!$A$1:$I$89,5,0)</f>
        <v>0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285.77483300338548</v>
      </c>
      <c r="AO144" s="59">
        <f t="shared" si="144"/>
        <v>320.55212417690637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0.92614364092092172</v>
      </c>
      <c r="AV144" s="21">
        <f>EXP(-LN(2)/25)*AV143+(1-EXP(-LN(2)/25))/(LN(2)/25)*Calculateur!AQ144*Calculateur!AS144*VLOOKUP('Données projet'!$B$10,Paramètres!$A$1:$I$89,3,0)*0.475*44/12</f>
        <v>1.2839902517069064</v>
      </c>
      <c r="AW144" s="21">
        <f>EXP(-LN(2)/2)*AW143+(1-EXP(-LN(2)/2))/(LN(2)/2)*AQ144*AT144*VLOOKUP('Données projet'!$B$10,Paramètres!$A$1:$I$89,3,0)*0.475*44/12</f>
        <v>4.7890157733708392E-16</v>
      </c>
      <c r="AX144" s="21">
        <f t="shared" si="114"/>
        <v>2.2101338926278284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-7.9580786405131221E-13</v>
      </c>
      <c r="BE144" s="13">
        <f>BD144*VLOOKUP('Données projet'!$B$11,Paramètres!$A$1:$I$89,3,0)*VLOOKUP('Données projet'!$B$11,Paramètres!$A$1:$I$89,5,0)</f>
        <v>-3.8278358260868117E-13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402.22278907877927</v>
      </c>
      <c r="BJ144" s="59">
        <f t="shared" si="146"/>
        <v>393.06397734082458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3.0850226174466333</v>
      </c>
      <c r="BQ144" s="21">
        <f>EXP(-LN(2)/25)*BQ143+(1-EXP(-LN(2)/25))/(LN(2)/25)*Calculateur!BL144*Calculateur!BN144*VLOOKUP('Données projet'!$B$11,Paramètres!$A$1:$I$89,3,0)*0.475*44/12</f>
        <v>2.0773681401166613</v>
      </c>
      <c r="BR144" s="21">
        <f>EXP(-LN(2)/2)*BR143+(1-EXP(-LN(2)/2))/(LN(2)/2)*BL144*BO144*VLOOKUP('Données projet'!$B$11,Paramètres!$A$1:$I$89,3,0)*0.475*44/12</f>
        <v>1.736176197880774E-14</v>
      </c>
      <c r="BS144" s="22">
        <f t="shared" si="117"/>
        <v>5.1623907575633119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-3.4106051316484809E-13</v>
      </c>
      <c r="BZ144" s="13">
        <f>BY144*VLOOKUP('Données projet'!$B$12,Paramètres!$A$1:$I$89,3,0)*VLOOKUP('Données projet'!$B$12,Paramètres!$A$1:$I$89,5,0)</f>
        <v>-3.0859155231155454E-13</v>
      </c>
      <c r="CA144" s="13" t="e">
        <f t="shared" si="147"/>
        <v>#NUM!</v>
      </c>
      <c r="CB144" s="20" t="e">
        <f t="shared" si="118"/>
        <v>#NUM!</v>
      </c>
      <c r="CC144" s="59" t="e">
        <f t="shared" si="119"/>
        <v>#NUM!</v>
      </c>
      <c r="CD144" s="59">
        <f ca="1">AVERAGE(OFFSET($CC$3,0,0,'Données projet'!$E$12+1,1))-AVERAGE(OFFSET($H$3,0,0,'Données projet'!$E$12+1,1))</f>
        <v>363.51171608224735</v>
      </c>
      <c r="CE144" s="59">
        <f t="shared" si="148"/>
        <v>257.9239334647138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0.26733822227508997</v>
      </c>
      <c r="CL144" s="21">
        <f>EXP(-LN(2)/25)*CL143+(1-EXP(-LN(2)/25))/(LN(2)/25)*Calculateur!CG144*Calculateur!CI144*VLOOKUP('Données projet'!$B$12,Paramètres!$A$1:$I$89,3,0)*0.475*44/12</f>
        <v>0.5198097453799112</v>
      </c>
      <c r="CM144" s="21">
        <f>EXP(-LN(2)/2)*CM143+(1-EXP(-LN(2)/2))/(LN(2)/2)*CG144*CJ144*VLOOKUP('Données projet'!$B$12,Paramètres!$A$1:$I$89,3,0)*0.475*44/12</f>
        <v>4.2300914410620733E-16</v>
      </c>
      <c r="CN144" s="22">
        <f t="shared" si="120"/>
        <v>0.78714796765500161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1">
        <f t="shared" si="140"/>
        <v>21.532649196514924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67">
        <f t="shared" si="110"/>
        <v>465.87093068393028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-1.2505552149377763E-12</v>
      </c>
      <c r="O145" s="13">
        <f>N145*VLOOKUP('Données projet'!$B$9,Paramètres!$A$1:$I$89,3,0)*VLOOKUP('Données projet'!$B$9,Paramètres!$A$1:$I$89,5,0)</f>
        <v>-6.9906036515021697E-13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446.28010102877403</v>
      </c>
      <c r="T145" s="59">
        <f t="shared" si="142"/>
        <v>445.84011537290456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1.2426959960178448</v>
      </c>
      <c r="AA145" s="21">
        <f>EXP(-LN(2)/25)*AA144+(1-EXP(-LN(2)/25))/(LN(2)/25)*Calculateur!V145*Calculateur!X145*VLOOKUP('Données projet'!$B$9,Paramètres!$A$1:$I$89,3,0)*0.475*44/12</f>
        <v>1.7368518603181147</v>
      </c>
      <c r="AB145" s="21">
        <f>EXP(-LN(2)/2)*AB144+(1-EXP(-LN(2)/2))/(LN(2)/2)*V145*Y145*VLOOKUP('Données projet'!$B$9,Paramètres!$A$1:$I$89,3,0)*0.475*44/12</f>
        <v>5.0614916917482566E-16</v>
      </c>
      <c r="AC145" s="22">
        <f t="shared" si="111"/>
        <v>2.9795478563359601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>
        <f>AI145*VLOOKUP('Données projet'!$B$10,Paramètres!$A$1:$I$89,3,0)*VLOOKUP('Données projet'!$B$10,Paramètres!$A$1:$I$89,5,0)</f>
        <v>0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285.77483300338548</v>
      </c>
      <c r="AO145" s="59">
        <f t="shared" si="144"/>
        <v>320.55212417690637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0.90798252901430498</v>
      </c>
      <c r="AV145" s="21">
        <f>EXP(-LN(2)/25)*AV144+(1-EXP(-LN(2)/25))/(LN(2)/25)*Calculateur!AQ145*Calculateur!AS145*VLOOKUP('Données projet'!$B$10,Paramètres!$A$1:$I$89,3,0)*0.475*44/12</f>
        <v>1.2488794707518682</v>
      </c>
      <c r="AW145" s="21">
        <f>EXP(-LN(2)/2)*AW144+(1-EXP(-LN(2)/2))/(LN(2)/2)*AQ145*AT145*VLOOKUP('Données projet'!$B$10,Paramètres!$A$1:$I$89,3,0)*0.475*44/12</f>
        <v>3.3863455285598587E-16</v>
      </c>
      <c r="AX145" s="21">
        <f t="shared" si="114"/>
        <v>2.1568619997661735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-7.9580786405131221E-13</v>
      </c>
      <c r="BE145" s="13">
        <f>BD145*VLOOKUP('Données projet'!$B$11,Paramètres!$A$1:$I$89,3,0)*VLOOKUP('Données projet'!$B$11,Paramètres!$A$1:$I$89,5,0)</f>
        <v>-3.8278358260868117E-13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402.22278907877927</v>
      </c>
      <c r="BJ145" s="59">
        <f t="shared" si="146"/>
        <v>393.06397734082458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3.0245272055965011</v>
      </c>
      <c r="BQ145" s="21">
        <f>EXP(-LN(2)/25)*BQ144+(1-EXP(-LN(2)/25))/(LN(2)/25)*Calculateur!BL145*Calculateur!BN145*VLOOKUP('Données projet'!$B$11,Paramètres!$A$1:$I$89,3,0)*0.475*44/12</f>
        <v>2.0205623990811286</v>
      </c>
      <c r="BR145" s="21">
        <f>EXP(-LN(2)/2)*BR144+(1-EXP(-LN(2)/2))/(LN(2)/2)*BL145*BO145*VLOOKUP('Données projet'!$B$11,Paramètres!$A$1:$I$89,3,0)*0.475*44/12</f>
        <v>1.2276619628561725E-14</v>
      </c>
      <c r="BS145" s="22">
        <f t="shared" si="117"/>
        <v>5.0450896046776421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-3.4106051316484809E-13</v>
      </c>
      <c r="BZ145" s="13">
        <f>BY145*VLOOKUP('Données projet'!$B$12,Paramètres!$A$1:$I$89,3,0)*VLOOKUP('Données projet'!$B$12,Paramètres!$A$1:$I$89,5,0)</f>
        <v>-3.0859155231155454E-13</v>
      </c>
      <c r="CA145" s="13" t="e">
        <f t="shared" si="147"/>
        <v>#NUM!</v>
      </c>
      <c r="CB145" s="20" t="e">
        <f t="shared" si="118"/>
        <v>#NUM!</v>
      </c>
      <c r="CC145" s="59" t="e">
        <f t="shared" si="119"/>
        <v>#NUM!</v>
      </c>
      <c r="CD145" s="59">
        <f ca="1">AVERAGE(OFFSET($CC$3,0,0,'Données projet'!$E$12+1,1))-AVERAGE(OFFSET($H$3,0,0,'Données projet'!$E$12+1,1))</f>
        <v>363.51171608224735</v>
      </c>
      <c r="CE145" s="59">
        <f t="shared" si="148"/>
        <v>257.9239334647138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0.26209588279649015</v>
      </c>
      <c r="CL145" s="21">
        <f>EXP(-LN(2)/25)*CL144+(1-EXP(-LN(2)/25))/(LN(2)/25)*Calculateur!CG145*Calculateur!CI145*VLOOKUP('Données projet'!$B$12,Paramètres!$A$1:$I$89,3,0)*0.475*44/12</f>
        <v>0.50559552055689105</v>
      </c>
      <c r="CM145" s="21">
        <f>EXP(-LN(2)/2)*CM144+(1-EXP(-LN(2)/2))/(LN(2)/2)*CG145*CJ145*VLOOKUP('Données projet'!$B$12,Paramètres!$A$1:$I$89,3,0)*0.475*44/12</f>
        <v>2.9911263430141669E-16</v>
      </c>
      <c r="CN145" s="22">
        <f t="shared" si="120"/>
        <v>0.7676914033533816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1">
        <f t="shared" si="140"/>
        <v>21.666582091642102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67">
        <f t="shared" si="110"/>
        <v>467.0551471429435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-1.2505552149377763E-12</v>
      </c>
      <c r="O146" s="13">
        <f>N146*VLOOKUP('Données projet'!$B$9,Paramètres!$A$1:$I$89,3,0)*VLOOKUP('Données projet'!$B$9,Paramètres!$A$1:$I$89,5,0)</f>
        <v>-6.9906036515021697E-13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446.28010102877403</v>
      </c>
      <c r="T146" s="59">
        <f t="shared" si="142"/>
        <v>445.84011537290456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1.2183274855056492</v>
      </c>
      <c r="AA146" s="21">
        <f>EXP(-LN(2)/25)*AA145+(1-EXP(-LN(2)/25))/(LN(2)/25)*Calculateur!V146*Calculateur!X146*VLOOKUP('Données projet'!$B$9,Paramètres!$A$1:$I$89,3,0)*0.475*44/12</f>
        <v>1.6893575548606461</v>
      </c>
      <c r="AB146" s="21">
        <f>EXP(-LN(2)/2)*AB145+(1-EXP(-LN(2)/2))/(LN(2)/2)*V146*Y146*VLOOKUP('Données projet'!$B$9,Paramètres!$A$1:$I$89,3,0)*0.475*44/12</f>
        <v>3.5790150981545628E-16</v>
      </c>
      <c r="AC146" s="22">
        <f t="shared" si="111"/>
        <v>2.9076850403662955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>
        <f>AI146*VLOOKUP('Données projet'!$B$10,Paramètres!$A$1:$I$89,3,0)*VLOOKUP('Données projet'!$B$10,Paramètres!$A$1:$I$89,5,0)</f>
        <v>0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285.77483300338548</v>
      </c>
      <c r="AO146" s="59">
        <f t="shared" si="144"/>
        <v>320.55212417690637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0.8901775454349925</v>
      </c>
      <c r="AV146" s="21">
        <f>EXP(-LN(2)/25)*AV145+(1-EXP(-LN(2)/25))/(LN(2)/25)*Calculateur!AQ146*Calculateur!AS146*VLOOKUP('Données projet'!$B$10,Paramètres!$A$1:$I$89,3,0)*0.475*44/12</f>
        <v>1.2147287959484414</v>
      </c>
      <c r="AW146" s="21">
        <f>EXP(-LN(2)/2)*AW145+(1-EXP(-LN(2)/2))/(LN(2)/2)*AQ146*AT146*VLOOKUP('Données projet'!$B$10,Paramètres!$A$1:$I$89,3,0)*0.475*44/12</f>
        <v>2.3945078866854196E-16</v>
      </c>
      <c r="AX146" s="21">
        <f t="shared" si="114"/>
        <v>2.1049063413834346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-7.9580786405131221E-13</v>
      </c>
      <c r="BE146" s="13">
        <f>BD146*VLOOKUP('Données projet'!$B$11,Paramètres!$A$1:$I$89,3,0)*VLOOKUP('Données projet'!$B$11,Paramètres!$A$1:$I$89,5,0)</f>
        <v>-3.8278358260868117E-13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402.22278907877927</v>
      </c>
      <c r="BJ146" s="59">
        <f t="shared" si="146"/>
        <v>393.06397734082458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2.9652180718741925</v>
      </c>
      <c r="BQ146" s="21">
        <f>EXP(-LN(2)/25)*BQ145+(1-EXP(-LN(2)/25))/(LN(2)/25)*Calculateur!BL146*Calculateur!BN146*VLOOKUP('Données projet'!$B$11,Paramètres!$A$1:$I$89,3,0)*0.475*44/12</f>
        <v>1.9653100140214965</v>
      </c>
      <c r="BR146" s="21">
        <f>EXP(-LN(2)/2)*BR145+(1-EXP(-LN(2)/2))/(LN(2)/2)*BL146*BO146*VLOOKUP('Données projet'!$B$11,Paramètres!$A$1:$I$89,3,0)*0.475*44/12</f>
        <v>8.6808809894038702E-15</v>
      </c>
      <c r="BS146" s="22">
        <f t="shared" si="117"/>
        <v>4.9305280858956984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-3.4106051316484809E-13</v>
      </c>
      <c r="BZ146" s="13">
        <f>BY146*VLOOKUP('Données projet'!$B$12,Paramètres!$A$1:$I$89,3,0)*VLOOKUP('Données projet'!$B$12,Paramètres!$A$1:$I$89,5,0)</f>
        <v>-3.0859155231155454E-13</v>
      </c>
      <c r="CA146" s="13" t="e">
        <f t="shared" si="147"/>
        <v>#NUM!</v>
      </c>
      <c r="CB146" s="20" t="e">
        <f t="shared" si="118"/>
        <v>#NUM!</v>
      </c>
      <c r="CC146" s="59" t="e">
        <f t="shared" si="119"/>
        <v>#NUM!</v>
      </c>
      <c r="CD146" s="59">
        <f ca="1">AVERAGE(OFFSET($CC$3,0,0,'Données projet'!$E$12+1,1))-AVERAGE(OFFSET($H$3,0,0,'Données projet'!$E$12+1,1))</f>
        <v>363.51171608224735</v>
      </c>
      <c r="CE146" s="59">
        <f t="shared" si="148"/>
        <v>257.9239334647138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0.25695634239755438</v>
      </c>
      <c r="CL146" s="21">
        <f>EXP(-LN(2)/25)*CL145+(1-EXP(-LN(2)/25))/(LN(2)/25)*Calculateur!CG146*Calculateur!CI146*VLOOKUP('Données projet'!$B$12,Paramètres!$A$1:$I$89,3,0)*0.475*44/12</f>
        <v>0.49176998445914999</v>
      </c>
      <c r="CM146" s="21">
        <f>EXP(-LN(2)/2)*CM145+(1-EXP(-LN(2)/2))/(LN(2)/2)*CG146*CJ146*VLOOKUP('Données projet'!$B$12,Paramètres!$A$1:$I$89,3,0)*0.475*44/12</f>
        <v>2.1150457205310367E-16</v>
      </c>
      <c r="CN146" s="22">
        <f t="shared" si="120"/>
        <v>0.74872632685670459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1">
        <f t="shared" si="140"/>
        <v>21.800406010684483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67">
        <f t="shared" si="110"/>
        <v>468.23917380194229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-1.2505552149377763E-12</v>
      </c>
      <c r="O147" s="13">
        <f>N147*VLOOKUP('Données projet'!$B$9,Paramètres!$A$1:$I$89,3,0)*VLOOKUP('Données projet'!$B$9,Paramètres!$A$1:$I$89,5,0)</f>
        <v>-6.9906036515021697E-13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446.28010102877403</v>
      </c>
      <c r="T147" s="59">
        <f t="shared" si="142"/>
        <v>445.84011537290456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1.1944368266212739</v>
      </c>
      <c r="AA147" s="21">
        <f>EXP(-LN(2)/25)*AA146+(1-EXP(-LN(2)/25))/(LN(2)/25)*Calculateur!V147*Calculateur!X147*VLOOKUP('Données projet'!$B$9,Paramètres!$A$1:$I$89,3,0)*0.475*44/12</f>
        <v>1.6431619836835289</v>
      </c>
      <c r="AB147" s="21">
        <f>EXP(-LN(2)/2)*AB146+(1-EXP(-LN(2)/2))/(LN(2)/2)*V147*Y147*VLOOKUP('Données projet'!$B$9,Paramètres!$A$1:$I$89,3,0)*0.475*44/12</f>
        <v>2.5307458458741283E-16</v>
      </c>
      <c r="AC147" s="22">
        <f t="shared" si="111"/>
        <v>2.8375988103048031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>
        <f>AI147*VLOOKUP('Données projet'!$B$10,Paramètres!$A$1:$I$89,3,0)*VLOOKUP('Données projet'!$B$10,Paramètres!$A$1:$I$89,5,0)</f>
        <v>0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285.77483300338548</v>
      </c>
      <c r="AO147" s="59">
        <f t="shared" si="144"/>
        <v>320.55212417690637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0.87272170672370264</v>
      </c>
      <c r="AV147" s="21">
        <f>EXP(-LN(2)/25)*AV146+(1-EXP(-LN(2)/25))/(LN(2)/25)*Calculateur!AQ147*Calculateur!AS147*VLOOKUP('Données projet'!$B$10,Paramètres!$A$1:$I$89,3,0)*0.475*44/12</f>
        <v>1.1815119731434203</v>
      </c>
      <c r="AW147" s="21">
        <f>EXP(-LN(2)/2)*AW146+(1-EXP(-LN(2)/2))/(LN(2)/2)*AQ147*AT147*VLOOKUP('Données projet'!$B$10,Paramètres!$A$1:$I$89,3,0)*0.475*44/12</f>
        <v>1.6931727642799293E-16</v>
      </c>
      <c r="AX147" s="21">
        <f t="shared" si="114"/>
        <v>2.054233679867123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-7.9580786405131221E-13</v>
      </c>
      <c r="BE147" s="13">
        <f>BD147*VLOOKUP('Données projet'!$B$11,Paramètres!$A$1:$I$89,3,0)*VLOOKUP('Données projet'!$B$11,Paramètres!$A$1:$I$89,5,0)</f>
        <v>-3.8278358260868117E-13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402.22278907877927</v>
      </c>
      <c r="BJ147" s="59">
        <f t="shared" si="146"/>
        <v>393.06397734082458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2.9070719540891785</v>
      </c>
      <c r="BQ147" s="21">
        <f>EXP(-LN(2)/25)*BQ146+(1-EXP(-LN(2)/25))/(LN(2)/25)*Calculateur!BL147*Calculateur!BN147*VLOOKUP('Données projet'!$B$11,Paramètres!$A$1:$I$89,3,0)*0.475*44/12</f>
        <v>1.9115685083369169</v>
      </c>
      <c r="BR147" s="21">
        <f>EXP(-LN(2)/2)*BR146+(1-EXP(-LN(2)/2))/(LN(2)/2)*BL147*BO147*VLOOKUP('Données projet'!$B$11,Paramètres!$A$1:$I$89,3,0)*0.475*44/12</f>
        <v>6.1383098142808627E-15</v>
      </c>
      <c r="BS147" s="22">
        <f t="shared" si="117"/>
        <v>4.8186404624261021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-3.4106051316484809E-13</v>
      </c>
      <c r="BZ147" s="13">
        <f>BY147*VLOOKUP('Données projet'!$B$12,Paramètres!$A$1:$I$89,3,0)*VLOOKUP('Données projet'!$B$12,Paramètres!$A$1:$I$89,5,0)</f>
        <v>-3.0859155231155454E-13</v>
      </c>
      <c r="CA147" s="13" t="e">
        <f t="shared" si="147"/>
        <v>#NUM!</v>
      </c>
      <c r="CB147" s="20" t="e">
        <f t="shared" si="118"/>
        <v>#NUM!</v>
      </c>
      <c r="CC147" s="59" t="e">
        <f t="shared" si="119"/>
        <v>#NUM!</v>
      </c>
      <c r="CD147" s="59">
        <f ca="1">AVERAGE(OFFSET($CC$3,0,0,'Données projet'!$E$12+1,1))-AVERAGE(OFFSET($H$3,0,0,'Données projet'!$E$12+1,1))</f>
        <v>363.51171608224735</v>
      </c>
      <c r="CE147" s="59">
        <f t="shared" si="148"/>
        <v>257.9239334647138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0.25191758525103158</v>
      </c>
      <c r="CL147" s="21">
        <f>EXP(-LN(2)/25)*CL146+(1-EXP(-LN(2)/25))/(LN(2)/25)*Calculateur!CG147*Calculateur!CI147*VLOOKUP('Données projet'!$B$12,Paramètres!$A$1:$I$89,3,0)*0.475*44/12</f>
        <v>0.47832250837305501</v>
      </c>
      <c r="CM147" s="21">
        <f>EXP(-LN(2)/2)*CM146+(1-EXP(-LN(2)/2))/(LN(2)/2)*CG147*CJ147*VLOOKUP('Données projet'!$B$12,Paramètres!$A$1:$I$89,3,0)*0.475*44/12</f>
        <v>1.4955631715070835E-16</v>
      </c>
      <c r="CN147" s="22">
        <f t="shared" si="120"/>
        <v>0.73024009362408671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1">
        <f t="shared" si="140"/>
        <v>21.934121798181632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67">
        <f t="shared" si="110"/>
        <v>469.42301213183316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-1.2505552149377763E-12</v>
      </c>
      <c r="O148" s="13">
        <f>N148*VLOOKUP('Données projet'!$B$9,Paramètres!$A$1:$I$89,3,0)*VLOOKUP('Données projet'!$B$9,Paramètres!$A$1:$I$89,5,0)</f>
        <v>-6.9906036515021697E-13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446.28010102877403</v>
      </c>
      <c r="T148" s="59">
        <f t="shared" si="142"/>
        <v>445.84011537290456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1.1710146489857582</v>
      </c>
      <c r="AA148" s="21">
        <f>EXP(-LN(2)/25)*AA147+(1-EXP(-LN(2)/25))/(LN(2)/25)*Calculateur!V148*Calculateur!X148*VLOOKUP('Données projet'!$B$9,Paramètres!$A$1:$I$89,3,0)*0.475*44/12</f>
        <v>1.5982296328295695</v>
      </c>
      <c r="AB148" s="21">
        <f>EXP(-LN(2)/2)*AB147+(1-EXP(-LN(2)/2))/(LN(2)/2)*V148*Y148*VLOOKUP('Données projet'!$B$9,Paramètres!$A$1:$I$89,3,0)*0.475*44/12</f>
        <v>1.7895075490772814E-16</v>
      </c>
      <c r="AC148" s="22">
        <f t="shared" si="111"/>
        <v>2.769244281815328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>
        <f>AI148*VLOOKUP('Données projet'!$B$10,Paramètres!$A$1:$I$89,3,0)*VLOOKUP('Données projet'!$B$10,Paramètres!$A$1:$I$89,5,0)</f>
        <v>0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285.77483300338548</v>
      </c>
      <c r="AO148" s="59">
        <f t="shared" si="144"/>
        <v>320.55212417690637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0.8556081663625309</v>
      </c>
      <c r="AV148" s="21">
        <f>EXP(-LN(2)/25)*AV147+(1-EXP(-LN(2)/25))/(LN(2)/25)*Calculateur!AQ148*Calculateur!AS148*VLOOKUP('Données projet'!$B$10,Paramètres!$A$1:$I$89,3,0)*0.475*44/12</f>
        <v>1.1492034661047992</v>
      </c>
      <c r="AW148" s="21">
        <f>EXP(-LN(2)/2)*AW147+(1-EXP(-LN(2)/2))/(LN(2)/2)*AQ148*AT148*VLOOKUP('Données projet'!$B$10,Paramètres!$A$1:$I$89,3,0)*0.475*44/12</f>
        <v>1.1972539433427098E-16</v>
      </c>
      <c r="AX148" s="21">
        <f t="shared" si="114"/>
        <v>2.0048116324673302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-7.9580786405131221E-13</v>
      </c>
      <c r="BE148" s="13">
        <f>BD148*VLOOKUP('Données projet'!$B$11,Paramètres!$A$1:$I$89,3,0)*VLOOKUP('Données projet'!$B$11,Paramètres!$A$1:$I$89,5,0)</f>
        <v>-3.8278358260868117E-13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402.22278907877927</v>
      </c>
      <c r="BJ148" s="59">
        <f t="shared" si="146"/>
        <v>393.06397734082458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2.850066046208299</v>
      </c>
      <c r="BQ148" s="21">
        <f>EXP(-LN(2)/25)*BQ147+(1-EXP(-LN(2)/25))/(LN(2)/25)*Calculateur!BL148*Calculateur!BN148*VLOOKUP('Données projet'!$B$11,Paramètres!$A$1:$I$89,3,0)*0.475*44/12</f>
        <v>1.859296566951425</v>
      </c>
      <c r="BR148" s="21">
        <f>EXP(-LN(2)/2)*BR147+(1-EXP(-LN(2)/2))/(LN(2)/2)*BL148*BO148*VLOOKUP('Données projet'!$B$11,Paramètres!$A$1:$I$89,3,0)*0.475*44/12</f>
        <v>4.3404404947019351E-15</v>
      </c>
      <c r="BS148" s="22">
        <f t="shared" si="117"/>
        <v>4.7093626131597288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-3.4106051316484809E-13</v>
      </c>
      <c r="BZ148" s="13">
        <f>BY148*VLOOKUP('Données projet'!$B$12,Paramètres!$A$1:$I$89,3,0)*VLOOKUP('Données projet'!$B$12,Paramètres!$A$1:$I$89,5,0)</f>
        <v>-3.0859155231155454E-13</v>
      </c>
      <c r="CA148" s="13" t="e">
        <f t="shared" si="147"/>
        <v>#NUM!</v>
      </c>
      <c r="CB148" s="20" t="e">
        <f t="shared" si="118"/>
        <v>#NUM!</v>
      </c>
      <c r="CC148" s="59" t="e">
        <f t="shared" si="119"/>
        <v>#NUM!</v>
      </c>
      <c r="CD148" s="59">
        <f ca="1">AVERAGE(OFFSET($CC$3,0,0,'Données projet'!$E$12+1,1))-AVERAGE(OFFSET($H$3,0,0,'Données projet'!$E$12+1,1))</f>
        <v>363.51171608224735</v>
      </c>
      <c r="CE148" s="59">
        <f t="shared" si="148"/>
        <v>257.9239334647138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0.24697763505881373</v>
      </c>
      <c r="CL148" s="21">
        <f>EXP(-LN(2)/25)*CL147+(1-EXP(-LN(2)/25))/(LN(2)/25)*Calculateur!CG148*Calculateur!CI148*VLOOKUP('Données projet'!$B$12,Paramètres!$A$1:$I$89,3,0)*0.475*44/12</f>
        <v>0.46524275422770633</v>
      </c>
      <c r="CM148" s="21">
        <f>EXP(-LN(2)/2)*CM147+(1-EXP(-LN(2)/2))/(LN(2)/2)*CG148*CJ148*VLOOKUP('Données projet'!$B$12,Paramètres!$A$1:$I$89,3,0)*0.475*44/12</f>
        <v>1.0575228602655183E-16</v>
      </c>
      <c r="CN148" s="22">
        <f t="shared" si="120"/>
        <v>0.71222038928652021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1">
        <f t="shared" si="140"/>
        <v>22.067730286351065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67">
        <f t="shared" si="110"/>
        <v>470.60666358206163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-1.2505552149377763E-12</v>
      </c>
      <c r="O149" s="13">
        <f>N149*VLOOKUP('Données projet'!$B$9,Paramètres!$A$1:$I$89,3,0)*VLOOKUP('Données projet'!$B$9,Paramètres!$A$1:$I$89,5,0)</f>
        <v>-6.9906036515021697E-13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446.28010102877403</v>
      </c>
      <c r="T149" s="59">
        <f t="shared" si="142"/>
        <v>445.84011537290456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1.1480517659675573</v>
      </c>
      <c r="AA149" s="21">
        <f>EXP(-LN(2)/25)*AA148+(1-EXP(-LN(2)/25))/(LN(2)/25)*Calculateur!V149*Calculateur!X149*VLOOKUP('Données projet'!$B$9,Paramètres!$A$1:$I$89,3,0)*0.475*44/12</f>
        <v>1.5545259594726013</v>
      </c>
      <c r="AB149" s="21">
        <f>EXP(-LN(2)/2)*AB148+(1-EXP(-LN(2)/2))/(LN(2)/2)*V149*Y149*VLOOKUP('Données projet'!$B$9,Paramètres!$A$1:$I$89,3,0)*0.475*44/12</f>
        <v>1.2653729229370642E-16</v>
      </c>
      <c r="AC149" s="22">
        <f t="shared" si="111"/>
        <v>2.7025777254401584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>
        <f>AI149*VLOOKUP('Données projet'!$B$10,Paramètres!$A$1:$I$89,3,0)*VLOOKUP('Données projet'!$B$10,Paramètres!$A$1:$I$89,5,0)</f>
        <v>0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285.77483300338548</v>
      </c>
      <c r="AO149" s="59">
        <f t="shared" si="144"/>
        <v>320.55212417690637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0.83883021208961284</v>
      </c>
      <c r="AV149" s="21">
        <f>EXP(-LN(2)/25)*AV148+(1-EXP(-LN(2)/25))/(LN(2)/25)*Calculateur!AQ149*Calculateur!AS149*VLOOKUP('Données projet'!$B$10,Paramètres!$A$1:$I$89,3,0)*0.475*44/12</f>
        <v>1.1177784368901797</v>
      </c>
      <c r="AW149" s="21">
        <f>EXP(-LN(2)/2)*AW148+(1-EXP(-LN(2)/2))/(LN(2)/2)*AQ149*AT149*VLOOKUP('Données projet'!$B$10,Paramètres!$A$1:$I$89,3,0)*0.475*44/12</f>
        <v>8.4658638213996467E-17</v>
      </c>
      <c r="AX149" s="21">
        <f t="shared" si="114"/>
        <v>1.9566086489797927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-7.9580786405131221E-13</v>
      </c>
      <c r="BE149" s="13">
        <f>BD149*VLOOKUP('Données projet'!$B$11,Paramètres!$A$1:$I$89,3,0)*VLOOKUP('Données projet'!$B$11,Paramètres!$A$1:$I$89,5,0)</f>
        <v>-3.8278358260868117E-13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402.22278907877927</v>
      </c>
      <c r="BJ149" s="59">
        <f t="shared" si="146"/>
        <v>393.06397734082458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2.7941779894107928</v>
      </c>
      <c r="BQ149" s="21">
        <f>EXP(-LN(2)/25)*BQ148+(1-EXP(-LN(2)/25))/(LN(2)/25)*Calculateur!BL149*Calculateur!BN149*VLOOKUP('Données projet'!$B$11,Paramètres!$A$1:$I$89,3,0)*0.475*44/12</f>
        <v>1.8084540045519812</v>
      </c>
      <c r="BR149" s="21">
        <f>EXP(-LN(2)/2)*BR148+(1-EXP(-LN(2)/2))/(LN(2)/2)*BL149*BO149*VLOOKUP('Données projet'!$B$11,Paramètres!$A$1:$I$89,3,0)*0.475*44/12</f>
        <v>3.0691549071404314E-15</v>
      </c>
      <c r="BS149" s="22">
        <f t="shared" si="117"/>
        <v>4.6026319939627767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-3.4106051316484809E-13</v>
      </c>
      <c r="BZ149" s="13">
        <f>BY149*VLOOKUP('Données projet'!$B$12,Paramètres!$A$1:$I$89,3,0)*VLOOKUP('Données projet'!$B$12,Paramètres!$A$1:$I$89,5,0)</f>
        <v>-3.0859155231155454E-13</v>
      </c>
      <c r="CA149" s="13" t="e">
        <f t="shared" si="147"/>
        <v>#NUM!</v>
      </c>
      <c r="CB149" s="20" t="e">
        <f t="shared" si="118"/>
        <v>#NUM!</v>
      </c>
      <c r="CC149" s="59" t="e">
        <f t="shared" si="119"/>
        <v>#NUM!</v>
      </c>
      <c r="CD149" s="59">
        <f ca="1">AVERAGE(OFFSET($CC$3,0,0,'Données projet'!$E$12+1,1))-AVERAGE(OFFSET($H$3,0,0,'Données projet'!$E$12+1,1))</f>
        <v>363.51171608224735</v>
      </c>
      <c r="CE149" s="59">
        <f t="shared" si="148"/>
        <v>257.9239334647138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0.24213455427679317</v>
      </c>
      <c r="CL149" s="21">
        <f>EXP(-LN(2)/25)*CL148+(1-EXP(-LN(2)/25))/(LN(2)/25)*Calculateur!CG149*Calculateur!CI149*VLOOKUP('Données projet'!$B$12,Paramètres!$A$1:$I$89,3,0)*0.475*44/12</f>
        <v>0.45252066664729657</v>
      </c>
      <c r="CM149" s="21">
        <f>EXP(-LN(2)/2)*CM148+(1-EXP(-LN(2)/2))/(LN(2)/2)*CG149*CJ149*VLOOKUP('Données projet'!$B$12,Paramètres!$A$1:$I$89,3,0)*0.475*44/12</f>
        <v>7.4778158575354173E-17</v>
      </c>
      <c r="CN149" s="22">
        <f t="shared" si="120"/>
        <v>0.69465522092408982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1">
        <f t="shared" si="140"/>
        <v>22.201232295351069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67">
        <f t="shared" si="110"/>
        <v>471.79012958106995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-1.2505552149377763E-12</v>
      </c>
      <c r="O150" s="13">
        <f>N150*VLOOKUP('Données projet'!$B$9,Paramètres!$A$1:$I$89,3,0)*VLOOKUP('Données projet'!$B$9,Paramètres!$A$1:$I$89,5,0)</f>
        <v>-6.9906036515021697E-13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446.28010102877403</v>
      </c>
      <c r="T150" s="59">
        <f t="shared" si="142"/>
        <v>445.84011537290456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1.1255391710793676</v>
      </c>
      <c r="AA150" s="21">
        <f>EXP(-LN(2)/25)*AA149+(1-EXP(-LN(2)/25))/(LN(2)/25)*Calculateur!V150*Calculateur!X150*VLOOKUP('Données projet'!$B$9,Paramètres!$A$1:$I$89,3,0)*0.475*44/12</f>
        <v>1.5120173653618558</v>
      </c>
      <c r="AB150" s="21">
        <f>EXP(-LN(2)/2)*AB149+(1-EXP(-LN(2)/2))/(LN(2)/2)*V150*Y150*VLOOKUP('Données projet'!$B$9,Paramètres!$A$1:$I$89,3,0)*0.475*44/12</f>
        <v>8.947537745386407E-17</v>
      </c>
      <c r="AC150" s="22">
        <f t="shared" si="111"/>
        <v>2.6375565364412235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>
        <f>AI150*VLOOKUP('Données projet'!$B$10,Paramètres!$A$1:$I$89,3,0)*VLOOKUP('Données projet'!$B$10,Paramètres!$A$1:$I$89,5,0)</f>
        <v>0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285.77483300338548</v>
      </c>
      <c r="AO150" s="59">
        <f t="shared" si="144"/>
        <v>320.55212417690637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0.82238126326644501</v>
      </c>
      <c r="AV150" s="21">
        <f>EXP(-LN(2)/25)*AV149+(1-EXP(-LN(2)/25))/(LN(2)/25)*Calculateur!AQ150*Calculateur!AS150*VLOOKUP('Données projet'!$B$10,Paramètres!$A$1:$I$89,3,0)*0.475*44/12</f>
        <v>1.0872127267520044</v>
      </c>
      <c r="AW150" s="21">
        <f>EXP(-LN(2)/2)*AW149+(1-EXP(-LN(2)/2))/(LN(2)/2)*AQ150*AT150*VLOOKUP('Données projet'!$B$10,Paramètres!$A$1:$I$89,3,0)*0.475*44/12</f>
        <v>5.986269716713549E-17</v>
      </c>
      <c r="AX150" s="21">
        <f t="shared" si="114"/>
        <v>1.9095939900184495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-7.9580786405131221E-13</v>
      </c>
      <c r="BE150" s="13">
        <f>BD150*VLOOKUP('Données projet'!$B$11,Paramètres!$A$1:$I$89,3,0)*VLOOKUP('Données projet'!$B$11,Paramètres!$A$1:$I$89,5,0)</f>
        <v>-3.8278358260868117E-13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402.22278907877927</v>
      </c>
      <c r="BJ150" s="59">
        <f t="shared" si="146"/>
        <v>393.06397734082458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2.7393858633187369</v>
      </c>
      <c r="BQ150" s="21">
        <f>EXP(-LN(2)/25)*BQ149+(1-EXP(-LN(2)/25))/(LN(2)/25)*Calculateur!BL150*Calculateur!BN150*VLOOKUP('Données projet'!$B$11,Paramètres!$A$1:$I$89,3,0)*0.475*44/12</f>
        <v>1.7590017346950444</v>
      </c>
      <c r="BR150" s="21">
        <f>EXP(-LN(2)/2)*BR149+(1-EXP(-LN(2)/2))/(LN(2)/2)*BL150*BO150*VLOOKUP('Données projet'!$B$11,Paramètres!$A$1:$I$89,3,0)*0.475*44/12</f>
        <v>2.1702202473509676E-15</v>
      </c>
      <c r="BS150" s="22">
        <f t="shared" si="117"/>
        <v>4.4983875980137835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-3.4106051316484809E-13</v>
      </c>
      <c r="BZ150" s="13">
        <f>BY150*VLOOKUP('Données projet'!$B$12,Paramètres!$A$1:$I$89,3,0)*VLOOKUP('Données projet'!$B$12,Paramètres!$A$1:$I$89,5,0)</f>
        <v>-3.0859155231155454E-13</v>
      </c>
      <c r="CA150" s="13" t="e">
        <f t="shared" si="147"/>
        <v>#NUM!</v>
      </c>
      <c r="CB150" s="20" t="e">
        <f t="shared" si="118"/>
        <v>#NUM!</v>
      </c>
      <c r="CC150" s="59" t="e">
        <f t="shared" si="119"/>
        <v>#NUM!</v>
      </c>
      <c r="CD150" s="59">
        <f ca="1">AVERAGE(OFFSET($CC$3,0,0,'Données projet'!$E$12+1,1))-AVERAGE(OFFSET($H$3,0,0,'Données projet'!$E$12+1,1))</f>
        <v>363.51171608224735</v>
      </c>
      <c r="CE150" s="59">
        <f t="shared" si="148"/>
        <v>257.9239334647138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0.23738644335492043</v>
      </c>
      <c r="CL150" s="21">
        <f>EXP(-LN(2)/25)*CL149+(1-EXP(-LN(2)/25))/(LN(2)/25)*Calculateur!CG150*Calculateur!CI150*VLOOKUP('Données projet'!$B$12,Paramètres!$A$1:$I$89,3,0)*0.475*44/12</f>
        <v>0.44014646522079864</v>
      </c>
      <c r="CM150" s="21">
        <f>EXP(-LN(2)/2)*CM149+(1-EXP(-LN(2)/2))/(LN(2)/2)*CG150*CJ150*VLOOKUP('Données projet'!$B$12,Paramètres!$A$1:$I$89,3,0)*0.475*44/12</f>
        <v>5.2876143013275917E-17</v>
      </c>
      <c r="CN150" s="22">
        <f t="shared" si="120"/>
        <v>0.67753290857571913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1">
        <f t="shared" si="140"/>
        <v>22.334628633536237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67">
        <f t="shared" si="110"/>
        <v>472.9734115367425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-1.2505552149377763E-12</v>
      </c>
      <c r="O151" s="13">
        <f>N151*VLOOKUP('Données projet'!$B$9,Paramètres!$A$1:$I$89,3,0)*VLOOKUP('Données projet'!$B$9,Paramètres!$A$1:$I$89,5,0)</f>
        <v>-6.9906036515021697E-13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446.28010102877403</v>
      </c>
      <c r="T151" s="59">
        <f t="shared" si="142"/>
        <v>445.84011537290456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1.1034680344456083</v>
      </c>
      <c r="AA151" s="21">
        <f>EXP(-LN(2)/25)*AA150+(1-EXP(-LN(2)/25))/(LN(2)/25)*Calculateur!V151*Calculateur!X151*VLOOKUP('Données projet'!$B$9,Paramètres!$A$1:$I$89,3,0)*0.475*44/12</f>
        <v>1.4706711709924984</v>
      </c>
      <c r="AB151" s="21">
        <f>EXP(-LN(2)/2)*AB150+(1-EXP(-LN(2)/2))/(LN(2)/2)*V151*Y151*VLOOKUP('Données projet'!$B$9,Paramètres!$A$1:$I$89,3,0)*0.475*44/12</f>
        <v>6.3268646146853208E-17</v>
      </c>
      <c r="AC151" s="22">
        <f t="shared" si="111"/>
        <v>2.5741392054381067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>
        <f>AI151*VLOOKUP('Données projet'!$B$10,Paramètres!$A$1:$I$89,3,0)*VLOOKUP('Données projet'!$B$10,Paramètres!$A$1:$I$89,5,0)</f>
        <v>0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285.77483300338548</v>
      </c>
      <c r="AO151" s="59">
        <f t="shared" si="144"/>
        <v>320.55212417690637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0.80625486829683146</v>
      </c>
      <c r="AV151" s="21">
        <f>EXP(-LN(2)/25)*AV150+(1-EXP(-LN(2)/25))/(LN(2)/25)*Calculateur!AQ151*Calculateur!AS151*VLOOKUP('Données projet'!$B$10,Paramètres!$A$1:$I$89,3,0)*0.475*44/12</f>
        <v>1.0574828375649383</v>
      </c>
      <c r="AW151" s="21">
        <f>EXP(-LN(2)/2)*AW150+(1-EXP(-LN(2)/2))/(LN(2)/2)*AQ151*AT151*VLOOKUP('Données projet'!$B$10,Paramètres!$A$1:$I$89,3,0)*0.475*44/12</f>
        <v>4.2329319106998234E-17</v>
      </c>
      <c r="AX151" s="21">
        <f t="shared" si="114"/>
        <v>1.8637377058617699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-7.9580786405131221E-13</v>
      </c>
      <c r="BE151" s="13">
        <f>BD151*VLOOKUP('Données projet'!$B$11,Paramètres!$A$1:$I$89,3,0)*VLOOKUP('Données projet'!$B$11,Paramètres!$A$1:$I$89,5,0)</f>
        <v>-3.8278358260868117E-13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402.22278907877927</v>
      </c>
      <c r="BJ151" s="59">
        <f t="shared" si="146"/>
        <v>393.06397734082458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2.6856681773994495</v>
      </c>
      <c r="BQ151" s="21">
        <f>EXP(-LN(2)/25)*BQ150+(1-EXP(-LN(2)/25))/(LN(2)/25)*Calculateur!BL151*Calculateur!BN151*VLOOKUP('Données projet'!$B$11,Paramètres!$A$1:$I$89,3,0)*0.475*44/12</f>
        <v>1.7109017397579274</v>
      </c>
      <c r="BR151" s="21">
        <f>EXP(-LN(2)/2)*BR150+(1-EXP(-LN(2)/2))/(LN(2)/2)*BL151*BO151*VLOOKUP('Données projet'!$B$11,Paramètres!$A$1:$I$89,3,0)*0.475*44/12</f>
        <v>1.5345774535702157E-15</v>
      </c>
      <c r="BS151" s="22">
        <f t="shared" si="117"/>
        <v>4.3965699171573789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-3.4106051316484809E-13</v>
      </c>
      <c r="BZ151" s="13">
        <f>BY151*VLOOKUP('Données projet'!$B$12,Paramètres!$A$1:$I$89,3,0)*VLOOKUP('Données projet'!$B$12,Paramètres!$A$1:$I$89,5,0)</f>
        <v>-3.0859155231155454E-13</v>
      </c>
      <c r="CA151" s="13" t="e">
        <f t="shared" si="147"/>
        <v>#NUM!</v>
      </c>
      <c r="CB151" s="20" t="e">
        <f t="shared" si="118"/>
        <v>#NUM!</v>
      </c>
      <c r="CC151" s="59" t="e">
        <f t="shared" si="119"/>
        <v>#NUM!</v>
      </c>
      <c r="CD151" s="59">
        <f ca="1">AVERAGE(OFFSET($CC$3,0,0,'Données projet'!$E$12+1,1))-AVERAGE(OFFSET($H$3,0,0,'Données projet'!$E$12+1,1))</f>
        <v>363.51171608224735</v>
      </c>
      <c r="CE151" s="59">
        <f t="shared" si="148"/>
        <v>257.9239334647138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0.23273143999216392</v>
      </c>
      <c r="CL151" s="21">
        <f>EXP(-LN(2)/25)*CL150+(1-EXP(-LN(2)/25))/(LN(2)/25)*Calculateur!CG151*Calculateur!CI151*VLOOKUP('Données projet'!$B$12,Paramètres!$A$1:$I$89,3,0)*0.475*44/12</f>
        <v>0.42811063698303925</v>
      </c>
      <c r="CM151" s="21">
        <f>EXP(-LN(2)/2)*CM150+(1-EXP(-LN(2)/2))/(LN(2)/2)*CG151*CJ151*VLOOKUP('Données projet'!$B$12,Paramètres!$A$1:$I$89,3,0)*0.475*44/12</f>
        <v>3.7389079287677087E-17</v>
      </c>
      <c r="CN151" s="22">
        <f t="shared" si="120"/>
        <v>0.66084207697520314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1">
        <f t="shared" si="140"/>
        <v>22.467920097706067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67">
        <f t="shared" si="110"/>
        <v>474.15651083683827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-1.2505552149377763E-12</v>
      </c>
      <c r="O152" s="13">
        <f>N152*VLOOKUP('Données projet'!$B$9,Paramètres!$A$1:$I$89,3,0)*VLOOKUP('Données projet'!$B$9,Paramètres!$A$1:$I$89,5,0)</f>
        <v>-6.9906036515021697E-13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446.28010102877403</v>
      </c>
      <c r="T152" s="59">
        <f t="shared" si="142"/>
        <v>445.84011537290456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1.0818296993391727</v>
      </c>
      <c r="AA152" s="21">
        <f>EXP(-LN(2)/25)*AA151+(1-EXP(-LN(2)/25))/(LN(2)/25)*Calculateur!V152*Calculateur!X152*VLOOKUP('Données projet'!$B$9,Paramètres!$A$1:$I$89,3,0)*0.475*44/12</f>
        <v>1.4304555904824729</v>
      </c>
      <c r="AB152" s="21">
        <f>EXP(-LN(2)/2)*AB151+(1-EXP(-LN(2)/2))/(LN(2)/2)*V152*Y152*VLOOKUP('Données projet'!$B$9,Paramètres!$A$1:$I$89,3,0)*0.475*44/12</f>
        <v>4.4737688726932035E-17</v>
      </c>
      <c r="AC152" s="22">
        <f t="shared" si="111"/>
        <v>2.5122852898216457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>
        <f>AI152*VLOOKUP('Données projet'!$B$10,Paramètres!$A$1:$I$89,3,0)*VLOOKUP('Données projet'!$B$10,Paramètres!$A$1:$I$89,5,0)</f>
        <v>0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285.77483300338548</v>
      </c>
      <c r="AO152" s="59">
        <f t="shared" si="144"/>
        <v>320.55212417690637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0.79044470209644235</v>
      </c>
      <c r="AV152" s="21">
        <f>EXP(-LN(2)/25)*AV151+(1-EXP(-LN(2)/25))/(LN(2)/25)*Calculateur!AQ152*Calculateur!AS152*VLOOKUP('Données projet'!$B$10,Paramètres!$A$1:$I$89,3,0)*0.475*44/12</f>
        <v>1.0285659137611196</v>
      </c>
      <c r="AW152" s="21">
        <f>EXP(-LN(2)/2)*AW151+(1-EXP(-LN(2)/2))/(LN(2)/2)*AQ152*AT152*VLOOKUP('Données projet'!$B$10,Paramètres!$A$1:$I$89,3,0)*0.475*44/12</f>
        <v>2.9931348583567745E-17</v>
      </c>
      <c r="AX152" s="21">
        <f t="shared" si="114"/>
        <v>1.8190106158575619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-7.9580786405131221E-13</v>
      </c>
      <c r="BE152" s="13">
        <f>BD152*VLOOKUP('Données projet'!$B$11,Paramètres!$A$1:$I$89,3,0)*VLOOKUP('Données projet'!$B$11,Paramètres!$A$1:$I$89,5,0)</f>
        <v>-3.8278358260868117E-13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402.22278907877927</v>
      </c>
      <c r="BJ152" s="59">
        <f t="shared" si="146"/>
        <v>393.06397734082458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2.6330038625364862</v>
      </c>
      <c r="BQ152" s="21">
        <f>EXP(-LN(2)/25)*BQ151+(1-EXP(-LN(2)/25))/(LN(2)/25)*Calculateur!BL152*Calculateur!BN152*VLOOKUP('Données projet'!$B$11,Paramètres!$A$1:$I$89,3,0)*0.475*44/12</f>
        <v>1.6641170417118347</v>
      </c>
      <c r="BR152" s="21">
        <f>EXP(-LN(2)/2)*BR151+(1-EXP(-LN(2)/2))/(LN(2)/2)*BL152*BO152*VLOOKUP('Données projet'!$B$11,Paramètres!$A$1:$I$89,3,0)*0.475*44/12</f>
        <v>1.0851101236754838E-15</v>
      </c>
      <c r="BS152" s="22">
        <f t="shared" si="117"/>
        <v>4.297120904248322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-3.4106051316484809E-13</v>
      </c>
      <c r="BZ152" s="13">
        <f>BY152*VLOOKUP('Données projet'!$B$12,Paramètres!$A$1:$I$89,3,0)*VLOOKUP('Données projet'!$B$12,Paramètres!$A$1:$I$89,5,0)</f>
        <v>-3.0859155231155454E-13</v>
      </c>
      <c r="CA152" s="13" t="e">
        <f t="shared" si="147"/>
        <v>#NUM!</v>
      </c>
      <c r="CB152" s="20" t="e">
        <f t="shared" si="118"/>
        <v>#NUM!</v>
      </c>
      <c r="CC152" s="59" t="e">
        <f t="shared" si="119"/>
        <v>#NUM!</v>
      </c>
      <c r="CD152" s="59">
        <f ca="1">AVERAGE(OFFSET($CC$3,0,0,'Données projet'!$E$12+1,1))-AVERAGE(OFFSET($H$3,0,0,'Données projet'!$E$12+1,1))</f>
        <v>363.51171608224735</v>
      </c>
      <c r="CE152" s="59">
        <f t="shared" si="148"/>
        <v>257.9239334647138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0.22816771840607936</v>
      </c>
      <c r="CL152" s="21">
        <f>EXP(-LN(2)/25)*CL151+(1-EXP(-LN(2)/25))/(LN(2)/25)*Calculateur!CG152*Calculateur!CI152*VLOOKUP('Données projet'!$B$12,Paramètres!$A$1:$I$89,3,0)*0.475*44/12</f>
        <v>0.41640392910137808</v>
      </c>
      <c r="CM152" s="21">
        <f>EXP(-LN(2)/2)*CM151+(1-EXP(-LN(2)/2))/(LN(2)/2)*CG152*CJ152*VLOOKUP('Données projet'!$B$12,Paramètres!$A$1:$I$89,3,0)*0.475*44/12</f>
        <v>2.6438071506637958E-17</v>
      </c>
      <c r="CN152" s="22">
        <f t="shared" si="120"/>
        <v>0.64457164750745743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1">
        <f t="shared" si="140"/>
        <v>22.601107473346371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67">
        <f t="shared" si="110"/>
        <v>475.33942884941183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-1.2505552149377763E-12</v>
      </c>
      <c r="O153" s="13">
        <f>N153*VLOOKUP('Données projet'!$B$9,Paramètres!$A$1:$I$89,3,0)*VLOOKUP('Données projet'!$B$9,Paramètres!$A$1:$I$89,5,0)</f>
        <v>-6.9906036515021697E-13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446.28010102877403</v>
      </c>
      <c r="T153" s="59">
        <f t="shared" si="142"/>
        <v>445.84011537290456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1.0606156787860932</v>
      </c>
      <c r="AA153" s="21">
        <f>EXP(-LN(2)/25)*AA152+(1-EXP(-LN(2)/25))/(LN(2)/25)*Calculateur!V153*Calculateur!X153*VLOOKUP('Données projet'!$B$9,Paramètres!$A$1:$I$89,3,0)*0.475*44/12</f>
        <v>1.3913397071363396</v>
      </c>
      <c r="AB153" s="21">
        <f>EXP(-LN(2)/2)*AB152+(1-EXP(-LN(2)/2))/(LN(2)/2)*V153*Y153*VLOOKUP('Données projet'!$B$9,Paramètres!$A$1:$I$89,3,0)*0.475*44/12</f>
        <v>3.1634323073426604E-17</v>
      </c>
      <c r="AC153" s="22">
        <f t="shared" si="111"/>
        <v>2.4519553859224326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>
        <f>AI153*VLOOKUP('Données projet'!$B$10,Paramètres!$A$1:$I$89,3,0)*VLOOKUP('Données projet'!$B$10,Paramètres!$A$1:$I$89,5,0)</f>
        <v>0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285.77483300338548</v>
      </c>
      <c r="AO153" s="59">
        <f t="shared" si="144"/>
        <v>320.55212417690637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0.7749445636119936</v>
      </c>
      <c r="AV153" s="21">
        <f>EXP(-LN(2)/25)*AV152+(1-EXP(-LN(2)/25))/(LN(2)/25)*Calculateur!AQ153*Calculateur!AS153*VLOOKUP('Données projet'!$B$10,Paramètres!$A$1:$I$89,3,0)*0.475*44/12</f>
        <v>1.0004397247593912</v>
      </c>
      <c r="AW153" s="21">
        <f>EXP(-LN(2)/2)*AW152+(1-EXP(-LN(2)/2))/(LN(2)/2)*AQ153*AT153*VLOOKUP('Données projet'!$B$10,Paramètres!$A$1:$I$89,3,0)*0.475*44/12</f>
        <v>2.1164659553499117E-17</v>
      </c>
      <c r="AX153" s="21">
        <f t="shared" si="114"/>
        <v>1.7753842883713848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-7.9580786405131221E-13</v>
      </c>
      <c r="BE153" s="13">
        <f>BD153*VLOOKUP('Données projet'!$B$11,Paramètres!$A$1:$I$89,3,0)*VLOOKUP('Données projet'!$B$11,Paramètres!$A$1:$I$89,5,0)</f>
        <v>-3.8278358260868117E-13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402.22278907877927</v>
      </c>
      <c r="BJ153" s="59">
        <f t="shared" si="146"/>
        <v>393.06397734082458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2.581372262765925</v>
      </c>
      <c r="BQ153" s="21">
        <f>EXP(-LN(2)/25)*BQ152+(1-EXP(-LN(2)/25))/(LN(2)/25)*Calculateur!BL153*Calculateur!BN153*VLOOKUP('Données projet'!$B$11,Paramètres!$A$1:$I$89,3,0)*0.475*44/12</f>
        <v>1.6186116736941127</v>
      </c>
      <c r="BR153" s="21">
        <f>EXP(-LN(2)/2)*BR152+(1-EXP(-LN(2)/2))/(LN(2)/2)*BL153*BO153*VLOOKUP('Données projet'!$B$11,Paramètres!$A$1:$I$89,3,0)*0.475*44/12</f>
        <v>7.6728872678510784E-16</v>
      </c>
      <c r="BS153" s="22">
        <f t="shared" si="117"/>
        <v>4.1999839364600389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-3.4106051316484809E-13</v>
      </c>
      <c r="BZ153" s="13">
        <f>BY153*VLOOKUP('Données projet'!$B$12,Paramètres!$A$1:$I$89,3,0)*VLOOKUP('Données projet'!$B$12,Paramètres!$A$1:$I$89,5,0)</f>
        <v>-3.0859155231155454E-13</v>
      </c>
      <c r="CA153" s="13" t="e">
        <f t="shared" si="147"/>
        <v>#NUM!</v>
      </c>
      <c r="CB153" s="20" t="e">
        <f t="shared" si="118"/>
        <v>#NUM!</v>
      </c>
      <c r="CC153" s="59" t="e">
        <f t="shared" si="119"/>
        <v>#NUM!</v>
      </c>
      <c r="CD153" s="59">
        <f ca="1">AVERAGE(OFFSET($CC$3,0,0,'Données projet'!$E$12+1,1))-AVERAGE(OFFSET($H$3,0,0,'Données projet'!$E$12+1,1))</f>
        <v>363.51171608224735</v>
      </c>
      <c r="CE153" s="59">
        <f t="shared" si="148"/>
        <v>257.9239334647138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0.2236934886167026</v>
      </c>
      <c r="CL153" s="21">
        <f>EXP(-LN(2)/25)*CL152+(1-EXP(-LN(2)/25))/(LN(2)/25)*Calculateur!CG153*Calculateur!CI153*VLOOKUP('Données projet'!$B$12,Paramètres!$A$1:$I$89,3,0)*0.475*44/12</f>
        <v>0.40501734176236998</v>
      </c>
      <c r="CM153" s="21">
        <f>EXP(-LN(2)/2)*CM152+(1-EXP(-LN(2)/2))/(LN(2)/2)*CG153*CJ153*VLOOKUP('Données projet'!$B$12,Paramètres!$A$1:$I$89,3,0)*0.475*44/12</f>
        <v>1.8694539643838543E-17</v>
      </c>
      <c r="CN153" s="22">
        <f t="shared" si="120"/>
        <v>0.6287108303790726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1">
        <f t="shared" si="140"/>
        <v>22.734191534864422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67">
        <f t="shared" si="110"/>
        <v>476.52216692322241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-1.2505552149377763E-12</v>
      </c>
      <c r="O154" s="13">
        <f>N154*VLOOKUP('Données projet'!$B$9,Paramètres!$A$1:$I$89,3,0)*VLOOKUP('Données projet'!$B$9,Paramètres!$A$1:$I$89,5,0)</f>
        <v>-6.9906036515021697E-13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446.28010102877403</v>
      </c>
      <c r="T154" s="59">
        <f t="shared" si="142"/>
        <v>445.84011537290456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1.0398176522367848</v>
      </c>
      <c r="AA154" s="21">
        <f>EXP(-LN(2)/25)*AA153+(1-EXP(-LN(2)/25))/(LN(2)/25)*Calculateur!V154*Calculateur!X154*VLOOKUP('Données projet'!$B$9,Paramètres!$A$1:$I$89,3,0)*0.475*44/12</f>
        <v>1.3532934496773212</v>
      </c>
      <c r="AB154" s="21">
        <f>EXP(-LN(2)/2)*AB153+(1-EXP(-LN(2)/2))/(LN(2)/2)*V154*Y154*VLOOKUP('Données projet'!$B$9,Paramètres!$A$1:$I$89,3,0)*0.475*44/12</f>
        <v>2.2368844363466017E-17</v>
      </c>
      <c r="AC154" s="22">
        <f t="shared" ref="AC154:AC203" si="163">SUM(Z154:AB154)</f>
        <v>2.3931111019141058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>
        <f>AI154*VLOOKUP('Données projet'!$B$10,Paramètres!$A$1:$I$89,3,0)*VLOOKUP('Données projet'!$B$10,Paramètres!$A$1:$I$89,5,0)</f>
        <v>0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285.77483300338548</v>
      </c>
      <c r="AO154" s="59">
        <f t="shared" si="144"/>
        <v>320.55212417690637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0.75974837338907397</v>
      </c>
      <c r="AV154" s="21">
        <f>EXP(-LN(2)/25)*AV153+(1-EXP(-LN(2)/25))/(LN(2)/25)*Calculateur!AQ154*Calculateur!AS154*VLOOKUP('Données projet'!$B$10,Paramètres!$A$1:$I$89,3,0)*0.475*44/12</f>
        <v>0.97308264787500709</v>
      </c>
      <c r="AW154" s="21">
        <f>EXP(-LN(2)/2)*AW153+(1-EXP(-LN(2)/2))/(LN(2)/2)*AQ154*AT154*VLOOKUP('Données projet'!$B$10,Paramètres!$A$1:$I$89,3,0)*0.475*44/12</f>
        <v>1.4965674291783872E-17</v>
      </c>
      <c r="AX154" s="21">
        <f t="shared" ref="AX154:AX203" si="166">SUM(AU154:AW154)</f>
        <v>1.7328310212640812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-7.9580786405131221E-13</v>
      </c>
      <c r="BE154" s="13">
        <f>BD154*VLOOKUP('Données projet'!$B$11,Paramètres!$A$1:$I$89,3,0)*VLOOKUP('Données projet'!$B$11,Paramètres!$A$1:$I$89,5,0)</f>
        <v>-3.8278358260868117E-13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402.22278907877927</v>
      </c>
      <c r="BJ154" s="59">
        <f t="shared" si="146"/>
        <v>393.06397734082458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2.5307531271746986</v>
      </c>
      <c r="BQ154" s="21">
        <f>EXP(-LN(2)/25)*BQ153+(1-EXP(-LN(2)/25))/(LN(2)/25)*Calculateur!BL154*Calculateur!BN154*VLOOKUP('Données projet'!$B$11,Paramètres!$A$1:$I$89,3,0)*0.475*44/12</f>
        <v>1.5743506523578588</v>
      </c>
      <c r="BR154" s="21">
        <f>EXP(-LN(2)/2)*BR153+(1-EXP(-LN(2)/2))/(LN(2)/2)*BL154*BO154*VLOOKUP('Données projet'!$B$11,Paramètres!$A$1:$I$89,3,0)*0.475*44/12</f>
        <v>5.4255506183774189E-16</v>
      </c>
      <c r="BS154" s="22">
        <f t="shared" ref="BS154:BS203" si="169">SUM(BP154:BR154)</f>
        <v>4.1051037795325582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-3.4106051316484809E-13</v>
      </c>
      <c r="BZ154" s="13">
        <f>BY154*VLOOKUP('Données projet'!$B$12,Paramètres!$A$1:$I$89,3,0)*VLOOKUP('Données projet'!$B$12,Paramètres!$A$1:$I$89,5,0)</f>
        <v>-3.0859155231155454E-13</v>
      </c>
      <c r="CA154" s="13" t="e">
        <f t="shared" ref="CA154:CA203" si="170">EXP(-1.0587+0.8836*LN(BZ154)+0.284)</f>
        <v>#NUM!</v>
      </c>
      <c r="CB154" s="20" t="e">
        <f t="shared" ref="CB154:CB203" si="171">(BZ154+CA154)*0.475*44/12</f>
        <v>#NUM!</v>
      </c>
      <c r="CC154" s="59" t="e">
        <f t="shared" si="119"/>
        <v>#NUM!</v>
      </c>
      <c r="CD154" s="59">
        <f ca="1">AVERAGE(OFFSET($CC$3,0,0,'Données projet'!$E$12+1,1))-AVERAGE(OFFSET($H$3,0,0,'Données projet'!$E$12+1,1))</f>
        <v>363.51171608224735</v>
      </c>
      <c r="CE154" s="59">
        <f t="shared" si="148"/>
        <v>257.9239334647138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0.21930699574448484</v>
      </c>
      <c r="CL154" s="21">
        <f>EXP(-LN(2)/25)*CL153+(1-EXP(-LN(2)/25))/(LN(2)/25)*Calculateur!CG154*Calculateur!CI154*VLOOKUP('Données projet'!$B$12,Paramètres!$A$1:$I$89,3,0)*0.475*44/12</f>
        <v>0.39394212125294165</v>
      </c>
      <c r="CM154" s="21">
        <f>EXP(-LN(2)/2)*CM153+(1-EXP(-LN(2)/2))/(LN(2)/2)*CG154*CJ154*VLOOKUP('Données projet'!$B$12,Paramètres!$A$1:$I$89,3,0)*0.475*44/12</f>
        <v>1.3219035753318979E-17</v>
      </c>
      <c r="CN154" s="22">
        <f t="shared" ref="CN154:CN203" si="172">SUM(CK154:CM154)</f>
        <v>0.61324911699742646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1">
        <f t="shared" si="140"/>
        <v>22.867173045817363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67">
        <f t="shared" si="110"/>
        <v>477.70472638813214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-1.2505552149377763E-12</v>
      </c>
      <c r="O155" s="13">
        <f>N155*VLOOKUP('Données projet'!$B$9,Paramètres!$A$1:$I$89,3,0)*VLOOKUP('Données projet'!$B$9,Paramètres!$A$1:$I$89,5,0)</f>
        <v>-6.9906036515021697E-13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446.28010102877403</v>
      </c>
      <c r="T155" s="59">
        <f t="shared" si="142"/>
        <v>445.84011537290456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1.0194274623025648</v>
      </c>
      <c r="AA155" s="21">
        <f>EXP(-LN(2)/25)*AA154+(1-EXP(-LN(2)/25))/(LN(2)/25)*Calculateur!V155*Calculateur!X155*VLOOKUP('Données projet'!$B$9,Paramètres!$A$1:$I$89,3,0)*0.475*44/12</f>
        <v>1.3162875691292855</v>
      </c>
      <c r="AB155" s="21">
        <f>EXP(-LN(2)/2)*AB154+(1-EXP(-LN(2)/2))/(LN(2)/2)*V155*Y155*VLOOKUP('Données projet'!$B$9,Paramètres!$A$1:$I$89,3,0)*0.475*44/12</f>
        <v>1.5817161536713302E-17</v>
      </c>
      <c r="AC155" s="22">
        <f t="shared" si="163"/>
        <v>2.3357150314318504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>
        <f>AI155*VLOOKUP('Données projet'!$B$10,Paramètres!$A$1:$I$89,3,0)*VLOOKUP('Données projet'!$B$10,Paramètres!$A$1:$I$89,5,0)</f>
        <v>0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285.77483300338548</v>
      </c>
      <c r="AO155" s="59">
        <f t="shared" si="144"/>
        <v>320.55212417690637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0.74485017118766494</v>
      </c>
      <c r="AV155" s="21">
        <f>EXP(-LN(2)/25)*AV154+(1-EXP(-LN(2)/25))/(LN(2)/25)*Calculateur!AQ155*Calculateur!AS155*VLOOKUP('Données projet'!$B$10,Paramètres!$A$1:$I$89,3,0)*0.475*44/12</f>
        <v>0.94647365169667252</v>
      </c>
      <c r="AW155" s="21">
        <f>EXP(-LN(2)/2)*AW154+(1-EXP(-LN(2)/2))/(LN(2)/2)*AQ155*AT155*VLOOKUP('Données projet'!$B$10,Paramètres!$A$1:$I$89,3,0)*0.475*44/12</f>
        <v>1.0582329776749558E-17</v>
      </c>
      <c r="AX155" s="21">
        <f t="shared" si="166"/>
        <v>1.6913238228843375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-7.9580786405131221E-13</v>
      </c>
      <c r="BE155" s="13">
        <f>BD155*VLOOKUP('Données projet'!$B$11,Paramètres!$A$1:$I$89,3,0)*VLOOKUP('Données projet'!$B$11,Paramètres!$A$1:$I$89,5,0)</f>
        <v>-3.8278358260868117E-13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402.22278907877927</v>
      </c>
      <c r="BJ155" s="59">
        <f t="shared" si="146"/>
        <v>393.06397734082458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2.4811266019577918</v>
      </c>
      <c r="BQ155" s="21">
        <f>EXP(-LN(2)/25)*BQ154+(1-EXP(-LN(2)/25))/(LN(2)/25)*Calculateur!BL155*Calculateur!BN155*VLOOKUP('Données projet'!$B$11,Paramètres!$A$1:$I$89,3,0)*0.475*44/12</f>
        <v>1.5312999509776306</v>
      </c>
      <c r="BR155" s="21">
        <f>EXP(-LN(2)/2)*BR154+(1-EXP(-LN(2)/2))/(LN(2)/2)*BL155*BO155*VLOOKUP('Données projet'!$B$11,Paramètres!$A$1:$I$89,3,0)*0.475*44/12</f>
        <v>3.8364436339255392E-16</v>
      </c>
      <c r="BS155" s="22">
        <f t="shared" si="169"/>
        <v>4.0124265529354224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-3.4106051316484809E-13</v>
      </c>
      <c r="BZ155" s="13">
        <f>BY155*VLOOKUP('Données projet'!$B$12,Paramètres!$A$1:$I$89,3,0)*VLOOKUP('Données projet'!$B$12,Paramètres!$A$1:$I$89,5,0)</f>
        <v>-3.0859155231155454E-13</v>
      </c>
      <c r="CA155" s="13" t="e">
        <f t="shared" si="170"/>
        <v>#NUM!</v>
      </c>
      <c r="CB155" s="20" t="e">
        <f t="shared" si="171"/>
        <v>#NUM!</v>
      </c>
      <c r="CC155" s="59" t="e">
        <f t="shared" si="119"/>
        <v>#NUM!</v>
      </c>
      <c r="CD155" s="59">
        <f ca="1">AVERAGE(OFFSET($CC$3,0,0,'Données projet'!$E$12+1,1))-AVERAGE(OFFSET($H$3,0,0,'Données projet'!$E$12+1,1))</f>
        <v>363.51171608224735</v>
      </c>
      <c r="CE155" s="59">
        <f t="shared" si="148"/>
        <v>257.9239334647138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0.2150065193219948</v>
      </c>
      <c r="CL155" s="21">
        <f>EXP(-LN(2)/25)*CL154+(1-EXP(-LN(2)/25))/(LN(2)/25)*Calculateur!CG155*Calculateur!CI155*VLOOKUP('Données projet'!$B$12,Paramètres!$A$1:$I$89,3,0)*0.475*44/12</f>
        <v>0.38316975323076419</v>
      </c>
      <c r="CM155" s="21">
        <f>EXP(-LN(2)/2)*CM154+(1-EXP(-LN(2)/2))/(LN(2)/2)*CG155*CJ155*VLOOKUP('Données projet'!$B$12,Paramètres!$A$1:$I$89,3,0)*0.475*44/12</f>
        <v>9.3472698219192717E-18</v>
      </c>
      <c r="CN155" s="22">
        <f t="shared" si="172"/>
        <v>0.59817627255275896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1">
        <f t="shared" si="140"/>
        <v>23.000052759134679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67">
        <f t="shared" si="110"/>
        <v>478.88710855549317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-1.2505552149377763E-12</v>
      </c>
      <c r="O156" s="13">
        <f>N156*VLOOKUP('Données projet'!$B$9,Paramètres!$A$1:$I$89,3,0)*VLOOKUP('Données projet'!$B$9,Paramètres!$A$1:$I$89,5,0)</f>
        <v>-6.9906036515021697E-13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446.28010102877403</v>
      </c>
      <c r="T156" s="59">
        <f t="shared" si="142"/>
        <v>445.84011537290456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0.99943711155616688</v>
      </c>
      <c r="AA156" s="21">
        <f>EXP(-LN(2)/25)*AA155+(1-EXP(-LN(2)/25))/(LN(2)/25)*Calculateur!V156*Calculateur!X156*VLOOKUP('Données projet'!$B$9,Paramètres!$A$1:$I$89,3,0)*0.475*44/12</f>
        <v>1.2802936163308902</v>
      </c>
      <c r="AB156" s="21">
        <f>EXP(-LN(2)/2)*AB155+(1-EXP(-LN(2)/2))/(LN(2)/2)*V156*Y156*VLOOKUP('Données projet'!$B$9,Paramètres!$A$1:$I$89,3,0)*0.475*44/12</f>
        <v>1.1184422181733009E-17</v>
      </c>
      <c r="AC156" s="22">
        <f t="shared" si="163"/>
        <v>2.2797307278870571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>
        <f>AI156*VLOOKUP('Données projet'!$B$10,Paramètres!$A$1:$I$89,3,0)*VLOOKUP('Données projet'!$B$10,Paramètres!$A$1:$I$89,5,0)</f>
        <v>0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285.77483300338548</v>
      </c>
      <c r="AO156" s="59">
        <f t="shared" si="144"/>
        <v>320.55212417690637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0.73024411364441955</v>
      </c>
      <c r="AV156" s="21">
        <f>EXP(-LN(2)/25)*AV155+(1-EXP(-LN(2)/25))/(LN(2)/25)*Calculateur!AQ156*Calculateur!AS156*VLOOKUP('Données projet'!$B$10,Paramètres!$A$1:$I$89,3,0)*0.475*44/12</f>
        <v>0.92059227991814085</v>
      </c>
      <c r="AW156" s="21">
        <f>EXP(-LN(2)/2)*AW155+(1-EXP(-LN(2)/2))/(LN(2)/2)*AQ156*AT156*VLOOKUP('Données projet'!$B$10,Paramètres!$A$1:$I$89,3,0)*0.475*44/12</f>
        <v>7.4828371458919362E-18</v>
      </c>
      <c r="AX156" s="21">
        <f t="shared" si="166"/>
        <v>1.6508363935625603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-7.9580786405131221E-13</v>
      </c>
      <c r="BE156" s="13">
        <f>BD156*VLOOKUP('Données projet'!$B$11,Paramètres!$A$1:$I$89,3,0)*VLOOKUP('Données projet'!$B$11,Paramètres!$A$1:$I$89,5,0)</f>
        <v>-3.8278358260868117E-13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402.22278907877927</v>
      </c>
      <c r="BJ156" s="59">
        <f t="shared" si="146"/>
        <v>393.06397734082458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2.4324732226311969</v>
      </c>
      <c r="BQ156" s="21">
        <f>EXP(-LN(2)/25)*BQ155+(1-EXP(-LN(2)/25))/(LN(2)/25)*Calculateur!BL156*Calculateur!BN156*VLOOKUP('Données projet'!$B$11,Paramètres!$A$1:$I$89,3,0)*0.475*44/12</f>
        <v>1.4894264732905826</v>
      </c>
      <c r="BR156" s="21">
        <f>EXP(-LN(2)/2)*BR155+(1-EXP(-LN(2)/2))/(LN(2)/2)*BL156*BO156*VLOOKUP('Données projet'!$B$11,Paramètres!$A$1:$I$89,3,0)*0.475*44/12</f>
        <v>2.7127753091887094E-16</v>
      </c>
      <c r="BS156" s="22">
        <f t="shared" si="169"/>
        <v>3.92189969592178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-3.4106051316484809E-13</v>
      </c>
      <c r="BZ156" s="13">
        <f>BY156*VLOOKUP('Données projet'!$B$12,Paramètres!$A$1:$I$89,3,0)*VLOOKUP('Données projet'!$B$12,Paramètres!$A$1:$I$89,5,0)</f>
        <v>-3.0859155231155454E-13</v>
      </c>
      <c r="CA156" s="13" t="e">
        <f t="shared" si="170"/>
        <v>#NUM!</v>
      </c>
      <c r="CB156" s="20" t="e">
        <f t="shared" si="171"/>
        <v>#NUM!</v>
      </c>
      <c r="CC156" s="59" t="e">
        <f t="shared" si="119"/>
        <v>#NUM!</v>
      </c>
      <c r="CD156" s="59">
        <f ca="1">AVERAGE(OFFSET($CC$3,0,0,'Données projet'!$E$12+1,1))-AVERAGE(OFFSET($H$3,0,0,'Données projet'!$E$12+1,1))</f>
        <v>363.51171608224735</v>
      </c>
      <c r="CE156" s="59">
        <f t="shared" si="148"/>
        <v>257.9239334647138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0.21079037261911818</v>
      </c>
      <c r="CL156" s="21">
        <f>EXP(-LN(2)/25)*CL155+(1-EXP(-LN(2)/25))/(LN(2)/25)*Calculateur!CG156*Calculateur!CI156*VLOOKUP('Données projet'!$B$12,Paramètres!$A$1:$I$89,3,0)*0.475*44/12</f>
        <v>0.37269195617864737</v>
      </c>
      <c r="CM156" s="21">
        <f>EXP(-LN(2)/2)*CM155+(1-EXP(-LN(2)/2))/(LN(2)/2)*CG156*CJ156*VLOOKUP('Données projet'!$B$12,Paramètres!$A$1:$I$89,3,0)*0.475*44/12</f>
        <v>6.6095178766594896E-18</v>
      </c>
      <c r="CN156" s="22">
        <f t="shared" si="172"/>
        <v>0.58348232879776551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1">
        <f t="shared" si="140"/>
        <v>23.132831417334586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67">
        <f t="shared" si="110"/>
        <v>480.06931471852465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-1.2505552149377763E-12</v>
      </c>
      <c r="O157" s="13">
        <f>N157*VLOOKUP('Données projet'!$B$9,Paramètres!$A$1:$I$89,3,0)*VLOOKUP('Données projet'!$B$9,Paramètres!$A$1:$I$89,5,0)</f>
        <v>-6.9906036515021697E-13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446.28010102877403</v>
      </c>
      <c r="T157" s="59">
        <f t="shared" si="142"/>
        <v>445.84011537290456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0.97983875939499587</v>
      </c>
      <c r="AA157" s="21">
        <f>EXP(-LN(2)/25)*AA156+(1-EXP(-LN(2)/25))/(LN(2)/25)*Calculateur!V157*Calculateur!X157*VLOOKUP('Données projet'!$B$9,Paramètres!$A$1:$I$89,3,0)*0.475*44/12</f>
        <v>1.2452839200646069</v>
      </c>
      <c r="AB157" s="21">
        <f>EXP(-LN(2)/2)*AB156+(1-EXP(-LN(2)/2))/(LN(2)/2)*V157*Y157*VLOOKUP('Données projet'!$B$9,Paramètres!$A$1:$I$89,3,0)*0.475*44/12</f>
        <v>7.9085807683566509E-18</v>
      </c>
      <c r="AC157" s="22">
        <f t="shared" si="163"/>
        <v>2.2251226794596026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>
        <f>AI157*VLOOKUP('Données projet'!$B$10,Paramètres!$A$1:$I$89,3,0)*VLOOKUP('Données projet'!$B$10,Paramètres!$A$1:$I$89,5,0)</f>
        <v>0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285.77483300338548</v>
      </c>
      <c r="AO157" s="59">
        <f t="shared" si="144"/>
        <v>320.55212417690637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0.71592447198078168</v>
      </c>
      <c r="AV157" s="21">
        <f>EXP(-LN(2)/25)*AV156+(1-EXP(-LN(2)/25))/(LN(2)/25)*Calculateur!AQ157*Calculateur!AS157*VLOOKUP('Données projet'!$B$10,Paramètres!$A$1:$I$89,3,0)*0.475*44/12</f>
        <v>0.89541863561193535</v>
      </c>
      <c r="AW157" s="21">
        <f>EXP(-LN(2)/2)*AW156+(1-EXP(-LN(2)/2))/(LN(2)/2)*AQ157*AT157*VLOOKUP('Données projet'!$B$10,Paramètres!$A$1:$I$89,3,0)*0.475*44/12</f>
        <v>5.2911648883747792E-18</v>
      </c>
      <c r="AX157" s="21">
        <f t="shared" si="166"/>
        <v>1.6113431075927171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-7.9580786405131221E-13</v>
      </c>
      <c r="BE157" s="13">
        <f>BD157*VLOOKUP('Données projet'!$B$11,Paramètres!$A$1:$I$89,3,0)*VLOOKUP('Données projet'!$B$11,Paramètres!$A$1:$I$89,5,0)</f>
        <v>-3.8278358260868117E-13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402.22278907877927</v>
      </c>
      <c r="BJ157" s="59">
        <f t="shared" si="146"/>
        <v>393.06397734082458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2.3847739063975655</v>
      </c>
      <c r="BQ157" s="21">
        <f>EXP(-LN(2)/25)*BQ156+(1-EXP(-LN(2)/25))/(LN(2)/25)*Calculateur!BL157*Calculateur!BN157*VLOOKUP('Données projet'!$B$11,Paramètres!$A$1:$I$89,3,0)*0.475*44/12</f>
        <v>1.4486980280529176</v>
      </c>
      <c r="BR157" s="21">
        <f>EXP(-LN(2)/2)*BR156+(1-EXP(-LN(2)/2))/(LN(2)/2)*BL157*BO157*VLOOKUP('Données projet'!$B$11,Paramètres!$A$1:$I$89,3,0)*0.475*44/12</f>
        <v>1.9182218169627696E-16</v>
      </c>
      <c r="BS157" s="22">
        <f t="shared" si="169"/>
        <v>3.8334719344504831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-3.4106051316484809E-13</v>
      </c>
      <c r="BZ157" s="13">
        <f>BY157*VLOOKUP('Données projet'!$B$12,Paramètres!$A$1:$I$89,3,0)*VLOOKUP('Données projet'!$B$12,Paramètres!$A$1:$I$89,5,0)</f>
        <v>-3.0859155231155454E-13</v>
      </c>
      <c r="CA157" s="13" t="e">
        <f t="shared" si="170"/>
        <v>#NUM!</v>
      </c>
      <c r="CB157" s="20" t="e">
        <f t="shared" si="171"/>
        <v>#NUM!</v>
      </c>
      <c r="CC157" s="59" t="e">
        <f t="shared" si="119"/>
        <v>#NUM!</v>
      </c>
      <c r="CD157" s="59">
        <f ca="1">AVERAGE(OFFSET($CC$3,0,0,'Données projet'!$E$12+1,1))-AVERAGE(OFFSET($H$3,0,0,'Données projet'!$E$12+1,1))</f>
        <v>363.51171608224735</v>
      </c>
      <c r="CE157" s="59">
        <f t="shared" si="148"/>
        <v>257.9239334647138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0.20665690198148939</v>
      </c>
      <c r="CL157" s="21">
        <f>EXP(-LN(2)/25)*CL156+(1-EXP(-LN(2)/25))/(LN(2)/25)*Calculateur!CG157*Calculateur!CI157*VLOOKUP('Données projet'!$B$12,Paramètres!$A$1:$I$89,3,0)*0.475*44/12</f>
        <v>0.3625006750379241</v>
      </c>
      <c r="CM157" s="21">
        <f>EXP(-LN(2)/2)*CM156+(1-EXP(-LN(2)/2))/(LN(2)/2)*CG157*CJ157*VLOOKUP('Données projet'!$B$12,Paramètres!$A$1:$I$89,3,0)*0.475*44/12</f>
        <v>4.6736349109596358E-18</v>
      </c>
      <c r="CN157" s="22">
        <f t="shared" si="172"/>
        <v>0.5691575770194135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1">
        <f t="shared" si="140"/>
        <v>23.265509752734562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67">
        <f t="shared" si="110"/>
        <v>481.25134615267967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-1.2505552149377763E-12</v>
      </c>
      <c r="O158" s="13">
        <f>N158*VLOOKUP('Données projet'!$B$9,Paramètres!$A$1:$I$89,3,0)*VLOOKUP('Données projet'!$B$9,Paramètres!$A$1:$I$89,5,0)</f>
        <v>-6.9906036515021697E-13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446.28010102877403</v>
      </c>
      <c r="T158" s="59">
        <f t="shared" si="142"/>
        <v>445.84011537290456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0.96062471896589097</v>
      </c>
      <c r="AA158" s="21">
        <f>EXP(-LN(2)/25)*AA157+(1-EXP(-LN(2)/25))/(LN(2)/25)*Calculateur!V158*Calculateur!X158*VLOOKUP('Données projet'!$B$9,Paramètres!$A$1:$I$89,3,0)*0.475*44/12</f>
        <v>1.2112315657838049</v>
      </c>
      <c r="AB158" s="21">
        <f>EXP(-LN(2)/2)*AB157+(1-EXP(-LN(2)/2))/(LN(2)/2)*V158*Y158*VLOOKUP('Données projet'!$B$9,Paramètres!$A$1:$I$89,3,0)*0.475*44/12</f>
        <v>5.5922110908665043E-18</v>
      </c>
      <c r="AC158" s="22">
        <f t="shared" si="163"/>
        <v>2.1718562847496958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>
        <f>AI158*VLOOKUP('Données projet'!$B$10,Paramètres!$A$1:$I$89,3,0)*VLOOKUP('Données projet'!$B$10,Paramètres!$A$1:$I$89,5,0)</f>
        <v>0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285.77483300338548</v>
      </c>
      <c r="AO158" s="59">
        <f t="shared" si="144"/>
        <v>320.55212417690637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0.70188562975604885</v>
      </c>
      <c r="AV158" s="21">
        <f>EXP(-LN(2)/25)*AV157+(1-EXP(-LN(2)/25))/(LN(2)/25)*Calculateur!AQ158*Calculateur!AS158*VLOOKUP('Données projet'!$B$10,Paramètres!$A$1:$I$89,3,0)*0.475*44/12</f>
        <v>0.87093336593310744</v>
      </c>
      <c r="AW158" s="21">
        <f>EXP(-LN(2)/2)*AW157+(1-EXP(-LN(2)/2))/(LN(2)/2)*AQ158*AT158*VLOOKUP('Données projet'!$B$10,Paramètres!$A$1:$I$89,3,0)*0.475*44/12</f>
        <v>3.7414185729459681E-18</v>
      </c>
      <c r="AX158" s="21">
        <f t="shared" si="166"/>
        <v>1.5728189956891563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-7.9580786405131221E-13</v>
      </c>
      <c r="BE158" s="13">
        <f>BD158*VLOOKUP('Données projet'!$B$11,Paramètres!$A$1:$I$89,3,0)*VLOOKUP('Données projet'!$B$11,Paramètres!$A$1:$I$89,5,0)</f>
        <v>-3.8278358260868117E-13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402.22278907877927</v>
      </c>
      <c r="BJ158" s="59">
        <f t="shared" si="146"/>
        <v>393.06397734082458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2.3380099446615654</v>
      </c>
      <c r="BQ158" s="21">
        <f>EXP(-LN(2)/25)*BQ157+(1-EXP(-LN(2)/25))/(LN(2)/25)*Calculateur!BL158*Calculateur!BN158*VLOOKUP('Données projet'!$B$11,Paramètres!$A$1:$I$89,3,0)*0.475*44/12</f>
        <v>1.4090833042920923</v>
      </c>
      <c r="BR158" s="21">
        <f>EXP(-LN(2)/2)*BR157+(1-EXP(-LN(2)/2))/(LN(2)/2)*BL158*BO158*VLOOKUP('Données projet'!$B$11,Paramètres!$A$1:$I$89,3,0)*0.475*44/12</f>
        <v>1.3563876545943547E-16</v>
      </c>
      <c r="BS158" s="22">
        <f t="shared" si="169"/>
        <v>3.7470932489536577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-3.4106051316484809E-13</v>
      </c>
      <c r="BZ158" s="13">
        <f>BY158*VLOOKUP('Données projet'!$B$12,Paramètres!$A$1:$I$89,3,0)*VLOOKUP('Données projet'!$B$12,Paramètres!$A$1:$I$89,5,0)</f>
        <v>-3.0859155231155454E-13</v>
      </c>
      <c r="CA158" s="13" t="e">
        <f t="shared" si="170"/>
        <v>#NUM!</v>
      </c>
      <c r="CB158" s="20" t="e">
        <f t="shared" si="171"/>
        <v>#NUM!</v>
      </c>
      <c r="CC158" s="59" t="e">
        <f t="shared" si="119"/>
        <v>#NUM!</v>
      </c>
      <c r="CD158" s="59">
        <f ca="1">AVERAGE(OFFSET($CC$3,0,0,'Données projet'!$E$12+1,1))-AVERAGE(OFFSET($H$3,0,0,'Données projet'!$E$12+1,1))</f>
        <v>363.51171608224735</v>
      </c>
      <c r="CE158" s="59">
        <f t="shared" si="148"/>
        <v>257.9239334647138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0.20260448618189636</v>
      </c>
      <c r="CL158" s="21">
        <f>EXP(-LN(2)/25)*CL157+(1-EXP(-LN(2)/25))/(LN(2)/25)*Calculateur!CG158*Calculateur!CI158*VLOOKUP('Données projet'!$B$12,Paramètres!$A$1:$I$89,3,0)*0.475*44/12</f>
        <v>0.35258807501593009</v>
      </c>
      <c r="CM158" s="21">
        <f>EXP(-LN(2)/2)*CM157+(1-EXP(-LN(2)/2))/(LN(2)/2)*CG158*CJ158*VLOOKUP('Données projet'!$B$12,Paramètres!$A$1:$I$89,3,0)*0.475*44/12</f>
        <v>3.3047589383297448E-18</v>
      </c>
      <c r="CN158" s="22">
        <f t="shared" si="172"/>
        <v>0.55519256119782645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1">
        <f t="shared" si="140"/>
        <v>23.398088487656484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67">
        <f t="shared" si="110"/>
        <v>482.433204116002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-1.2505552149377763E-12</v>
      </c>
      <c r="O159" s="13">
        <f>N159*VLOOKUP('Données projet'!$B$9,Paramètres!$A$1:$I$89,3,0)*VLOOKUP('Données projet'!$B$9,Paramètres!$A$1:$I$89,5,0)</f>
        <v>-6.9906036515021697E-13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446.28010102877403</v>
      </c>
      <c r="T159" s="59">
        <f t="shared" si="142"/>
        <v>445.84011537290456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0.94178745415019327</v>
      </c>
      <c r="AA159" s="21">
        <f>EXP(-LN(2)/25)*AA158+(1-EXP(-LN(2)/25))/(LN(2)/25)*Calculateur!V159*Calculateur!X159*VLOOKUP('Données projet'!$B$9,Paramètres!$A$1:$I$89,3,0)*0.475*44/12</f>
        <v>1.1781103749215469</v>
      </c>
      <c r="AB159" s="21">
        <f>EXP(-LN(2)/2)*AB158+(1-EXP(-LN(2)/2))/(LN(2)/2)*V159*Y159*VLOOKUP('Données projet'!$B$9,Paramètres!$A$1:$I$89,3,0)*0.475*44/12</f>
        <v>3.9542903841783255E-18</v>
      </c>
      <c r="AC159" s="22">
        <f t="shared" si="163"/>
        <v>2.1198978290717401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>
        <f>AI159*VLOOKUP('Données projet'!$B$10,Paramètres!$A$1:$I$89,3,0)*VLOOKUP('Données projet'!$B$10,Paramètres!$A$1:$I$89,5,0)</f>
        <v>0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285.77483300338548</v>
      </c>
      <c r="AO159" s="59">
        <f t="shared" si="144"/>
        <v>320.55212417690637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0.68812208066449476</v>
      </c>
      <c r="AV159" s="21">
        <f>EXP(-LN(2)/25)*AV158+(1-EXP(-LN(2)/25))/(LN(2)/25)*Calculateur!AQ159*Calculateur!AS159*VLOOKUP('Données projet'!$B$10,Paramètres!$A$1:$I$89,3,0)*0.475*44/12</f>
        <v>0.84711764724127148</v>
      </c>
      <c r="AW159" s="21">
        <f>EXP(-LN(2)/2)*AW158+(1-EXP(-LN(2)/2))/(LN(2)/2)*AQ159*AT159*VLOOKUP('Données projet'!$B$10,Paramètres!$A$1:$I$89,3,0)*0.475*44/12</f>
        <v>2.6455824441873896E-18</v>
      </c>
      <c r="AX159" s="21">
        <f t="shared" si="166"/>
        <v>1.5352397279057661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-7.9580786405131221E-13</v>
      </c>
      <c r="BE159" s="13">
        <f>BD159*VLOOKUP('Données projet'!$B$11,Paramètres!$A$1:$I$89,3,0)*VLOOKUP('Données projet'!$B$11,Paramètres!$A$1:$I$89,5,0)</f>
        <v>-3.8278358260868117E-13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402.22278907877927</v>
      </c>
      <c r="BJ159" s="59">
        <f t="shared" si="146"/>
        <v>393.06397734082458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2.2921629956920082</v>
      </c>
      <c r="BQ159" s="21">
        <f>EXP(-LN(2)/25)*BQ158+(1-EXP(-LN(2)/25))/(LN(2)/25)*Calculateur!BL159*Calculateur!BN159*VLOOKUP('Données projet'!$B$11,Paramètres!$A$1:$I$89,3,0)*0.475*44/12</f>
        <v>1.3705518472357545</v>
      </c>
      <c r="BR159" s="21">
        <f>EXP(-LN(2)/2)*BR158+(1-EXP(-LN(2)/2))/(LN(2)/2)*BL159*BO159*VLOOKUP('Données projet'!$B$11,Paramètres!$A$1:$I$89,3,0)*0.475*44/12</f>
        <v>9.591109084813848E-17</v>
      </c>
      <c r="BS159" s="22">
        <f t="shared" si="169"/>
        <v>3.6627148429277625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-3.4106051316484809E-13</v>
      </c>
      <c r="BZ159" s="13">
        <f>BY159*VLOOKUP('Données projet'!$B$12,Paramètres!$A$1:$I$89,3,0)*VLOOKUP('Données projet'!$B$12,Paramètres!$A$1:$I$89,5,0)</f>
        <v>-3.0859155231155454E-13</v>
      </c>
      <c r="CA159" s="13" t="e">
        <f t="shared" si="170"/>
        <v>#NUM!</v>
      </c>
      <c r="CB159" s="20" t="e">
        <f t="shared" si="171"/>
        <v>#NUM!</v>
      </c>
      <c r="CC159" s="59" t="e">
        <f t="shared" si="119"/>
        <v>#NUM!</v>
      </c>
      <c r="CD159" s="59">
        <f ca="1">AVERAGE(OFFSET($CC$3,0,0,'Données projet'!$E$12+1,1))-AVERAGE(OFFSET($H$3,0,0,'Données projet'!$E$12+1,1))</f>
        <v>363.51171608224735</v>
      </c>
      <c r="CE159" s="59">
        <f t="shared" si="148"/>
        <v>257.9239334647138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0.19863153578440376</v>
      </c>
      <c r="CL159" s="21">
        <f>EXP(-LN(2)/25)*CL158+(1-EXP(-LN(2)/25))/(LN(2)/25)*Calculateur!CG159*Calculateur!CI159*VLOOKUP('Données projet'!$B$12,Paramètres!$A$1:$I$89,3,0)*0.475*44/12</f>
        <v>0.34294653556281846</v>
      </c>
      <c r="CM159" s="21">
        <f>EXP(-LN(2)/2)*CM158+(1-EXP(-LN(2)/2))/(LN(2)/2)*CG159*CJ159*VLOOKUP('Données projet'!$B$12,Paramètres!$A$1:$I$89,3,0)*0.475*44/12</f>
        <v>2.3368174554798179E-18</v>
      </c>
      <c r="CN159" s="22">
        <f t="shared" si="172"/>
        <v>0.54157807134722225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1">
        <f t="shared" si="140"/>
        <v>23.530568334626178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67">
        <f t="shared" si="110"/>
        <v>483.61488984947425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-1.2505552149377763E-12</v>
      </c>
      <c r="O160" s="13">
        <f>N160*VLOOKUP('Données projet'!$B$9,Paramètres!$A$1:$I$89,3,0)*VLOOKUP('Données projet'!$B$9,Paramètres!$A$1:$I$89,5,0)</f>
        <v>-6.9906036515021697E-13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446.28010102877403</v>
      </c>
      <c r="T160" s="59">
        <f t="shared" si="142"/>
        <v>445.84011537290456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0.9233195766079344</v>
      </c>
      <c r="AA160" s="21">
        <f>EXP(-LN(2)/25)*AA159+(1-EXP(-LN(2)/25))/(LN(2)/25)*Calculateur!V160*Calculateur!X160*VLOOKUP('Données projet'!$B$9,Paramètres!$A$1:$I$89,3,0)*0.475*44/12</f>
        <v>1.1458948847651853</v>
      </c>
      <c r="AB160" s="21">
        <f>EXP(-LN(2)/2)*AB159+(1-EXP(-LN(2)/2))/(LN(2)/2)*V160*Y160*VLOOKUP('Données projet'!$B$9,Paramètres!$A$1:$I$89,3,0)*0.475*44/12</f>
        <v>2.7961055454332522E-18</v>
      </c>
      <c r="AC160" s="22">
        <f t="shared" si="163"/>
        <v>2.0692144613731198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>
        <f>AI160*VLOOKUP('Données projet'!$B$10,Paramètres!$A$1:$I$89,3,0)*VLOOKUP('Données projet'!$B$10,Paramètres!$A$1:$I$89,5,0)</f>
        <v>0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285.77483300338548</v>
      </c>
      <c r="AO160" s="59">
        <f t="shared" si="144"/>
        <v>320.55212417690637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0.67462842637568998</v>
      </c>
      <c r="AV160" s="21">
        <f>EXP(-LN(2)/25)*AV159+(1-EXP(-LN(2)/25))/(LN(2)/25)*Calculateur!AQ160*Calculateur!AS160*VLOOKUP('Données projet'!$B$10,Paramètres!$A$1:$I$89,3,0)*0.475*44/12</f>
        <v>0.82395317062947793</v>
      </c>
      <c r="AW160" s="21">
        <f>EXP(-LN(2)/2)*AW159+(1-EXP(-LN(2)/2))/(LN(2)/2)*AQ160*AT160*VLOOKUP('Données projet'!$B$10,Paramètres!$A$1:$I$89,3,0)*0.475*44/12</f>
        <v>1.8707092864729841E-18</v>
      </c>
      <c r="AX160" s="21">
        <f t="shared" si="166"/>
        <v>1.4985815970051679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-7.9580786405131221E-13</v>
      </c>
      <c r="BE160" s="13">
        <f>BD160*VLOOKUP('Données projet'!$B$11,Paramètres!$A$1:$I$89,3,0)*VLOOKUP('Données projet'!$B$11,Paramètres!$A$1:$I$89,5,0)</f>
        <v>-3.8278358260868117E-13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402.22278907877927</v>
      </c>
      <c r="BJ160" s="59">
        <f t="shared" si="146"/>
        <v>393.06397734082458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2.2472150774278661</v>
      </c>
      <c r="BQ160" s="21">
        <f>EXP(-LN(2)/25)*BQ159+(1-EXP(-LN(2)/25))/(LN(2)/25)*Calculateur!BL160*Calculateur!BN160*VLOOKUP('Données projet'!$B$11,Paramètres!$A$1:$I$89,3,0)*0.475*44/12</f>
        <v>1.3330740348989036</v>
      </c>
      <c r="BR160" s="21">
        <f>EXP(-LN(2)/2)*BR159+(1-EXP(-LN(2)/2))/(LN(2)/2)*BL160*BO160*VLOOKUP('Données projet'!$B$11,Paramètres!$A$1:$I$89,3,0)*0.475*44/12</f>
        <v>6.7819382729717736E-17</v>
      </c>
      <c r="BS160" s="22">
        <f t="shared" si="169"/>
        <v>3.5802891123267697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-3.4106051316484809E-13</v>
      </c>
      <c r="BZ160" s="13">
        <f>BY160*VLOOKUP('Données projet'!$B$12,Paramètres!$A$1:$I$89,3,0)*VLOOKUP('Données projet'!$B$12,Paramètres!$A$1:$I$89,5,0)</f>
        <v>-3.0859155231155454E-13</v>
      </c>
      <c r="CA160" s="13" t="e">
        <f t="shared" si="170"/>
        <v>#NUM!</v>
      </c>
      <c r="CB160" s="20" t="e">
        <f t="shared" si="171"/>
        <v>#NUM!</v>
      </c>
      <c r="CC160" s="59" t="e">
        <f t="shared" si="119"/>
        <v>#NUM!</v>
      </c>
      <c r="CD160" s="59">
        <f ca="1">AVERAGE(OFFSET($CC$3,0,0,'Données projet'!$E$12+1,1))-AVERAGE(OFFSET($H$3,0,0,'Données projet'!$E$12+1,1))</f>
        <v>363.51171608224735</v>
      </c>
      <c r="CE160" s="59">
        <f t="shared" si="148"/>
        <v>257.9239334647138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0.19473649252094555</v>
      </c>
      <c r="CL160" s="21">
        <f>EXP(-LN(2)/25)*CL159+(1-EXP(-LN(2)/25))/(LN(2)/25)*Calculateur!CG160*Calculateur!CI160*VLOOKUP('Données projet'!$B$12,Paramètres!$A$1:$I$89,3,0)*0.475*44/12</f>
        <v>0.33356864451307872</v>
      </c>
      <c r="CM160" s="21">
        <f>EXP(-LN(2)/2)*CM159+(1-EXP(-LN(2)/2))/(LN(2)/2)*CG160*CJ160*VLOOKUP('Données projet'!$B$12,Paramètres!$A$1:$I$89,3,0)*0.475*44/12</f>
        <v>1.6523794691648724E-18</v>
      </c>
      <c r="CN160" s="22">
        <f t="shared" si="172"/>
        <v>0.52830513703402426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1">
        <f t="shared" si="140"/>
        <v>23.662949996567761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67">
        <f t="shared" si="110"/>
        <v>484.79640457735582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-1.2505552149377763E-12</v>
      </c>
      <c r="O161" s="13">
        <f>N161*VLOOKUP('Données projet'!$B$9,Paramètres!$A$1:$I$89,3,0)*VLOOKUP('Données projet'!$B$9,Paramètres!$A$1:$I$89,5,0)</f>
        <v>-6.9906036515021697E-13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446.28010102877403</v>
      </c>
      <c r="T161" s="59">
        <f t="shared" si="142"/>
        <v>445.84011537290456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0.90521384287998619</v>
      </c>
      <c r="AA161" s="21">
        <f>EXP(-LN(2)/25)*AA160+(1-EXP(-LN(2)/25))/(LN(2)/25)*Calculateur!V161*Calculateur!X161*VLOOKUP('Données projet'!$B$9,Paramètres!$A$1:$I$89,3,0)*0.475*44/12</f>
        <v>1.1145603288812882</v>
      </c>
      <c r="AB161" s="21">
        <f>EXP(-LN(2)/2)*AB160+(1-EXP(-LN(2)/2))/(LN(2)/2)*V161*Y161*VLOOKUP('Données projet'!$B$9,Paramètres!$A$1:$I$89,3,0)*0.475*44/12</f>
        <v>1.9771451920891627E-18</v>
      </c>
      <c r="AC161" s="22">
        <f t="shared" si="163"/>
        <v>2.0197741717612745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>
        <f>AI161*VLOOKUP('Données projet'!$B$10,Paramètres!$A$1:$I$89,3,0)*VLOOKUP('Données projet'!$B$10,Paramètres!$A$1:$I$89,5,0)</f>
        <v>0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285.77483300338548</v>
      </c>
      <c r="AO161" s="59">
        <f t="shared" si="144"/>
        <v>320.55212417690637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0.66139937441717223</v>
      </c>
      <c r="AV161" s="21">
        <f>EXP(-LN(2)/25)*AV160+(1-EXP(-LN(2)/25))/(LN(2)/25)*Calculateur!AQ161*Calculateur!AS161*VLOOKUP('Données projet'!$B$10,Paramètres!$A$1:$I$89,3,0)*0.475*44/12</f>
        <v>0.80142212784880074</v>
      </c>
      <c r="AW161" s="21">
        <f>EXP(-LN(2)/2)*AW160+(1-EXP(-LN(2)/2))/(LN(2)/2)*AQ161*AT161*VLOOKUP('Données projet'!$B$10,Paramètres!$A$1:$I$89,3,0)*0.475*44/12</f>
        <v>1.3227912220936948E-18</v>
      </c>
      <c r="AX161" s="21">
        <f t="shared" si="166"/>
        <v>1.462821502265973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-7.9580786405131221E-13</v>
      </c>
      <c r="BE161" s="13">
        <f>BD161*VLOOKUP('Données projet'!$B$11,Paramètres!$A$1:$I$89,3,0)*VLOOKUP('Données projet'!$B$11,Paramètres!$A$1:$I$89,5,0)</f>
        <v>-3.8278358260868117E-13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402.22278907877927</v>
      </c>
      <c r="BJ161" s="59">
        <f t="shared" si="146"/>
        <v>393.06397734082458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2.2031485604253609</v>
      </c>
      <c r="BQ161" s="21">
        <f>EXP(-LN(2)/25)*BQ160+(1-EXP(-LN(2)/25))/(LN(2)/25)*Calculateur!BL161*Calculateur!BN161*VLOOKUP('Données projet'!$B$11,Paramètres!$A$1:$I$89,3,0)*0.475*44/12</f>
        <v>1.2966210553112765</v>
      </c>
      <c r="BR161" s="21">
        <f>EXP(-LN(2)/2)*BR160+(1-EXP(-LN(2)/2))/(LN(2)/2)*BL161*BO161*VLOOKUP('Données projet'!$B$11,Paramètres!$A$1:$I$89,3,0)*0.475*44/12</f>
        <v>4.795554542406924E-17</v>
      </c>
      <c r="BS161" s="22">
        <f t="shared" si="169"/>
        <v>3.4997696157366374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-3.4106051316484809E-13</v>
      </c>
      <c r="BZ161" s="13">
        <f>BY161*VLOOKUP('Données projet'!$B$12,Paramètres!$A$1:$I$89,3,0)*VLOOKUP('Données projet'!$B$12,Paramètres!$A$1:$I$89,5,0)</f>
        <v>-3.0859155231155454E-13</v>
      </c>
      <c r="CA161" s="13" t="e">
        <f t="shared" si="170"/>
        <v>#NUM!</v>
      </c>
      <c r="CB161" s="20" t="e">
        <f t="shared" si="171"/>
        <v>#NUM!</v>
      </c>
      <c r="CC161" s="59" t="e">
        <f t="shared" si="119"/>
        <v>#NUM!</v>
      </c>
      <c r="CD161" s="59">
        <f ca="1">AVERAGE(OFFSET($CC$3,0,0,'Données projet'!$E$12+1,1))-AVERAGE(OFFSET($H$3,0,0,'Données projet'!$E$12+1,1))</f>
        <v>363.51171608224735</v>
      </c>
      <c r="CE161" s="59">
        <f t="shared" si="148"/>
        <v>257.9239334647138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0.19091782868014193</v>
      </c>
      <c r="CL161" s="21">
        <f>EXP(-LN(2)/25)*CL160+(1-EXP(-LN(2)/25))/(LN(2)/25)*Calculateur!CG161*Calculateur!CI161*VLOOKUP('Données projet'!$B$12,Paramètres!$A$1:$I$89,3,0)*0.475*44/12</f>
        <v>0.32444719238725594</v>
      </c>
      <c r="CM161" s="21">
        <f>EXP(-LN(2)/2)*CM160+(1-EXP(-LN(2)/2))/(LN(2)/2)*CG161*CJ161*VLOOKUP('Données projet'!$B$12,Paramètres!$A$1:$I$89,3,0)*0.475*44/12</f>
        <v>1.168408727739909E-18</v>
      </c>
      <c r="CN161" s="22">
        <f t="shared" si="172"/>
        <v>0.5153650210673979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1">
        <f t="shared" si="140"/>
        <v>23.795234166993069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67">
        <f t="shared" si="110"/>
        <v>485.97774950751329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-1.2505552149377763E-12</v>
      </c>
      <c r="O162" s="13">
        <f>N162*VLOOKUP('Données projet'!$B$9,Paramètres!$A$1:$I$89,3,0)*VLOOKUP('Données projet'!$B$9,Paramètres!$A$1:$I$89,5,0)</f>
        <v>-6.9906036515021697E-13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446.28010102877403</v>
      </c>
      <c r="T162" s="59">
        <f t="shared" si="142"/>
        <v>445.84011537290456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0.88746315154703592</v>
      </c>
      <c r="AA162" s="21">
        <f>EXP(-LN(2)/25)*AA161+(1-EXP(-LN(2)/25))/(LN(2)/25)*Calculateur!V162*Calculateur!X162*VLOOKUP('Données projet'!$B$9,Paramètres!$A$1:$I$89,3,0)*0.475*44/12</f>
        <v>1.0840826180758489</v>
      </c>
      <c r="AB162" s="21">
        <f>EXP(-LN(2)/2)*AB161+(1-EXP(-LN(2)/2))/(LN(2)/2)*V162*Y162*VLOOKUP('Données projet'!$B$9,Paramètres!$A$1:$I$89,3,0)*0.475*44/12</f>
        <v>1.3980527727166261E-18</v>
      </c>
      <c r="AC162" s="22">
        <f t="shared" si="163"/>
        <v>1.9715457696228849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>
        <f>AI162*VLOOKUP('Données projet'!$B$10,Paramètres!$A$1:$I$89,3,0)*VLOOKUP('Données projet'!$B$10,Paramètres!$A$1:$I$89,5,0)</f>
        <v>0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285.77483300338548</v>
      </c>
      <c r="AO162" s="59">
        <f t="shared" si="144"/>
        <v>320.55212417690637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0.64842973609863608</v>
      </c>
      <c r="AV162" s="21">
        <f>EXP(-LN(2)/25)*AV161+(1-EXP(-LN(2)/25))/(LN(2)/25)*Calculateur!AQ162*Calculateur!AS162*VLOOKUP('Données projet'!$B$10,Paramètres!$A$1:$I$89,3,0)*0.475*44/12</f>
        <v>0.77950719761781728</v>
      </c>
      <c r="AW162" s="21">
        <f>EXP(-LN(2)/2)*AW161+(1-EXP(-LN(2)/2))/(LN(2)/2)*AQ162*AT162*VLOOKUP('Données projet'!$B$10,Paramètres!$A$1:$I$89,3,0)*0.475*44/12</f>
        <v>9.3535464323649203E-19</v>
      </c>
      <c r="AX162" s="21">
        <f t="shared" si="166"/>
        <v>1.4279369337164534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-7.9580786405131221E-13</v>
      </c>
      <c r="BE162" s="13">
        <f>BD162*VLOOKUP('Données projet'!$B$11,Paramètres!$A$1:$I$89,3,0)*VLOOKUP('Données projet'!$B$11,Paramètres!$A$1:$I$89,5,0)</f>
        <v>-3.8278358260868117E-13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402.22278907877927</v>
      </c>
      <c r="BJ162" s="59">
        <f t="shared" si="146"/>
        <v>393.06397734082458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2.1599461609433535</v>
      </c>
      <c r="BQ162" s="21">
        <f>EXP(-LN(2)/25)*BQ161+(1-EXP(-LN(2)/25))/(LN(2)/25)*Calculateur!BL162*Calculateur!BN162*VLOOKUP('Données projet'!$B$11,Paramètres!$A$1:$I$89,3,0)*0.475*44/12</f>
        <v>1.2611648843674519</v>
      </c>
      <c r="BR162" s="21">
        <f>EXP(-LN(2)/2)*BR161+(1-EXP(-LN(2)/2))/(LN(2)/2)*BL162*BO162*VLOOKUP('Données projet'!$B$11,Paramètres!$A$1:$I$89,3,0)*0.475*44/12</f>
        <v>3.3909691364858868E-17</v>
      </c>
      <c r="BS162" s="22">
        <f t="shared" si="169"/>
        <v>3.4211110453108056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-3.4106051316484809E-13</v>
      </c>
      <c r="BZ162" s="13">
        <f>BY162*VLOOKUP('Données projet'!$B$12,Paramètres!$A$1:$I$89,3,0)*VLOOKUP('Données projet'!$B$12,Paramètres!$A$1:$I$89,5,0)</f>
        <v>-3.0859155231155454E-13</v>
      </c>
      <c r="CA162" s="13" t="e">
        <f t="shared" si="170"/>
        <v>#NUM!</v>
      </c>
      <c r="CB162" s="20" t="e">
        <f t="shared" si="171"/>
        <v>#NUM!</v>
      </c>
      <c r="CC162" s="59" t="e">
        <f t="shared" si="119"/>
        <v>#NUM!</v>
      </c>
      <c r="CD162" s="59">
        <f ca="1">AVERAGE(OFFSET($CC$3,0,0,'Données projet'!$E$12+1,1))-AVERAGE(OFFSET($H$3,0,0,'Données projet'!$E$12+1,1))</f>
        <v>363.51171608224735</v>
      </c>
      <c r="CE162" s="59">
        <f t="shared" si="148"/>
        <v>257.9239334647138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0.18717404650810152</v>
      </c>
      <c r="CL162" s="21">
        <f>EXP(-LN(2)/25)*CL161+(1-EXP(-LN(2)/25))/(LN(2)/25)*Calculateur!CG162*Calculateur!CI162*VLOOKUP('Données projet'!$B$12,Paramètres!$A$1:$I$89,3,0)*0.475*44/12</f>
        <v>0.31557516684949011</v>
      </c>
      <c r="CM162" s="21">
        <f>EXP(-LN(2)/2)*CM161+(1-EXP(-LN(2)/2))/(LN(2)/2)*CG162*CJ162*VLOOKUP('Données projet'!$B$12,Paramètres!$A$1:$I$89,3,0)*0.475*44/12</f>
        <v>8.261897345824362E-19</v>
      </c>
      <c r="CN162" s="22">
        <f t="shared" si="172"/>
        <v>0.5027492133575916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1">
        <f t="shared" si="140"/>
        <v>23.927421530185995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67">
        <f t="shared" si="110"/>
        <v>487.15892583174093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-1.2505552149377763E-12</v>
      </c>
      <c r="O163" s="13">
        <f>N163*VLOOKUP('Données projet'!$B$9,Paramètres!$A$1:$I$89,3,0)*VLOOKUP('Données projet'!$B$9,Paramètres!$A$1:$I$89,5,0)</f>
        <v>-6.9906036515021697E-13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446.28010102877403</v>
      </c>
      <c r="T163" s="59">
        <f t="shared" si="142"/>
        <v>445.84011537290456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0.87006054044427217</v>
      </c>
      <c r="AA163" s="21">
        <f>EXP(-LN(2)/25)*AA162+(1-EXP(-LN(2)/25))/(LN(2)/25)*Calculateur!V163*Calculateur!X163*VLOOKUP('Données projet'!$B$9,Paramètres!$A$1:$I$89,3,0)*0.475*44/12</f>
        <v>1.0544383218751376</v>
      </c>
      <c r="AB163" s="21">
        <f>EXP(-LN(2)/2)*AB162+(1-EXP(-LN(2)/2))/(LN(2)/2)*V163*Y163*VLOOKUP('Données projet'!$B$9,Paramètres!$A$1:$I$89,3,0)*0.475*44/12</f>
        <v>9.8857259604458137E-19</v>
      </c>
      <c r="AC163" s="22">
        <f t="shared" si="163"/>
        <v>1.9244988623194099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>
        <f>AI163*VLOOKUP('Données projet'!$B$10,Paramètres!$A$1:$I$89,3,0)*VLOOKUP('Données projet'!$B$10,Paramètres!$A$1:$I$89,5,0)</f>
        <v>0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285.77483300338548</v>
      </c>
      <c r="AO163" s="59">
        <f t="shared" si="144"/>
        <v>320.55212417690637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0.63571442447682813</v>
      </c>
      <c r="AV163" s="21">
        <f>EXP(-LN(2)/25)*AV162+(1-EXP(-LN(2)/25))/(LN(2)/25)*Calculateur!AQ163*Calculateur!AS163*VLOOKUP('Données projet'!$B$10,Paramètres!$A$1:$I$89,3,0)*0.475*44/12</f>
        <v>0.75819153230645608</v>
      </c>
      <c r="AW163" s="21">
        <f>EXP(-LN(2)/2)*AW162+(1-EXP(-LN(2)/2))/(LN(2)/2)*AQ163*AT163*VLOOKUP('Données projet'!$B$10,Paramètres!$A$1:$I$89,3,0)*0.475*44/12</f>
        <v>6.613956110468474E-19</v>
      </c>
      <c r="AX163" s="21">
        <f t="shared" si="166"/>
        <v>1.3939059567832843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-7.9580786405131221E-13</v>
      </c>
      <c r="BE163" s="13">
        <f>BD163*VLOOKUP('Données projet'!$B$11,Paramètres!$A$1:$I$89,3,0)*VLOOKUP('Données projet'!$B$11,Paramètres!$A$1:$I$89,5,0)</f>
        <v>-3.8278358260868117E-13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402.22278907877927</v>
      </c>
      <c r="BJ163" s="59">
        <f t="shared" si="146"/>
        <v>393.06397734082458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2.1175909341643262</v>
      </c>
      <c r="BQ163" s="21">
        <f>EXP(-LN(2)/25)*BQ162+(1-EXP(-LN(2)/25))/(LN(2)/25)*Calculateur!BL163*Calculateur!BN163*VLOOKUP('Données projet'!$B$11,Paramètres!$A$1:$I$89,3,0)*0.475*44/12</f>
        <v>1.226678264282645</v>
      </c>
      <c r="BR163" s="21">
        <f>EXP(-LN(2)/2)*BR162+(1-EXP(-LN(2)/2))/(LN(2)/2)*BL163*BO163*VLOOKUP('Données projet'!$B$11,Paramètres!$A$1:$I$89,3,0)*0.475*44/12</f>
        <v>2.397777271203462E-17</v>
      </c>
      <c r="BS163" s="22">
        <f t="shared" si="169"/>
        <v>3.3442691984469715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-3.4106051316484809E-13</v>
      </c>
      <c r="BZ163" s="13">
        <f>BY163*VLOOKUP('Données projet'!$B$12,Paramètres!$A$1:$I$89,3,0)*VLOOKUP('Données projet'!$B$12,Paramètres!$A$1:$I$89,5,0)</f>
        <v>-3.0859155231155454E-13</v>
      </c>
      <c r="CA163" s="13" t="e">
        <f t="shared" si="170"/>
        <v>#NUM!</v>
      </c>
      <c r="CB163" s="20" t="e">
        <f t="shared" si="171"/>
        <v>#NUM!</v>
      </c>
      <c r="CC163" s="59" t="e">
        <f t="shared" si="119"/>
        <v>#NUM!</v>
      </c>
      <c r="CD163" s="59">
        <f ca="1">AVERAGE(OFFSET($CC$3,0,0,'Données projet'!$E$12+1,1))-AVERAGE(OFFSET($H$3,0,0,'Données projet'!$E$12+1,1))</f>
        <v>363.51171608224735</v>
      </c>
      <c r="CE163" s="59">
        <f t="shared" si="148"/>
        <v>257.9239334647138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0.18350367762097317</v>
      </c>
      <c r="CL163" s="21">
        <f>EXP(-LN(2)/25)*CL162+(1-EXP(-LN(2)/25))/(LN(2)/25)*Calculateur!CG163*Calculateur!CI163*VLOOKUP('Données projet'!$B$12,Paramètres!$A$1:$I$89,3,0)*0.475*44/12</f>
        <v>0.30694574731661406</v>
      </c>
      <c r="CM163" s="21">
        <f>EXP(-LN(2)/2)*CM162+(1-EXP(-LN(2)/2))/(LN(2)/2)*CG163*CJ163*VLOOKUP('Données projet'!$B$12,Paramètres!$A$1:$I$89,3,0)*0.475*44/12</f>
        <v>5.8420436386995448E-19</v>
      </c>
      <c r="CN163" s="22">
        <f t="shared" si="172"/>
        <v>0.49044942493758725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1">
        <f t="shared" si="140"/>
        <v>24.059512761382141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67">
        <f t="shared" si="110"/>
        <v>488.33993472607426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-1.2505552149377763E-12</v>
      </c>
      <c r="O164" s="13">
        <f>N164*VLOOKUP('Données projet'!$B$9,Paramètres!$A$1:$I$89,3,0)*VLOOKUP('Données projet'!$B$9,Paramètres!$A$1:$I$89,5,0)</f>
        <v>-6.9906036515021697E-13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446.28010102877403</v>
      </c>
      <c r="T164" s="59">
        <f t="shared" si="142"/>
        <v>445.84011537290456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0.85299918393068896</v>
      </c>
      <c r="AA164" s="21">
        <f>EXP(-LN(2)/25)*AA163+(1-EXP(-LN(2)/25))/(LN(2)/25)*Calculateur!V164*Calculateur!X164*VLOOKUP('Données projet'!$B$9,Paramètres!$A$1:$I$89,3,0)*0.475*44/12</f>
        <v>1.0256046505129606</v>
      </c>
      <c r="AB164" s="21">
        <f>EXP(-LN(2)/2)*AB163+(1-EXP(-LN(2)/2))/(LN(2)/2)*V164*Y164*VLOOKUP('Données projet'!$B$9,Paramètres!$A$1:$I$89,3,0)*0.475*44/12</f>
        <v>6.9902638635831304E-19</v>
      </c>
      <c r="AC164" s="22">
        <f t="shared" si="163"/>
        <v>1.8786038344436495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>
        <f>AI164*VLOOKUP('Données projet'!$B$10,Paramètres!$A$1:$I$89,3,0)*VLOOKUP('Données projet'!$B$10,Paramètres!$A$1:$I$89,5,0)</f>
        <v>0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285.77483300338548</v>
      </c>
      <c r="AO164" s="59">
        <f t="shared" si="144"/>
        <v>320.55212417690637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0.62324845236034954</v>
      </c>
      <c r="AV164" s="21">
        <f>EXP(-LN(2)/25)*AV163+(1-EXP(-LN(2)/25))/(LN(2)/25)*Calculateur!AQ164*Calculateur!AS164*VLOOKUP('Données projet'!$B$10,Paramètres!$A$1:$I$89,3,0)*0.475*44/12</f>
        <v>0.73745874498397623</v>
      </c>
      <c r="AW164" s="21">
        <f>EXP(-LN(2)/2)*AW163+(1-EXP(-LN(2)/2))/(LN(2)/2)*AQ164*AT164*VLOOKUP('Données projet'!$B$10,Paramètres!$A$1:$I$89,3,0)*0.475*44/12</f>
        <v>4.6767732161824601E-19</v>
      </c>
      <c r="AX164" s="21">
        <f t="shared" si="166"/>
        <v>1.3607071973443259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-7.9580786405131221E-13</v>
      </c>
      <c r="BE164" s="13">
        <f>BD164*VLOOKUP('Données projet'!$B$11,Paramètres!$A$1:$I$89,3,0)*VLOOKUP('Données projet'!$B$11,Paramètres!$A$1:$I$89,5,0)</f>
        <v>-3.8278358260868117E-13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402.22278907877927</v>
      </c>
      <c r="BJ164" s="59">
        <f t="shared" si="146"/>
        <v>393.06397734082458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2.0760662675482986</v>
      </c>
      <c r="BQ164" s="21">
        <f>EXP(-LN(2)/25)*BQ163+(1-EXP(-LN(2)/25))/(LN(2)/25)*Calculateur!BL164*Calculateur!BN164*VLOOKUP('Données projet'!$B$11,Paramètres!$A$1:$I$89,3,0)*0.475*44/12</f>
        <v>1.1931346826376299</v>
      </c>
      <c r="BR164" s="21">
        <f>EXP(-LN(2)/2)*BR163+(1-EXP(-LN(2)/2))/(LN(2)/2)*BL164*BO164*VLOOKUP('Données projet'!$B$11,Paramètres!$A$1:$I$89,3,0)*0.475*44/12</f>
        <v>1.6954845682429434E-17</v>
      </c>
      <c r="BS164" s="22">
        <f t="shared" si="169"/>
        <v>3.2692009501859287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-3.4106051316484809E-13</v>
      </c>
      <c r="BZ164" s="13">
        <f>BY164*VLOOKUP('Données projet'!$B$12,Paramètres!$A$1:$I$89,3,0)*VLOOKUP('Données projet'!$B$12,Paramètres!$A$1:$I$89,5,0)</f>
        <v>-3.0859155231155454E-13</v>
      </c>
      <c r="CA164" s="13" t="e">
        <f t="shared" si="170"/>
        <v>#NUM!</v>
      </c>
      <c r="CB164" s="20" t="e">
        <f t="shared" si="171"/>
        <v>#NUM!</v>
      </c>
      <c r="CC164" s="59" t="e">
        <f t="shared" si="119"/>
        <v>#NUM!</v>
      </c>
      <c r="CD164" s="59">
        <f ca="1">AVERAGE(OFFSET($CC$3,0,0,'Données projet'!$E$12+1,1))-AVERAGE(OFFSET($H$3,0,0,'Données projet'!$E$12+1,1))</f>
        <v>363.51171608224735</v>
      </c>
      <c r="CE164" s="59">
        <f t="shared" si="148"/>
        <v>257.9239334647138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0.17990528242901743</v>
      </c>
      <c r="CL164" s="21">
        <f>EXP(-LN(2)/25)*CL163+(1-EXP(-LN(2)/25))/(LN(2)/25)*Calculateur!CG164*Calculateur!CI164*VLOOKUP('Données projet'!$B$12,Paramètres!$A$1:$I$89,3,0)*0.475*44/12</f>
        <v>0.2985522997146659</v>
      </c>
      <c r="CM164" s="21">
        <f>EXP(-LN(2)/2)*CM163+(1-EXP(-LN(2)/2))/(LN(2)/2)*CG164*CJ164*VLOOKUP('Données projet'!$B$12,Paramètres!$A$1:$I$89,3,0)*0.475*44/12</f>
        <v>4.130948672912181E-19</v>
      </c>
      <c r="CN164" s="22">
        <f t="shared" si="172"/>
        <v>0.47845758214368334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1">
        <f t="shared" si="140"/>
        <v>24.191508526944009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67">
        <f t="shared" si="110"/>
        <v>489.52077735109452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-1.2505552149377763E-12</v>
      </c>
      <c r="O165" s="13">
        <f>N165*VLOOKUP('Données projet'!$B$9,Paramètres!$A$1:$I$89,3,0)*VLOOKUP('Données projet'!$B$9,Paramètres!$A$1:$I$89,5,0)</f>
        <v>-6.9906036515021697E-13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446.28010102877403</v>
      </c>
      <c r="T165" s="59">
        <f t="shared" si="142"/>
        <v>445.84011537290456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0.83627239021193711</v>
      </c>
      <c r="AA165" s="21">
        <f>EXP(-LN(2)/25)*AA164+(1-EXP(-LN(2)/25))/(LN(2)/25)*Calculateur!V165*Calculateur!X165*VLOOKUP('Données projet'!$B$9,Paramètres!$A$1:$I$89,3,0)*0.475*44/12</f>
        <v>0.99755943741047914</v>
      </c>
      <c r="AB165" s="21">
        <f>EXP(-LN(2)/2)*AB164+(1-EXP(-LN(2)/2))/(LN(2)/2)*V165*Y165*VLOOKUP('Données projet'!$B$9,Paramètres!$A$1:$I$89,3,0)*0.475*44/12</f>
        <v>4.9428629802229068E-19</v>
      </c>
      <c r="AC165" s="22">
        <f t="shared" si="163"/>
        <v>1.8338318276224164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>
        <f>AI165*VLOOKUP('Données projet'!$B$10,Paramètres!$A$1:$I$89,3,0)*VLOOKUP('Données projet'!$B$10,Paramètres!$A$1:$I$89,5,0)</f>
        <v>0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285.77483300338548</v>
      </c>
      <c r="AO165" s="59">
        <f t="shared" si="144"/>
        <v>320.55212417690637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0.61102693035358291</v>
      </c>
      <c r="AV165" s="21">
        <f>EXP(-LN(2)/25)*AV164+(1-EXP(-LN(2)/25))/(LN(2)/25)*Calculateur!AQ165*Calculateur!AS165*VLOOKUP('Données projet'!$B$10,Paramètres!$A$1:$I$89,3,0)*0.475*44/12</f>
        <v>0.71729289682111952</v>
      </c>
      <c r="AW165" s="21">
        <f>EXP(-LN(2)/2)*AW164+(1-EXP(-LN(2)/2))/(LN(2)/2)*AQ165*AT165*VLOOKUP('Données projet'!$B$10,Paramètres!$A$1:$I$89,3,0)*0.475*44/12</f>
        <v>3.306978055234237E-19</v>
      </c>
      <c r="AX165" s="21">
        <f t="shared" si="166"/>
        <v>1.3283198271747025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-7.9580786405131221E-13</v>
      </c>
      <c r="BE165" s="13">
        <f>BD165*VLOOKUP('Données projet'!$B$11,Paramètres!$A$1:$I$89,3,0)*VLOOKUP('Données projet'!$B$11,Paramètres!$A$1:$I$89,5,0)</f>
        <v>-3.8278358260868117E-13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402.22278907877927</v>
      </c>
      <c r="BJ165" s="59">
        <f t="shared" si="146"/>
        <v>393.06397734082458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2.0353558743170654</v>
      </c>
      <c r="BQ165" s="21">
        <f>EXP(-LN(2)/25)*BQ164+(1-EXP(-LN(2)/25))/(LN(2)/25)*Calculateur!BL165*Calculateur!BN165*VLOOKUP('Données projet'!$B$11,Paramètres!$A$1:$I$89,3,0)*0.475*44/12</f>
        <v>1.1605083519966779</v>
      </c>
      <c r="BR165" s="21">
        <f>EXP(-LN(2)/2)*BR164+(1-EXP(-LN(2)/2))/(LN(2)/2)*BL165*BO165*VLOOKUP('Données projet'!$B$11,Paramètres!$A$1:$I$89,3,0)*0.475*44/12</f>
        <v>1.198888635601731E-17</v>
      </c>
      <c r="BS165" s="22">
        <f t="shared" si="169"/>
        <v>3.1958642263137431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-3.4106051316484809E-13</v>
      </c>
      <c r="BZ165" s="13">
        <f>BY165*VLOOKUP('Données projet'!$B$12,Paramètres!$A$1:$I$89,3,0)*VLOOKUP('Données projet'!$B$12,Paramètres!$A$1:$I$89,5,0)</f>
        <v>-3.0859155231155454E-13</v>
      </c>
      <c r="CA165" s="13" t="e">
        <f t="shared" si="170"/>
        <v>#NUM!</v>
      </c>
      <c r="CB165" s="20" t="e">
        <f t="shared" si="171"/>
        <v>#NUM!</v>
      </c>
      <c r="CC165" s="59" t="e">
        <f t="shared" si="119"/>
        <v>#NUM!</v>
      </c>
      <c r="CD165" s="59">
        <f ca="1">AVERAGE(OFFSET($CC$3,0,0,'Données projet'!$E$12+1,1))-AVERAGE(OFFSET($H$3,0,0,'Données projet'!$E$12+1,1))</f>
        <v>363.51171608224735</v>
      </c>
      <c r="CE165" s="59">
        <f t="shared" si="148"/>
        <v>257.9239334647138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0.1763774495719716</v>
      </c>
      <c r="CL165" s="21">
        <f>EXP(-LN(2)/25)*CL164+(1-EXP(-LN(2)/25))/(LN(2)/25)*Calculateur!CG165*Calculateur!CI165*VLOOKUP('Données projet'!$B$12,Paramètres!$A$1:$I$89,3,0)*0.475*44/12</f>
        <v>0.29038837137878526</v>
      </c>
      <c r="CM165" s="21">
        <f>EXP(-LN(2)/2)*CM164+(1-EXP(-LN(2)/2))/(LN(2)/2)*CG165*CJ165*VLOOKUP('Données projet'!$B$12,Paramètres!$A$1:$I$89,3,0)*0.475*44/12</f>
        <v>2.9210218193497724E-19</v>
      </c>
      <c r="CN165" s="22">
        <f t="shared" si="172"/>
        <v>0.46676582095075686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1">
        <f t="shared" si="140"/>
        <v>24.323409484531542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67">
        <f t="shared" si="110"/>
        <v>490.70145485222611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-1.2505552149377763E-12</v>
      </c>
      <c r="O166" s="13">
        <f>N166*VLOOKUP('Données projet'!$B$9,Paramètres!$A$1:$I$89,3,0)*VLOOKUP('Données projet'!$B$9,Paramètres!$A$1:$I$89,5,0)</f>
        <v>-6.9906036515021697E-13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446.28010102877403</v>
      </c>
      <c r="T166" s="59">
        <f t="shared" si="142"/>
        <v>445.84011537290456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0.81987359871567322</v>
      </c>
      <c r="AA166" s="21">
        <f>EXP(-LN(2)/25)*AA165+(1-EXP(-LN(2)/25))/(LN(2)/25)*Calculateur!V166*Calculateur!X166*VLOOKUP('Données projet'!$B$9,Paramètres!$A$1:$I$89,3,0)*0.475*44/12</f>
        <v>0.97028112213511875</v>
      </c>
      <c r="AB166" s="21">
        <f>EXP(-LN(2)/2)*AB165+(1-EXP(-LN(2)/2))/(LN(2)/2)*V166*Y166*VLOOKUP('Données projet'!$B$9,Paramètres!$A$1:$I$89,3,0)*0.475*44/12</f>
        <v>3.4951319317915652E-19</v>
      </c>
      <c r="AC166" s="22">
        <f t="shared" si="163"/>
        <v>1.790154720850792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>
        <f>AI166*VLOOKUP('Données projet'!$B$10,Paramètres!$A$1:$I$89,3,0)*VLOOKUP('Données projet'!$B$10,Paramètres!$A$1:$I$89,5,0)</f>
        <v>0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285.77483300338548</v>
      </c>
      <c r="AO166" s="59">
        <f t="shared" si="144"/>
        <v>320.55212417690637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0.59904506493897658</v>
      </c>
      <c r="AV166" s="21">
        <f>EXP(-LN(2)/25)*AV165+(1-EXP(-LN(2)/25))/(LN(2)/25)*Calculateur!AQ166*Calculateur!AS166*VLOOKUP('Données projet'!$B$10,Paramètres!$A$1:$I$89,3,0)*0.475*44/12</f>
        <v>0.69767848483675199</v>
      </c>
      <c r="AW166" s="21">
        <f>EXP(-LN(2)/2)*AW165+(1-EXP(-LN(2)/2))/(LN(2)/2)*AQ166*AT166*VLOOKUP('Données projet'!$B$10,Paramètres!$A$1:$I$89,3,0)*0.475*44/12</f>
        <v>2.3383866080912301E-19</v>
      </c>
      <c r="AX166" s="21">
        <f t="shared" si="166"/>
        <v>1.2967235497757286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-7.9580786405131221E-13</v>
      </c>
      <c r="BE166" s="13">
        <f>BD166*VLOOKUP('Données projet'!$B$11,Paramètres!$A$1:$I$89,3,0)*VLOOKUP('Données projet'!$B$11,Paramètres!$A$1:$I$89,5,0)</f>
        <v>-3.8278358260868117E-13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402.22278907877927</v>
      </c>
      <c r="BJ166" s="59">
        <f t="shared" si="146"/>
        <v>393.06397734082458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1.9954437870662087</v>
      </c>
      <c r="BQ166" s="21">
        <f>EXP(-LN(2)/25)*BQ165+(1-EXP(-LN(2)/25))/(LN(2)/25)*Calculateur!BL166*Calculateur!BN166*VLOOKUP('Données projet'!$B$11,Paramètres!$A$1:$I$89,3,0)*0.475*44/12</f>
        <v>1.128774190082847</v>
      </c>
      <c r="BR166" s="21">
        <f>EXP(-LN(2)/2)*BR165+(1-EXP(-LN(2)/2))/(LN(2)/2)*BL166*BO166*VLOOKUP('Données projet'!$B$11,Paramètres!$A$1:$I$89,3,0)*0.475*44/12</f>
        <v>8.477422841214717E-18</v>
      </c>
      <c r="BS166" s="22">
        <f t="shared" si="169"/>
        <v>3.1242179771490557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-3.4106051316484809E-13</v>
      </c>
      <c r="BZ166" s="13">
        <f>BY166*VLOOKUP('Données projet'!$B$12,Paramètres!$A$1:$I$89,3,0)*VLOOKUP('Données projet'!$B$12,Paramètres!$A$1:$I$89,5,0)</f>
        <v>-3.0859155231155454E-13</v>
      </c>
      <c r="CA166" s="13" t="e">
        <f t="shared" si="170"/>
        <v>#NUM!</v>
      </c>
      <c r="CB166" s="20" t="e">
        <f t="shared" si="171"/>
        <v>#NUM!</v>
      </c>
      <c r="CC166" s="59" t="e">
        <f t="shared" si="119"/>
        <v>#NUM!</v>
      </c>
      <c r="CD166" s="59">
        <f ca="1">AVERAGE(OFFSET($CC$3,0,0,'Données projet'!$E$12+1,1))-AVERAGE(OFFSET($H$3,0,0,'Données projet'!$E$12+1,1))</f>
        <v>363.51171608224735</v>
      </c>
      <c r="CE166" s="59">
        <f t="shared" si="148"/>
        <v>257.9239334647138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0.17291879536548688</v>
      </c>
      <c r="CL166" s="21">
        <f>EXP(-LN(2)/25)*CL165+(1-EXP(-LN(2)/25))/(LN(2)/25)*Calculateur!CG166*Calculateur!CI166*VLOOKUP('Données projet'!$B$12,Paramètres!$A$1:$I$89,3,0)*0.475*44/12</f>
        <v>0.28244768609257159</v>
      </c>
      <c r="CM166" s="21">
        <f>EXP(-LN(2)/2)*CM165+(1-EXP(-LN(2)/2))/(LN(2)/2)*CG166*CJ166*VLOOKUP('Données projet'!$B$12,Paramètres!$A$1:$I$89,3,0)*0.475*44/12</f>
        <v>2.0654743364560905E-19</v>
      </c>
      <c r="CN166" s="22">
        <f t="shared" si="172"/>
        <v>0.45536648145805847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1">
        <f t="shared" si="140"/>
        <v>24.455216283268463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67">
        <f t="shared" si="110"/>
        <v>491.88196836002629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-1.2505552149377763E-12</v>
      </c>
      <c r="O167" s="13">
        <f>N167*VLOOKUP('Données projet'!$B$9,Paramètres!$A$1:$I$89,3,0)*VLOOKUP('Données projet'!$B$9,Paramètres!$A$1:$I$89,5,0)</f>
        <v>-6.9906036515021697E-13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446.28010102877403</v>
      </c>
      <c r="T167" s="59">
        <f t="shared" si="142"/>
        <v>445.84011537290456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0.80379637751837596</v>
      </c>
      <c r="AA167" s="21">
        <f>EXP(-LN(2)/25)*AA166+(1-EXP(-LN(2)/25))/(LN(2)/25)*Calculateur!V167*Calculateur!X167*VLOOKUP('Données projet'!$B$9,Paramètres!$A$1:$I$89,3,0)*0.475*44/12</f>
        <v>0.94374873382546731</v>
      </c>
      <c r="AB167" s="21">
        <f>EXP(-LN(2)/2)*AB166+(1-EXP(-LN(2)/2))/(LN(2)/2)*V167*Y167*VLOOKUP('Données projet'!$B$9,Paramètres!$A$1:$I$89,3,0)*0.475*44/12</f>
        <v>2.4714314901114534E-19</v>
      </c>
      <c r="AC167" s="22">
        <f t="shared" si="163"/>
        <v>1.7475451113438432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>
        <f>AI167*VLOOKUP('Données projet'!$B$10,Paramètres!$A$1:$I$89,3,0)*VLOOKUP('Données projet'!$B$10,Paramètres!$A$1:$I$89,5,0)</f>
        <v>0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285.77483300338548</v>
      </c>
      <c r="AO167" s="59">
        <f t="shared" si="144"/>
        <v>320.55212417690637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0.58729815659693441</v>
      </c>
      <c r="AV167" s="21">
        <f>EXP(-LN(2)/25)*AV166+(1-EXP(-LN(2)/25))/(LN(2)/25)*Calculateur!AQ167*Calculateur!AS167*VLOOKUP('Données projet'!$B$10,Paramètres!$A$1:$I$89,3,0)*0.475*44/12</f>
        <v>0.67860042997957404</v>
      </c>
      <c r="AW167" s="21">
        <f>EXP(-LN(2)/2)*AW166+(1-EXP(-LN(2)/2))/(LN(2)/2)*AQ167*AT167*VLOOKUP('Données projet'!$B$10,Paramètres!$A$1:$I$89,3,0)*0.475*44/12</f>
        <v>1.6534890276171185E-19</v>
      </c>
      <c r="AX167" s="21">
        <f t="shared" si="166"/>
        <v>1.2658985865765084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-7.9580786405131221E-13</v>
      </c>
      <c r="BE167" s="13">
        <f>BD167*VLOOKUP('Données projet'!$B$11,Paramètres!$A$1:$I$89,3,0)*VLOOKUP('Données projet'!$B$11,Paramètres!$A$1:$I$89,5,0)</f>
        <v>-3.8278358260868117E-13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402.22278907877927</v>
      </c>
      <c r="BJ167" s="59">
        <f t="shared" si="146"/>
        <v>393.06397734082458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1.9563143515023718</v>
      </c>
      <c r="BQ167" s="21">
        <f>EXP(-LN(2)/25)*BQ166+(1-EXP(-LN(2)/25))/(LN(2)/25)*Calculateur!BL167*Calculateur!BN167*VLOOKUP('Données projet'!$B$11,Paramètres!$A$1:$I$89,3,0)*0.475*44/12</f>
        <v>1.0979078004953766</v>
      </c>
      <c r="BR167" s="21">
        <f>EXP(-LN(2)/2)*BR166+(1-EXP(-LN(2)/2))/(LN(2)/2)*BL167*BO167*VLOOKUP('Données projet'!$B$11,Paramètres!$A$1:$I$89,3,0)*0.475*44/12</f>
        <v>5.994443178008655E-18</v>
      </c>
      <c r="BS167" s="22">
        <f t="shared" si="169"/>
        <v>3.0542221519977484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-3.4106051316484809E-13</v>
      </c>
      <c r="BZ167" s="13">
        <f>BY167*VLOOKUP('Données projet'!$B$12,Paramètres!$A$1:$I$89,3,0)*VLOOKUP('Données projet'!$B$12,Paramètres!$A$1:$I$89,5,0)</f>
        <v>-3.0859155231155454E-13</v>
      </c>
      <c r="CA167" s="13" t="e">
        <f t="shared" si="170"/>
        <v>#NUM!</v>
      </c>
      <c r="CB167" s="20" t="e">
        <f t="shared" si="171"/>
        <v>#NUM!</v>
      </c>
      <c r="CC167" s="59" t="e">
        <f t="shared" si="119"/>
        <v>#NUM!</v>
      </c>
      <c r="CD167" s="59">
        <f ca="1">AVERAGE(OFFSET($CC$3,0,0,'Données projet'!$E$12+1,1))-AVERAGE(OFFSET($H$3,0,0,'Données projet'!$E$12+1,1))</f>
        <v>363.51171608224735</v>
      </c>
      <c r="CE167" s="59">
        <f t="shared" si="148"/>
        <v>257.9239334647138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0.16952796325842054</v>
      </c>
      <c r="CL167" s="21">
        <f>EXP(-LN(2)/25)*CL166+(1-EXP(-LN(2)/25))/(LN(2)/25)*Calculateur!CG167*Calculateur!CI167*VLOOKUP('Données projet'!$B$12,Paramètres!$A$1:$I$89,3,0)*0.475*44/12</f>
        <v>0.27472413926309197</v>
      </c>
      <c r="CM167" s="21">
        <f>EXP(-LN(2)/2)*CM166+(1-EXP(-LN(2)/2))/(LN(2)/2)*CG167*CJ167*VLOOKUP('Données projet'!$B$12,Paramètres!$A$1:$I$89,3,0)*0.475*44/12</f>
        <v>1.4605109096748862E-19</v>
      </c>
      <c r="CN167" s="22">
        <f t="shared" si="172"/>
        <v>0.44425210252151248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1">
        <f t="shared" si="140"/>
        <v>24.586929563904505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67">
        <f t="shared" si="110"/>
        <v>493.06231899046742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-1.2505552149377763E-12</v>
      </c>
      <c r="O168" s="13">
        <f>N168*VLOOKUP('Données projet'!$B$9,Paramètres!$A$1:$I$89,3,0)*VLOOKUP('Données projet'!$B$9,Paramètres!$A$1:$I$89,5,0)</f>
        <v>-6.9906036515021697E-13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446.28010102877403</v>
      </c>
      <c r="T168" s="59">
        <f t="shared" si="142"/>
        <v>445.84011537290456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0.78803442082262098</v>
      </c>
      <c r="AA168" s="21">
        <f>EXP(-LN(2)/25)*AA167+(1-EXP(-LN(2)/25))/(LN(2)/25)*Calculateur!V168*Calculateur!X168*VLOOKUP('Données projet'!$B$9,Paramètres!$A$1:$I$89,3,0)*0.475*44/12</f>
        <v>0.91794187506942093</v>
      </c>
      <c r="AB168" s="21">
        <f>EXP(-LN(2)/2)*AB167+(1-EXP(-LN(2)/2))/(LN(2)/2)*V168*Y168*VLOOKUP('Données projet'!$B$9,Paramètres!$A$1:$I$89,3,0)*0.475*44/12</f>
        <v>1.7475659658957826E-19</v>
      </c>
      <c r="AC168" s="22">
        <f t="shared" si="163"/>
        <v>1.7059762958920419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>
        <f>AI168*VLOOKUP('Données projet'!$B$10,Paramètres!$A$1:$I$89,3,0)*VLOOKUP('Données projet'!$B$10,Paramètres!$A$1:$I$89,5,0)</f>
        <v>0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285.77483300338548</v>
      </c>
      <c r="AO168" s="59">
        <f t="shared" si="144"/>
        <v>320.55212417690637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0.57578159796257311</v>
      </c>
      <c r="AV168" s="21">
        <f>EXP(-LN(2)/25)*AV167+(1-EXP(-LN(2)/25))/(LN(2)/25)*Calculateur!AQ168*Calculateur!AS168*VLOOKUP('Données projet'!$B$10,Paramètres!$A$1:$I$89,3,0)*0.475*44/12</f>
        <v>0.66004406553573691</v>
      </c>
      <c r="AW168" s="21">
        <f>EXP(-LN(2)/2)*AW167+(1-EXP(-LN(2)/2))/(LN(2)/2)*AQ168*AT168*VLOOKUP('Données projet'!$B$10,Paramètres!$A$1:$I$89,3,0)*0.475*44/12</f>
        <v>1.169193304045615E-19</v>
      </c>
      <c r="AX168" s="21">
        <f t="shared" si="166"/>
        <v>1.23582566349831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-7.9580786405131221E-13</v>
      </c>
      <c r="BE168" s="13">
        <f>BD168*VLOOKUP('Données projet'!$B$11,Paramètres!$A$1:$I$89,3,0)*VLOOKUP('Données projet'!$B$11,Paramètres!$A$1:$I$89,5,0)</f>
        <v>-3.8278358260868117E-13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402.22278907877927</v>
      </c>
      <c r="BJ168" s="59">
        <f t="shared" si="146"/>
        <v>393.06397734082458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1.9179522203033426</v>
      </c>
      <c r="BQ168" s="21">
        <f>EXP(-LN(2)/25)*BQ167+(1-EXP(-LN(2)/25))/(LN(2)/25)*Calculateur!BL168*Calculateur!BN168*VLOOKUP('Données projet'!$B$11,Paramètres!$A$1:$I$89,3,0)*0.475*44/12</f>
        <v>1.0678854539543685</v>
      </c>
      <c r="BR168" s="21">
        <f>EXP(-LN(2)/2)*BR167+(1-EXP(-LN(2)/2))/(LN(2)/2)*BL168*BO168*VLOOKUP('Données projet'!$B$11,Paramètres!$A$1:$I$89,3,0)*0.475*44/12</f>
        <v>4.2387114206073585E-18</v>
      </c>
      <c r="BS168" s="22">
        <f t="shared" si="169"/>
        <v>2.9858376742577111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-3.4106051316484809E-13</v>
      </c>
      <c r="BZ168" s="13">
        <f>BY168*VLOOKUP('Données projet'!$B$12,Paramètres!$A$1:$I$89,3,0)*VLOOKUP('Données projet'!$B$12,Paramètres!$A$1:$I$89,5,0)</f>
        <v>-3.0859155231155454E-13</v>
      </c>
      <c r="CA168" s="13" t="e">
        <f t="shared" si="170"/>
        <v>#NUM!</v>
      </c>
      <c r="CB168" s="20" t="e">
        <f t="shared" si="171"/>
        <v>#NUM!</v>
      </c>
      <c r="CC168" s="59" t="e">
        <f t="shared" si="119"/>
        <v>#NUM!</v>
      </c>
      <c r="CD168" s="59">
        <f ca="1">AVERAGE(OFFSET($CC$3,0,0,'Données projet'!$E$12+1,1))-AVERAGE(OFFSET($H$3,0,0,'Données projet'!$E$12+1,1))</f>
        <v>363.51171608224735</v>
      </c>
      <c r="CE168" s="59">
        <f t="shared" si="148"/>
        <v>257.9239334647138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0.1662036233007704</v>
      </c>
      <c r="CL168" s="21">
        <f>EXP(-LN(2)/25)*CL167+(1-EXP(-LN(2)/25))/(LN(2)/25)*Calculateur!CG168*Calculateur!CI168*VLOOKUP('Données projet'!$B$12,Paramètres!$A$1:$I$89,3,0)*0.475*44/12</f>
        <v>0.26721179322782812</v>
      </c>
      <c r="CM168" s="21">
        <f>EXP(-LN(2)/2)*CM167+(1-EXP(-LN(2)/2))/(LN(2)/2)*CG168*CJ168*VLOOKUP('Données projet'!$B$12,Paramètres!$A$1:$I$89,3,0)*0.475*44/12</f>
        <v>1.0327371682280452E-19</v>
      </c>
      <c r="CN168" s="22">
        <f t="shared" si="172"/>
        <v>0.4334154165285985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1">
        <f t="shared" si="140"/>
        <v>24.718549958973419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67">
        <f t="shared" si="110"/>
        <v>494.24250784521246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-1.2505552149377763E-12</v>
      </c>
      <c r="O169" s="13">
        <f>N169*VLOOKUP('Données projet'!$B$9,Paramètres!$A$1:$I$89,3,0)*VLOOKUP('Données projet'!$B$9,Paramètres!$A$1:$I$89,5,0)</f>
        <v>-6.9906036515021697E-13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446.28010102877403</v>
      </c>
      <c r="T169" s="59">
        <f t="shared" si="142"/>
        <v>445.84011537290456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0.77258154648382549</v>
      </c>
      <c r="AA169" s="21">
        <f>EXP(-LN(2)/25)*AA168+(1-EXP(-LN(2)/25))/(LN(2)/25)*Calculateur!V169*Calculateur!X169*VLOOKUP('Données projet'!$B$9,Paramètres!$A$1:$I$89,3,0)*0.475*44/12</f>
        <v>0.89284070622318235</v>
      </c>
      <c r="AB169" s="21">
        <f>EXP(-LN(2)/2)*AB168+(1-EXP(-LN(2)/2))/(LN(2)/2)*V169*Y169*VLOOKUP('Données projet'!$B$9,Paramètres!$A$1:$I$89,3,0)*0.475*44/12</f>
        <v>1.2357157450557267E-19</v>
      </c>
      <c r="AC169" s="22">
        <f t="shared" si="163"/>
        <v>1.6654222527070077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>
        <f>AI169*VLOOKUP('Données projet'!$B$10,Paramètres!$A$1:$I$89,3,0)*VLOOKUP('Données projet'!$B$10,Paramètres!$A$1:$I$89,5,0)</f>
        <v>0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285.77483300338548</v>
      </c>
      <c r="AO169" s="59">
        <f t="shared" si="144"/>
        <v>320.55212417690637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0.56449087201862447</v>
      </c>
      <c r="AV169" s="21">
        <f>EXP(-LN(2)/25)*AV168+(1-EXP(-LN(2)/25))/(LN(2)/25)*Calculateur!AQ169*Calculateur!AS169*VLOOKUP('Données projet'!$B$10,Paramètres!$A$1:$I$89,3,0)*0.475*44/12</f>
        <v>0.64199512585345331</v>
      </c>
      <c r="AW169" s="21">
        <f>EXP(-LN(2)/2)*AW168+(1-EXP(-LN(2)/2))/(LN(2)/2)*AQ169*AT169*VLOOKUP('Données projet'!$B$10,Paramètres!$A$1:$I$89,3,0)*0.475*44/12</f>
        <v>8.2674451380855925E-20</v>
      </c>
      <c r="AX169" s="21">
        <f t="shared" si="166"/>
        <v>1.2064859978720777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-7.9580786405131221E-13</v>
      </c>
      <c r="BE169" s="13">
        <f>BD169*VLOOKUP('Données projet'!$B$11,Paramètres!$A$1:$I$89,3,0)*VLOOKUP('Données projet'!$B$11,Paramètres!$A$1:$I$89,5,0)</f>
        <v>-3.8278358260868117E-13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402.22278907877927</v>
      </c>
      <c r="BJ169" s="59">
        <f t="shared" si="146"/>
        <v>393.06397734082458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1.8803423470985368</v>
      </c>
      <c r="BQ169" s="21">
        <f>EXP(-LN(2)/25)*BQ168+(1-EXP(-LN(2)/25))/(LN(2)/25)*Calculateur!BL169*Calculateur!BN169*VLOOKUP('Données projet'!$B$11,Paramètres!$A$1:$I$89,3,0)*0.475*44/12</f>
        <v>1.0386840700583311</v>
      </c>
      <c r="BR169" s="21">
        <f>EXP(-LN(2)/2)*BR168+(1-EXP(-LN(2)/2))/(LN(2)/2)*BL169*BO169*VLOOKUP('Données projet'!$B$11,Paramètres!$A$1:$I$89,3,0)*0.475*44/12</f>
        <v>2.9972215890043275E-18</v>
      </c>
      <c r="BS169" s="22">
        <f t="shared" si="169"/>
        <v>2.9190264171568678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-3.4106051316484809E-13</v>
      </c>
      <c r="BZ169" s="13">
        <f>BY169*VLOOKUP('Données projet'!$B$12,Paramètres!$A$1:$I$89,3,0)*VLOOKUP('Données projet'!$B$12,Paramètres!$A$1:$I$89,5,0)</f>
        <v>-3.0859155231155454E-13</v>
      </c>
      <c r="CA169" s="13" t="e">
        <f t="shared" si="170"/>
        <v>#NUM!</v>
      </c>
      <c r="CB169" s="20" t="e">
        <f t="shared" si="171"/>
        <v>#NUM!</v>
      </c>
      <c r="CC169" s="59" t="e">
        <f t="shared" si="119"/>
        <v>#NUM!</v>
      </c>
      <c r="CD169" s="59">
        <f ca="1">AVERAGE(OFFSET($CC$3,0,0,'Données projet'!$E$12+1,1))-AVERAGE(OFFSET($H$3,0,0,'Données projet'!$E$12+1,1))</f>
        <v>363.51171608224735</v>
      </c>
      <c r="CE169" s="59">
        <f t="shared" si="148"/>
        <v>257.9239334647138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0.16294447162204265</v>
      </c>
      <c r="CL169" s="21">
        <f>EXP(-LN(2)/25)*CL168+(1-EXP(-LN(2)/25))/(LN(2)/25)*Calculateur!CG169*Calculateur!CI169*VLOOKUP('Données projet'!$B$12,Paramètres!$A$1:$I$89,3,0)*0.475*44/12</f>
        <v>0.25990487268995566</v>
      </c>
      <c r="CM169" s="21">
        <f>EXP(-LN(2)/2)*CM168+(1-EXP(-LN(2)/2))/(LN(2)/2)*CG169*CJ169*VLOOKUP('Données projet'!$B$12,Paramètres!$A$1:$I$89,3,0)*0.475*44/12</f>
        <v>7.302554548374431E-20</v>
      </c>
      <c r="CN169" s="22">
        <f t="shared" si="172"/>
        <v>0.42284934431199828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1">
        <f t="shared" si="140"/>
        <v>24.850078092947228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67">
        <f t="shared" si="110"/>
        <v>495.42253601188349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-1.2505552149377763E-12</v>
      </c>
      <c r="O170" s="13">
        <f>N170*VLOOKUP('Données projet'!$B$9,Paramètres!$A$1:$I$89,3,0)*VLOOKUP('Données projet'!$B$9,Paramètres!$A$1:$I$89,5,0)</f>
        <v>-6.9906036515021697E-13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446.28010102877403</v>
      </c>
      <c r="T170" s="59">
        <f t="shared" si="142"/>
        <v>445.84011537290456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0.75743169358549112</v>
      </c>
      <c r="AA170" s="21">
        <f>EXP(-LN(2)/25)*AA169+(1-EXP(-LN(2)/25))/(LN(2)/25)*Calculateur!V170*Calculateur!X170*VLOOKUP('Données projet'!$B$9,Paramètres!$A$1:$I$89,3,0)*0.475*44/12</f>
        <v>0.86842593015905734</v>
      </c>
      <c r="AB170" s="21">
        <f>EXP(-LN(2)/2)*AB169+(1-EXP(-LN(2)/2))/(LN(2)/2)*V170*Y170*VLOOKUP('Données projet'!$B$9,Paramètres!$A$1:$I$89,3,0)*0.475*44/12</f>
        <v>8.737829829478913E-20</v>
      </c>
      <c r="AC170" s="22">
        <f t="shared" si="163"/>
        <v>1.6258576237445483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>
        <f>AI170*VLOOKUP('Données projet'!$B$10,Paramètres!$A$1:$I$89,3,0)*VLOOKUP('Données projet'!$B$10,Paramètres!$A$1:$I$89,5,0)</f>
        <v>0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285.77483300338548</v>
      </c>
      <c r="AO170" s="59">
        <f t="shared" si="144"/>
        <v>320.55212417690637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0.55342155032377383</v>
      </c>
      <c r="AV170" s="21">
        <f>EXP(-LN(2)/25)*AV169+(1-EXP(-LN(2)/25))/(LN(2)/25)*Calculateur!AQ170*Calculateur!AS170*VLOOKUP('Données projet'!$B$10,Paramètres!$A$1:$I$89,3,0)*0.475*44/12</f>
        <v>0.62443973537593422</v>
      </c>
      <c r="AW170" s="21">
        <f>EXP(-LN(2)/2)*AW169+(1-EXP(-LN(2)/2))/(LN(2)/2)*AQ170*AT170*VLOOKUP('Données projet'!$B$10,Paramètres!$A$1:$I$89,3,0)*0.475*44/12</f>
        <v>5.8459665202280752E-20</v>
      </c>
      <c r="AX170" s="21">
        <f t="shared" si="166"/>
        <v>1.1778612856997079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-7.9580786405131221E-13</v>
      </c>
      <c r="BE170" s="13">
        <f>BD170*VLOOKUP('Données projet'!$B$11,Paramètres!$A$1:$I$89,3,0)*VLOOKUP('Données projet'!$B$11,Paramètres!$A$1:$I$89,5,0)</f>
        <v>-3.8278358260868117E-13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402.22278907877927</v>
      </c>
      <c r="BJ170" s="59">
        <f t="shared" si="146"/>
        <v>393.06397734082458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1.8434699805675197</v>
      </c>
      <c r="BQ170" s="21">
        <f>EXP(-LN(2)/25)*BQ169+(1-EXP(-LN(2)/25))/(LN(2)/25)*Calculateur!BL170*Calculateur!BN170*VLOOKUP('Données projet'!$B$11,Paramètres!$A$1:$I$89,3,0)*0.475*44/12</f>
        <v>1.0102811995405647</v>
      </c>
      <c r="BR170" s="21">
        <f>EXP(-LN(2)/2)*BR169+(1-EXP(-LN(2)/2))/(LN(2)/2)*BL170*BO170*VLOOKUP('Données projet'!$B$11,Paramètres!$A$1:$I$89,3,0)*0.475*44/12</f>
        <v>2.1193557103036793E-18</v>
      </c>
      <c r="BS170" s="22">
        <f t="shared" si="169"/>
        <v>2.8537511801080844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-3.4106051316484809E-13</v>
      </c>
      <c r="BZ170" s="13">
        <f>BY170*VLOOKUP('Données projet'!$B$12,Paramètres!$A$1:$I$89,3,0)*VLOOKUP('Données projet'!$B$12,Paramètres!$A$1:$I$89,5,0)</f>
        <v>-3.0859155231155454E-13</v>
      </c>
      <c r="CA170" s="13" t="e">
        <f t="shared" si="170"/>
        <v>#NUM!</v>
      </c>
      <c r="CB170" s="20" t="e">
        <f t="shared" si="171"/>
        <v>#NUM!</v>
      </c>
      <c r="CC170" s="59" t="e">
        <f t="shared" si="119"/>
        <v>#NUM!</v>
      </c>
      <c r="CD170" s="59">
        <f ca="1">AVERAGE(OFFSET($CC$3,0,0,'Données projet'!$E$12+1,1))-AVERAGE(OFFSET($H$3,0,0,'Données projet'!$E$12+1,1))</f>
        <v>363.51171608224735</v>
      </c>
      <c r="CE170" s="59">
        <f t="shared" si="148"/>
        <v>257.9239334647138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0.1597492299198485</v>
      </c>
      <c r="CL170" s="21">
        <f>EXP(-LN(2)/25)*CL169+(1-EXP(-LN(2)/25))/(LN(2)/25)*Calculateur!CG170*Calculateur!CI170*VLOOKUP('Données projet'!$B$12,Paramètres!$A$1:$I$89,3,0)*0.475*44/12</f>
        <v>0.25279776027844558</v>
      </c>
      <c r="CM170" s="21">
        <f>EXP(-LN(2)/2)*CM169+(1-EXP(-LN(2)/2))/(LN(2)/2)*CG170*CJ170*VLOOKUP('Données projet'!$B$12,Paramètres!$A$1:$I$89,3,0)*0.475*44/12</f>
        <v>5.1636858411402262E-20</v>
      </c>
      <c r="CN170" s="22">
        <f t="shared" si="172"/>
        <v>0.41254699019829411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1">
        <f t="shared" si="140"/>
        <v>24.981514582386627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67">
        <f t="shared" si="110"/>
        <v>496.60240456432382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-1.2505552149377763E-12</v>
      </c>
      <c r="O171" s="13">
        <f>N171*VLOOKUP('Données projet'!$B$9,Paramètres!$A$1:$I$89,3,0)*VLOOKUP('Données projet'!$B$9,Paramètres!$A$1:$I$89,5,0)</f>
        <v>-6.9906036515021697E-13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446.28010102877403</v>
      </c>
      <c r="T171" s="59">
        <f t="shared" si="142"/>
        <v>445.84011537290456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0.74257892006199522</v>
      </c>
      <c r="AA171" s="21">
        <f>EXP(-LN(2)/25)*AA170+(1-EXP(-LN(2)/25))/(LN(2)/25)*Calculateur!V171*Calculateur!X171*VLOOKUP('Données projet'!$B$9,Paramètres!$A$1:$I$89,3,0)*0.475*44/12</f>
        <v>0.84467877743032305</v>
      </c>
      <c r="AB171" s="21">
        <f>EXP(-LN(2)/2)*AB170+(1-EXP(-LN(2)/2))/(LN(2)/2)*V171*Y171*VLOOKUP('Données projet'!$B$9,Paramètres!$A$1:$I$89,3,0)*0.475*44/12</f>
        <v>6.1785787252786335E-20</v>
      </c>
      <c r="AC171" s="22">
        <f t="shared" si="163"/>
        <v>1.5872576974923183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>
        <f>AI171*VLOOKUP('Données projet'!$B$10,Paramètres!$A$1:$I$89,3,0)*VLOOKUP('Données projet'!$B$10,Paramètres!$A$1:$I$89,5,0)</f>
        <v>0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285.77483300338548</v>
      </c>
      <c r="AO171" s="59">
        <f t="shared" si="144"/>
        <v>320.55212417690637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0.54256929127573961</v>
      </c>
      <c r="AV171" s="21">
        <f>EXP(-LN(2)/25)*AV170+(1-EXP(-LN(2)/25))/(LN(2)/25)*Calculateur!AQ171*Calculateur!AS171*VLOOKUP('Données projet'!$B$10,Paramètres!$A$1:$I$89,3,0)*0.475*44/12</f>
        <v>0.60736439797422082</v>
      </c>
      <c r="AW171" s="21">
        <f>EXP(-LN(2)/2)*AW170+(1-EXP(-LN(2)/2))/(LN(2)/2)*AQ171*AT171*VLOOKUP('Données projet'!$B$10,Paramètres!$A$1:$I$89,3,0)*0.475*44/12</f>
        <v>4.1337225690427963E-20</v>
      </c>
      <c r="AX171" s="21">
        <f t="shared" si="166"/>
        <v>1.1499336892499605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-7.9580786405131221E-13</v>
      </c>
      <c r="BE171" s="13">
        <f>BD171*VLOOKUP('Données projet'!$B$11,Paramètres!$A$1:$I$89,3,0)*VLOOKUP('Données projet'!$B$11,Paramètres!$A$1:$I$89,5,0)</f>
        <v>-3.8278358260868117E-13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402.22278907877927</v>
      </c>
      <c r="BJ171" s="59">
        <f t="shared" si="146"/>
        <v>393.06397734082458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1.807320658654253</v>
      </c>
      <c r="BQ171" s="21">
        <f>EXP(-LN(2)/25)*BQ170+(1-EXP(-LN(2)/25))/(LN(2)/25)*Calculateur!BL171*Calculateur!BN171*VLOOKUP('Données projet'!$B$11,Paramètres!$A$1:$I$89,3,0)*0.475*44/12</f>
        <v>0.9826550070107487</v>
      </c>
      <c r="BR171" s="21">
        <f>EXP(-LN(2)/2)*BR170+(1-EXP(-LN(2)/2))/(LN(2)/2)*BL171*BO171*VLOOKUP('Données projet'!$B$11,Paramètres!$A$1:$I$89,3,0)*0.475*44/12</f>
        <v>1.4986107945021638E-18</v>
      </c>
      <c r="BS171" s="22">
        <f t="shared" si="169"/>
        <v>2.7899756656650014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-3.4106051316484809E-13</v>
      </c>
      <c r="BZ171" s="13">
        <f>BY171*VLOOKUP('Données projet'!$B$12,Paramètres!$A$1:$I$89,3,0)*VLOOKUP('Données projet'!$B$12,Paramètres!$A$1:$I$89,5,0)</f>
        <v>-3.0859155231155454E-13</v>
      </c>
      <c r="CA171" s="13" t="e">
        <f t="shared" si="170"/>
        <v>#NUM!</v>
      </c>
      <c r="CB171" s="20" t="e">
        <f t="shared" si="171"/>
        <v>#NUM!</v>
      </c>
      <c r="CC171" s="59" t="e">
        <f t="shared" si="119"/>
        <v>#NUM!</v>
      </c>
      <c r="CD171" s="59">
        <f ca="1">AVERAGE(OFFSET($CC$3,0,0,'Données projet'!$E$12+1,1))-AVERAGE(OFFSET($H$3,0,0,'Données projet'!$E$12+1,1))</f>
        <v>363.51171608224735</v>
      </c>
      <c r="CE171" s="59">
        <f t="shared" si="148"/>
        <v>257.9239334647138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0.15661664495852937</v>
      </c>
      <c r="CL171" s="21">
        <f>EXP(-LN(2)/25)*CL170+(1-EXP(-LN(2)/25))/(LN(2)/25)*Calculateur!CG171*Calculateur!CI171*VLOOKUP('Données projet'!$B$12,Paramètres!$A$1:$I$89,3,0)*0.475*44/12</f>
        <v>0.24588499222957505</v>
      </c>
      <c r="CM171" s="21">
        <f>EXP(-LN(2)/2)*CM170+(1-EXP(-LN(2)/2))/(LN(2)/2)*CG171*CJ171*VLOOKUP('Données projet'!$B$12,Paramètres!$A$1:$I$89,3,0)*0.475*44/12</f>
        <v>3.6512772741872155E-20</v>
      </c>
      <c r="CN171" s="22">
        <f t="shared" si="172"/>
        <v>0.40250163718810439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1">
        <f t="shared" si="140"/>
        <v>25.112860036087632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67">
        <f t="shared" si="110"/>
        <v>497.78211456285305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-1.2505552149377763E-12</v>
      </c>
      <c r="O172" s="13">
        <f>N172*VLOOKUP('Données projet'!$B$9,Paramètres!$A$1:$I$89,3,0)*VLOOKUP('Données projet'!$B$9,Paramètres!$A$1:$I$89,5,0)</f>
        <v>-6.9906036515021697E-13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446.28010102877403</v>
      </c>
      <c r="T172" s="59">
        <f t="shared" si="142"/>
        <v>445.84011537290456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0.72801740036799778</v>
      </c>
      <c r="AA172" s="21">
        <f>EXP(-LN(2)/25)*AA171+(1-EXP(-LN(2)/25))/(LN(2)/25)*Calculateur!V172*Calculateur!X172*VLOOKUP('Données projet'!$B$9,Paramètres!$A$1:$I$89,3,0)*0.475*44/12</f>
        <v>0.82158099184176447</v>
      </c>
      <c r="AB172" s="21">
        <f>EXP(-LN(2)/2)*AB171+(1-EXP(-LN(2)/2))/(LN(2)/2)*V172*Y172*VLOOKUP('Données projet'!$B$9,Paramètres!$A$1:$I$89,3,0)*0.475*44/12</f>
        <v>4.3689149147394565E-20</v>
      </c>
      <c r="AC172" s="22">
        <f t="shared" si="163"/>
        <v>1.5495983922097623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>
        <f>AI172*VLOOKUP('Données projet'!$B$10,Paramètres!$A$1:$I$89,3,0)*VLOOKUP('Données projet'!$B$10,Paramètres!$A$1:$I$89,5,0)</f>
        <v>0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285.77483300338548</v>
      </c>
      <c r="AO172" s="59">
        <f t="shared" si="144"/>
        <v>320.55212417690637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0.5319298384084129</v>
      </c>
      <c r="AV172" s="21">
        <f>EXP(-LN(2)/25)*AV171+(1-EXP(-LN(2)/25))/(LN(2)/25)*Calculateur!AQ172*Calculateur!AS172*VLOOKUP('Données projet'!$B$10,Paramètres!$A$1:$I$89,3,0)*0.475*44/12</f>
        <v>0.59075598657171025</v>
      </c>
      <c r="AW172" s="21">
        <f>EXP(-LN(2)/2)*AW171+(1-EXP(-LN(2)/2))/(LN(2)/2)*AQ172*AT172*VLOOKUP('Données projet'!$B$10,Paramètres!$A$1:$I$89,3,0)*0.475*44/12</f>
        <v>2.9229832601140376E-20</v>
      </c>
      <c r="AX172" s="21">
        <f t="shared" si="166"/>
        <v>1.122685824980123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-7.9580786405131221E-13</v>
      </c>
      <c r="BE172" s="13">
        <f>BD172*VLOOKUP('Données projet'!$B$11,Paramètres!$A$1:$I$89,3,0)*VLOOKUP('Données projet'!$B$11,Paramètres!$A$1:$I$89,5,0)</f>
        <v>-3.8278358260868117E-13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402.22278907877927</v>
      </c>
      <c r="BJ172" s="59">
        <f t="shared" si="146"/>
        <v>393.06397734082458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1.7718802028947962</v>
      </c>
      <c r="BQ172" s="21">
        <f>EXP(-LN(2)/25)*BQ171+(1-EXP(-LN(2)/25))/(LN(2)/25)*Calculateur!BL172*Calculateur!BN172*VLOOKUP('Données projet'!$B$11,Paramètres!$A$1:$I$89,3,0)*0.475*44/12</f>
        <v>0.9557842541684588</v>
      </c>
      <c r="BR172" s="21">
        <f>EXP(-LN(2)/2)*BR171+(1-EXP(-LN(2)/2))/(LN(2)/2)*BL172*BO172*VLOOKUP('Données projet'!$B$11,Paramètres!$A$1:$I$89,3,0)*0.475*44/12</f>
        <v>1.0596778551518396E-18</v>
      </c>
      <c r="BS172" s="22">
        <f t="shared" si="169"/>
        <v>2.7276644570632551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-3.4106051316484809E-13</v>
      </c>
      <c r="BZ172" s="13">
        <f>BY172*VLOOKUP('Données projet'!$B$12,Paramètres!$A$1:$I$89,3,0)*VLOOKUP('Données projet'!$B$12,Paramètres!$A$1:$I$89,5,0)</f>
        <v>-3.0859155231155454E-13</v>
      </c>
      <c r="CA172" s="13" t="e">
        <f t="shared" si="170"/>
        <v>#NUM!</v>
      </c>
      <c r="CB172" s="20" t="e">
        <f t="shared" si="171"/>
        <v>#NUM!</v>
      </c>
      <c r="CC172" s="59" t="e">
        <f t="shared" si="119"/>
        <v>#NUM!</v>
      </c>
      <c r="CD172" s="59">
        <f ca="1">AVERAGE(OFFSET($CC$3,0,0,'Données projet'!$E$12+1,1))-AVERAGE(OFFSET($H$3,0,0,'Données projet'!$E$12+1,1))</f>
        <v>363.51171608224735</v>
      </c>
      <c r="CE172" s="59">
        <f t="shared" si="148"/>
        <v>257.9239334647138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0.15354548807761356</v>
      </c>
      <c r="CL172" s="21">
        <f>EXP(-LN(2)/25)*CL171+(1-EXP(-LN(2)/25))/(LN(2)/25)*Calculateur!CG172*Calculateur!CI172*VLOOKUP('Données projet'!$B$12,Paramètres!$A$1:$I$89,3,0)*0.475*44/12</f>
        <v>0.23916125418652756</v>
      </c>
      <c r="CM172" s="21">
        <f>EXP(-LN(2)/2)*CM171+(1-EXP(-LN(2)/2))/(LN(2)/2)*CG172*CJ172*VLOOKUP('Données projet'!$B$12,Paramètres!$A$1:$I$89,3,0)*0.475*44/12</f>
        <v>2.5818429205701131E-20</v>
      </c>
      <c r="CN172" s="22">
        <f t="shared" si="172"/>
        <v>0.39270674226414115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1">
        <f t="shared" si="140"/>
        <v>25.244115055224771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67">
        <f t="shared" si="110"/>
        <v>498.96166705451697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-1.2505552149377763E-12</v>
      </c>
      <c r="O173" s="13">
        <f>N173*VLOOKUP('Données projet'!$B$9,Paramètres!$A$1:$I$89,3,0)*VLOOKUP('Données projet'!$B$9,Paramètres!$A$1:$I$89,5,0)</f>
        <v>-6.9906036515021697E-13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446.28010102877403</v>
      </c>
      <c r="T173" s="59">
        <f t="shared" si="142"/>
        <v>445.84011537290456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0.71374142319354961</v>
      </c>
      <c r="AA173" s="21">
        <f>EXP(-LN(2)/25)*AA172+(1-EXP(-LN(2)/25))/(LN(2)/25)*Calculateur!V173*Calculateur!X173*VLOOKUP('Données projet'!$B$9,Paramètres!$A$1:$I$89,3,0)*0.475*44/12</f>
        <v>0.79911481641478477</v>
      </c>
      <c r="AB173" s="21">
        <f>EXP(-LN(2)/2)*AB172+(1-EXP(-LN(2)/2))/(LN(2)/2)*V173*Y173*VLOOKUP('Données projet'!$B$9,Paramètres!$A$1:$I$89,3,0)*0.475*44/12</f>
        <v>3.0892893626393168E-20</v>
      </c>
      <c r="AC173" s="22">
        <f t="shared" si="163"/>
        <v>1.5128562396083343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>
        <f>AI173*VLOOKUP('Données projet'!$B$10,Paramètres!$A$1:$I$89,3,0)*VLOOKUP('Données projet'!$B$10,Paramètres!$A$1:$I$89,5,0)</f>
        <v>0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285.77483300338548</v>
      </c>
      <c r="AO173" s="59">
        <f t="shared" si="144"/>
        <v>320.55212417690637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0.52149901872238902</v>
      </c>
      <c r="AV173" s="21">
        <f>EXP(-LN(2)/25)*AV172+(1-EXP(-LN(2)/25))/(LN(2)/25)*Calculateur!AQ173*Calculateur!AS173*VLOOKUP('Données projet'!$B$10,Paramètres!$A$1:$I$89,3,0)*0.475*44/12</f>
        <v>0.5746017330523997</v>
      </c>
      <c r="AW173" s="21">
        <f>EXP(-LN(2)/2)*AW172+(1-EXP(-LN(2)/2))/(LN(2)/2)*AQ173*AT173*VLOOKUP('Données projet'!$B$10,Paramètres!$A$1:$I$89,3,0)*0.475*44/12</f>
        <v>2.0668612845213981E-20</v>
      </c>
      <c r="AX173" s="21">
        <f t="shared" si="166"/>
        <v>1.0961007517747887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-7.9580786405131221E-13</v>
      </c>
      <c r="BE173" s="13">
        <f>BD173*VLOOKUP('Données projet'!$B$11,Paramètres!$A$1:$I$89,3,0)*VLOOKUP('Données projet'!$B$11,Paramètres!$A$1:$I$89,5,0)</f>
        <v>-3.8278358260868117E-13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402.22278907877927</v>
      </c>
      <c r="BJ173" s="59">
        <f t="shared" si="146"/>
        <v>393.06397734082458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1.7371347128562389</v>
      </c>
      <c r="BQ173" s="21">
        <f>EXP(-LN(2)/25)*BQ172+(1-EXP(-LN(2)/25))/(LN(2)/25)*Calculateur!BL173*Calculateur!BN173*VLOOKUP('Données projet'!$B$11,Paramètres!$A$1:$I$89,3,0)*0.475*44/12</f>
        <v>0.92964828347571282</v>
      </c>
      <c r="BR173" s="21">
        <f>EXP(-LN(2)/2)*BR172+(1-EXP(-LN(2)/2))/(LN(2)/2)*BL173*BO173*VLOOKUP('Données projet'!$B$11,Paramètres!$A$1:$I$89,3,0)*0.475*44/12</f>
        <v>7.4930539725108188E-19</v>
      </c>
      <c r="BS173" s="22">
        <f t="shared" si="169"/>
        <v>2.6667829963319516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-3.4106051316484809E-13</v>
      </c>
      <c r="BZ173" s="13">
        <f>BY173*VLOOKUP('Données projet'!$B$12,Paramètres!$A$1:$I$89,3,0)*VLOOKUP('Données projet'!$B$12,Paramètres!$A$1:$I$89,5,0)</f>
        <v>-3.0859155231155454E-13</v>
      </c>
      <c r="CA173" s="13" t="e">
        <f t="shared" si="170"/>
        <v>#NUM!</v>
      </c>
      <c r="CB173" s="20" t="e">
        <f t="shared" si="171"/>
        <v>#NUM!</v>
      </c>
      <c r="CC173" s="59" t="e">
        <f t="shared" si="119"/>
        <v>#NUM!</v>
      </c>
      <c r="CD173" s="59">
        <f ca="1">AVERAGE(OFFSET($CC$3,0,0,'Données projet'!$E$12+1,1))-AVERAGE(OFFSET($H$3,0,0,'Données projet'!$E$12+1,1))</f>
        <v>363.51171608224735</v>
      </c>
      <c r="CE173" s="59">
        <f t="shared" si="148"/>
        <v>257.9239334647138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0.15053455470991178</v>
      </c>
      <c r="CL173" s="21">
        <f>EXP(-LN(2)/25)*CL172+(1-EXP(-LN(2)/25))/(LN(2)/25)*Calculateur!CG173*Calculateur!CI173*VLOOKUP('Données projet'!$B$12,Paramètres!$A$1:$I$89,3,0)*0.475*44/12</f>
        <v>0.23262137711385322</v>
      </c>
      <c r="CM173" s="21">
        <f>EXP(-LN(2)/2)*CM172+(1-EXP(-LN(2)/2))/(LN(2)/2)*CG173*CJ173*VLOOKUP('Données projet'!$B$12,Paramètres!$A$1:$I$89,3,0)*0.475*44/12</f>
        <v>1.8256386370936077E-20</v>
      </c>
      <c r="CN173" s="22">
        <f t="shared" si="172"/>
        <v>0.38315593182376501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1">
        <f t="shared" si="140"/>
        <v>25.375280233490745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67">
        <f t="shared" si="110"/>
        <v>500.1410630733302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-1.2505552149377763E-12</v>
      </c>
      <c r="O174" s="13">
        <f>N174*VLOOKUP('Données projet'!$B$9,Paramètres!$A$1:$I$89,3,0)*VLOOKUP('Données projet'!$B$9,Paramètres!$A$1:$I$89,5,0)</f>
        <v>-6.9906036515021697E-13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446.28010102877403</v>
      </c>
      <c r="T174" s="59">
        <f t="shared" si="142"/>
        <v>445.84011537290456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0.69974538922400609</v>
      </c>
      <c r="AA174" s="21">
        <f>EXP(-LN(2)/25)*AA173+(1-EXP(-LN(2)/25))/(LN(2)/25)*Calculateur!V174*Calculateur!X174*VLOOKUP('Données projet'!$B$9,Paramètres!$A$1:$I$89,3,0)*0.475*44/12</f>
        <v>0.77726297973630065</v>
      </c>
      <c r="AB174" s="21">
        <f>EXP(-LN(2)/2)*AB173+(1-EXP(-LN(2)/2))/(LN(2)/2)*V174*Y174*VLOOKUP('Données projet'!$B$9,Paramètres!$A$1:$I$89,3,0)*0.475*44/12</f>
        <v>2.1844574573697283E-20</v>
      </c>
      <c r="AC174" s="22">
        <f t="shared" si="163"/>
        <v>1.4770083689603068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>
        <f>AI174*VLOOKUP('Données projet'!$B$10,Paramètres!$A$1:$I$89,3,0)*VLOOKUP('Données projet'!$B$10,Paramètres!$A$1:$I$89,5,0)</f>
        <v>0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285.77483300338548</v>
      </c>
      <c r="AO174" s="59">
        <f t="shared" si="144"/>
        <v>320.55212417690637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0.51127274104823628</v>
      </c>
      <c r="AV174" s="21">
        <f>EXP(-LN(2)/25)*AV173+(1-EXP(-LN(2)/25))/(LN(2)/25)*Calculateur!AQ174*Calculateur!AS174*VLOOKUP('Données projet'!$B$10,Paramètres!$A$1:$I$89,3,0)*0.475*44/12</f>
        <v>0.55888921844508999</v>
      </c>
      <c r="AW174" s="21">
        <f>EXP(-LN(2)/2)*AW173+(1-EXP(-LN(2)/2))/(LN(2)/2)*AQ174*AT174*VLOOKUP('Données projet'!$B$10,Paramètres!$A$1:$I$89,3,0)*0.475*44/12</f>
        <v>1.4614916300570188E-20</v>
      </c>
      <c r="AX174" s="21">
        <f t="shared" si="166"/>
        <v>1.0701619594933263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-7.9580786405131221E-13</v>
      </c>
      <c r="BE174" s="13">
        <f>BD174*VLOOKUP('Données projet'!$B$11,Paramètres!$A$1:$I$89,3,0)*VLOOKUP('Données projet'!$B$11,Paramètres!$A$1:$I$89,5,0)</f>
        <v>-3.8278358260868117E-13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402.22278907877927</v>
      </c>
      <c r="BJ174" s="59">
        <f t="shared" si="146"/>
        <v>393.06397734082458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1.7030705606846812</v>
      </c>
      <c r="BQ174" s="21">
        <f>EXP(-LN(2)/25)*BQ173+(1-EXP(-LN(2)/25))/(LN(2)/25)*Calculateur!BL174*Calculateur!BN174*VLOOKUP('Données projet'!$B$11,Paramètres!$A$1:$I$89,3,0)*0.475*44/12</f>
        <v>0.90422700227599095</v>
      </c>
      <c r="BR174" s="21">
        <f>EXP(-LN(2)/2)*BR173+(1-EXP(-LN(2)/2))/(LN(2)/2)*BL174*BO174*VLOOKUP('Données projet'!$B$11,Paramètres!$A$1:$I$89,3,0)*0.475*44/12</f>
        <v>5.2983892757591981E-19</v>
      </c>
      <c r="BS174" s="22">
        <f t="shared" si="169"/>
        <v>2.6072975629606723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-3.4106051316484809E-13</v>
      </c>
      <c r="BZ174" s="13">
        <f>BY174*VLOOKUP('Données projet'!$B$12,Paramètres!$A$1:$I$89,3,0)*VLOOKUP('Données projet'!$B$12,Paramètres!$A$1:$I$89,5,0)</f>
        <v>-3.0859155231155454E-13</v>
      </c>
      <c r="CA174" s="13" t="e">
        <f t="shared" si="170"/>
        <v>#NUM!</v>
      </c>
      <c r="CB174" s="20" t="e">
        <f t="shared" si="171"/>
        <v>#NUM!</v>
      </c>
      <c r="CC174" s="59" t="e">
        <f t="shared" si="119"/>
        <v>#NUM!</v>
      </c>
      <c r="CD174" s="59">
        <f ca="1">AVERAGE(OFFSET($CC$3,0,0,'Données projet'!$E$12+1,1))-AVERAGE(OFFSET($H$3,0,0,'Données projet'!$E$12+1,1))</f>
        <v>363.51171608224735</v>
      </c>
      <c r="CE174" s="59">
        <f t="shared" si="148"/>
        <v>257.9239334647138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0.14758266390906261</v>
      </c>
      <c r="CL174" s="21">
        <f>EXP(-LN(2)/25)*CL173+(1-EXP(-LN(2)/25))/(LN(2)/25)*Calculateur!CG174*Calculateur!CI174*VLOOKUP('Données projet'!$B$12,Paramètres!$A$1:$I$89,3,0)*0.475*44/12</f>
        <v>0.22626033332364834</v>
      </c>
      <c r="CM174" s="21">
        <f>EXP(-LN(2)/2)*CM173+(1-EXP(-LN(2)/2))/(LN(2)/2)*CG174*CJ174*VLOOKUP('Données projet'!$B$12,Paramètres!$A$1:$I$89,3,0)*0.475*44/12</f>
        <v>1.2909214602850566E-20</v>
      </c>
      <c r="CN174" s="22">
        <f t="shared" si="172"/>
        <v>0.37384299723271097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1">
        <f t="shared" si="140"/>
        <v>25.506356157232712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67">
        <f t="shared" si="110"/>
        <v>501.32030364051411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-1.2505552149377763E-12</v>
      </c>
      <c r="O175" s="13">
        <f>N175*VLOOKUP('Données projet'!$B$9,Paramètres!$A$1:$I$89,3,0)*VLOOKUP('Données projet'!$B$9,Paramètres!$A$1:$I$89,5,0)</f>
        <v>-6.9906036515021697E-13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446.28010102877403</v>
      </c>
      <c r="T175" s="59">
        <f t="shared" si="142"/>
        <v>445.84011537290456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0.6860238089438675</v>
      </c>
      <c r="AA175" s="21">
        <f>EXP(-LN(2)/25)*AA174+(1-EXP(-LN(2)/25))/(LN(2)/25)*Calculateur!V175*Calculateur!X175*VLOOKUP('Données projet'!$B$9,Paramètres!$A$1:$I$89,3,0)*0.475*44/12</f>
        <v>0.75600868268092791</v>
      </c>
      <c r="AB175" s="21">
        <f>EXP(-LN(2)/2)*AB174+(1-EXP(-LN(2)/2))/(LN(2)/2)*V175*Y175*VLOOKUP('Données projet'!$B$9,Paramètres!$A$1:$I$89,3,0)*0.475*44/12</f>
        <v>1.5446446813196584E-20</v>
      </c>
      <c r="AC175" s="22">
        <f t="shared" si="163"/>
        <v>1.4420324916247953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>
        <f>AI175*VLOOKUP('Données projet'!$B$10,Paramètres!$A$1:$I$89,3,0)*VLOOKUP('Données projet'!$B$10,Paramètres!$A$1:$I$89,5,0)</f>
        <v>0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285.77483300338548</v>
      </c>
      <c r="AO175" s="59">
        <f t="shared" si="144"/>
        <v>320.55212417690637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0.50124699444186016</v>
      </c>
      <c r="AV175" s="21">
        <f>EXP(-LN(2)/25)*AV174+(1-EXP(-LN(2)/25))/(LN(2)/25)*Calculateur!AQ175*Calculateur!AS175*VLOOKUP('Données projet'!$B$10,Paramètres!$A$1:$I$89,3,0)*0.475*44/12</f>
        <v>0.54360636337600232</v>
      </c>
      <c r="AW175" s="21">
        <f>EXP(-LN(2)/2)*AW174+(1-EXP(-LN(2)/2))/(LN(2)/2)*AQ175*AT175*VLOOKUP('Données projet'!$B$10,Paramètres!$A$1:$I$89,3,0)*0.475*44/12</f>
        <v>1.0334306422606991E-20</v>
      </c>
      <c r="AX175" s="21">
        <f t="shared" si="166"/>
        <v>1.0448533578178625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-7.9580786405131221E-13</v>
      </c>
      <c r="BE175" s="13">
        <f>BD175*VLOOKUP('Données projet'!$B$11,Paramètres!$A$1:$I$89,3,0)*VLOOKUP('Données projet'!$B$11,Paramètres!$A$1:$I$89,5,0)</f>
        <v>-3.8278358260868117E-13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402.22278907877927</v>
      </c>
      <c r="BJ175" s="59">
        <f t="shared" si="146"/>
        <v>393.06397734082458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1.6696743857601266</v>
      </c>
      <c r="BQ175" s="21">
        <f>EXP(-LN(2)/25)*BQ174+(1-EXP(-LN(2)/25))/(LN(2)/25)*Calculateur!BL175*Calculateur!BN175*VLOOKUP('Données projet'!$B$11,Paramètres!$A$1:$I$89,3,0)*0.475*44/12</f>
        <v>0.87950086734752253</v>
      </c>
      <c r="BR175" s="21">
        <f>EXP(-LN(2)/2)*BR174+(1-EXP(-LN(2)/2))/(LN(2)/2)*BL175*BO175*VLOOKUP('Données projet'!$B$11,Paramètres!$A$1:$I$89,3,0)*0.475*44/12</f>
        <v>3.7465269862554094E-19</v>
      </c>
      <c r="BS175" s="22">
        <f t="shared" si="169"/>
        <v>2.549175253107649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-3.4106051316484809E-13</v>
      </c>
      <c r="BZ175" s="13">
        <f>BY175*VLOOKUP('Données projet'!$B$12,Paramètres!$A$1:$I$89,3,0)*VLOOKUP('Données projet'!$B$12,Paramètres!$A$1:$I$89,5,0)</f>
        <v>-3.0859155231155454E-13</v>
      </c>
      <c r="CA175" s="13" t="e">
        <f t="shared" si="170"/>
        <v>#NUM!</v>
      </c>
      <c r="CB175" s="20" t="e">
        <f t="shared" si="171"/>
        <v>#NUM!</v>
      </c>
      <c r="CC175" s="59" t="e">
        <f t="shared" si="119"/>
        <v>#NUM!</v>
      </c>
      <c r="CD175" s="59">
        <f ca="1">AVERAGE(OFFSET($CC$3,0,0,'Données projet'!$E$12+1,1))-AVERAGE(OFFSET($H$3,0,0,'Données projet'!$E$12+1,1))</f>
        <v>363.51171608224735</v>
      </c>
      <c r="CE175" s="59">
        <f t="shared" si="148"/>
        <v>257.9239334647138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0.14468865788634247</v>
      </c>
      <c r="CL175" s="21">
        <f>EXP(-LN(2)/25)*CL174+(1-EXP(-LN(2)/25))/(LN(2)/25)*Calculateur!CG175*Calculateur!CI175*VLOOKUP('Données projet'!$B$12,Paramètres!$A$1:$I$89,3,0)*0.475*44/12</f>
        <v>0.22007323261039938</v>
      </c>
      <c r="CM175" s="21">
        <f>EXP(-LN(2)/2)*CM174+(1-EXP(-LN(2)/2))/(LN(2)/2)*CG175*CJ175*VLOOKUP('Données projet'!$B$12,Paramètres!$A$1:$I$89,3,0)*0.475*44/12</f>
        <v>9.1281931854680387E-21</v>
      </c>
      <c r="CN175" s="22">
        <f t="shared" si="172"/>
        <v>0.36476189049674185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1">
        <f t="shared" si="140"/>
        <v>25.637343405585391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67">
        <f t="shared" si="110"/>
        <v>502.49938976472833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-1.2505552149377763E-12</v>
      </c>
      <c r="O176" s="13">
        <f>N176*VLOOKUP('Données projet'!$B$9,Paramètres!$A$1:$I$89,3,0)*VLOOKUP('Données projet'!$B$9,Paramètres!$A$1:$I$89,5,0)</f>
        <v>-6.9906036515021697E-13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446.28010102877403</v>
      </c>
      <c r="T176" s="59">
        <f t="shared" si="142"/>
        <v>445.84011537290456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0.67257130048368485</v>
      </c>
      <c r="AA176" s="21">
        <f>EXP(-LN(2)/25)*AA175+(1-EXP(-LN(2)/25))/(LN(2)/25)*Calculateur!V176*Calculateur!X176*VLOOKUP('Données projet'!$B$9,Paramètres!$A$1:$I$89,3,0)*0.475*44/12</f>
        <v>0.73533558549624922</v>
      </c>
      <c r="AB176" s="21">
        <f>EXP(-LN(2)/2)*AB175+(1-EXP(-LN(2)/2))/(LN(2)/2)*V176*Y176*VLOOKUP('Données projet'!$B$9,Paramètres!$A$1:$I$89,3,0)*0.475*44/12</f>
        <v>1.0922287286848641E-20</v>
      </c>
      <c r="AC176" s="22">
        <f t="shared" si="163"/>
        <v>1.407906885979934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>
        <f>AI176*VLOOKUP('Données projet'!$B$10,Paramètres!$A$1:$I$89,3,0)*VLOOKUP('Données projet'!$B$10,Paramètres!$A$1:$I$89,5,0)</f>
        <v>0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285.77483300338548</v>
      </c>
      <c r="AO176" s="59">
        <f t="shared" si="144"/>
        <v>320.55212417690637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0.49141784661133353</v>
      </c>
      <c r="AV176" s="21">
        <f>EXP(-LN(2)/25)*AV175+(1-EXP(-LN(2)/25))/(LN(2)/25)*Calculateur!AQ176*Calculateur!AS176*VLOOKUP('Données projet'!$B$10,Paramètres!$A$1:$I$89,3,0)*0.475*44/12</f>
        <v>0.52874141878246927</v>
      </c>
      <c r="AW176" s="21">
        <f>EXP(-LN(2)/2)*AW175+(1-EXP(-LN(2)/2))/(LN(2)/2)*AQ176*AT176*VLOOKUP('Données projet'!$B$10,Paramètres!$A$1:$I$89,3,0)*0.475*44/12</f>
        <v>7.3074581502850939E-21</v>
      </c>
      <c r="AX176" s="21">
        <f t="shared" si="166"/>
        <v>1.0201592653938027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-7.9580786405131221E-13</v>
      </c>
      <c r="BE176" s="13">
        <f>BD176*VLOOKUP('Données projet'!$B$11,Paramètres!$A$1:$I$89,3,0)*VLOOKUP('Données projet'!$B$11,Paramètres!$A$1:$I$89,5,0)</f>
        <v>-3.8278358260868117E-13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402.22278907877927</v>
      </c>
      <c r="BJ176" s="59">
        <f t="shared" si="146"/>
        <v>393.06397734082458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1.6369330894561871</v>
      </c>
      <c r="BQ176" s="21">
        <f>EXP(-LN(2)/25)*BQ175+(1-EXP(-LN(2)/25))/(LN(2)/25)*Calculateur!BL176*Calculateur!BN176*VLOOKUP('Données projet'!$B$11,Paramètres!$A$1:$I$89,3,0)*0.475*44/12</f>
        <v>0.85545086987896402</v>
      </c>
      <c r="BR176" s="21">
        <f>EXP(-LN(2)/2)*BR175+(1-EXP(-LN(2)/2))/(LN(2)/2)*BL176*BO176*VLOOKUP('Données projet'!$B$11,Paramètres!$A$1:$I$89,3,0)*0.475*44/12</f>
        <v>2.6491946378795991E-19</v>
      </c>
      <c r="BS176" s="22">
        <f t="shared" si="169"/>
        <v>2.4923839593351511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-3.4106051316484809E-13</v>
      </c>
      <c r="BZ176" s="13">
        <f>BY176*VLOOKUP('Données projet'!$B$12,Paramètres!$A$1:$I$89,3,0)*VLOOKUP('Données projet'!$B$12,Paramètres!$A$1:$I$89,5,0)</f>
        <v>-3.0859155231155454E-13</v>
      </c>
      <c r="CA176" s="13" t="e">
        <f t="shared" si="170"/>
        <v>#NUM!</v>
      </c>
      <c r="CB176" s="20" t="e">
        <f t="shared" si="171"/>
        <v>#NUM!</v>
      </c>
      <c r="CC176" s="59" t="e">
        <f t="shared" si="119"/>
        <v>#NUM!</v>
      </c>
      <c r="CD176" s="59">
        <f ca="1">AVERAGE(OFFSET($CC$3,0,0,'Données projet'!$E$12+1,1))-AVERAGE(OFFSET($H$3,0,0,'Données projet'!$E$12+1,1))</f>
        <v>363.51171608224735</v>
      </c>
      <c r="CE176" s="59">
        <f t="shared" si="148"/>
        <v>257.9239334647138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0.14185140155655851</v>
      </c>
      <c r="CL176" s="21">
        <f>EXP(-LN(2)/25)*CL175+(1-EXP(-LN(2)/25))/(LN(2)/25)*Calculateur!CG176*Calculateur!CI176*VLOOKUP('Données projet'!$B$12,Paramètres!$A$1:$I$89,3,0)*0.475*44/12</f>
        <v>0.21405531849151968</v>
      </c>
      <c r="CM176" s="21">
        <f>EXP(-LN(2)/2)*CM175+(1-EXP(-LN(2)/2))/(LN(2)/2)*CG176*CJ176*VLOOKUP('Données projet'!$B$12,Paramètres!$A$1:$I$89,3,0)*0.475*44/12</f>
        <v>6.4546073014252828E-21</v>
      </c>
      <c r="CN176" s="22">
        <f t="shared" si="172"/>
        <v>0.35590672004807822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1">
        <f t="shared" si="140"/>
        <v>25.768242550600831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67">
        <f t="shared" si="110"/>
        <v>503.67832244229692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-1.2505552149377763E-12</v>
      </c>
      <c r="O177" s="13">
        <f>N177*VLOOKUP('Données projet'!$B$9,Paramètres!$A$1:$I$89,3,0)*VLOOKUP('Données projet'!$B$9,Paramètres!$A$1:$I$89,5,0)</f>
        <v>-6.9906036515021697E-13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446.28010102877403</v>
      </c>
      <c r="T177" s="59">
        <f t="shared" si="142"/>
        <v>445.84011537290456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0.65938258750918644</v>
      </c>
      <c r="AA177" s="21">
        <f>EXP(-LN(2)/25)*AA176+(1-EXP(-LN(2)/25))/(LN(2)/25)*Calculateur!V177*Calculateur!X177*VLOOKUP('Données projet'!$B$9,Paramètres!$A$1:$I$89,3,0)*0.475*44/12</f>
        <v>0.71522779524123647</v>
      </c>
      <c r="AB177" s="21">
        <f>EXP(-LN(2)/2)*AB176+(1-EXP(-LN(2)/2))/(LN(2)/2)*V177*Y177*VLOOKUP('Données projet'!$B$9,Paramètres!$A$1:$I$89,3,0)*0.475*44/12</f>
        <v>7.7232234065982919E-21</v>
      </c>
      <c r="AC177" s="22">
        <f t="shared" si="163"/>
        <v>1.374610382750423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>
        <f>AI177*VLOOKUP('Données projet'!$B$10,Paramètres!$A$1:$I$89,3,0)*VLOOKUP('Données projet'!$B$10,Paramètres!$A$1:$I$89,5,0)</f>
        <v>0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285.77483300338548</v>
      </c>
      <c r="AO177" s="59">
        <f t="shared" si="144"/>
        <v>320.55212417690637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0.48178144237457532</v>
      </c>
      <c r="AV177" s="21">
        <f>EXP(-LN(2)/25)*AV176+(1-EXP(-LN(2)/25))/(LN(2)/25)*Calculateur!AQ177*Calculateur!AS177*VLOOKUP('Données projet'!$B$10,Paramètres!$A$1:$I$89,3,0)*0.475*44/12</f>
        <v>0.51428295688055992</v>
      </c>
      <c r="AW177" s="21">
        <f>EXP(-LN(2)/2)*AW176+(1-EXP(-LN(2)/2))/(LN(2)/2)*AQ177*AT177*VLOOKUP('Données projet'!$B$10,Paramètres!$A$1:$I$89,3,0)*0.475*44/12</f>
        <v>5.1671532113034953E-21</v>
      </c>
      <c r="AX177" s="21">
        <f t="shared" si="166"/>
        <v>0.99606439925513524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-7.9580786405131221E-13</v>
      </c>
      <c r="BE177" s="13">
        <f>BD177*VLOOKUP('Données projet'!$B$11,Paramètres!$A$1:$I$89,3,0)*VLOOKUP('Données projet'!$B$11,Paramètres!$A$1:$I$89,5,0)</f>
        <v>-3.8278358260868117E-13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402.22278907877927</v>
      </c>
      <c r="BJ177" s="59">
        <f t="shared" si="146"/>
        <v>393.06397734082458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1.6048338300025491</v>
      </c>
      <c r="BQ177" s="21">
        <f>EXP(-LN(2)/25)*BQ176+(1-EXP(-LN(2)/25))/(LN(2)/25)*Calculateur!BL177*Calculateur!BN177*VLOOKUP('Données projet'!$B$11,Paramètres!$A$1:$I$89,3,0)*0.475*44/12</f>
        <v>0.83205852085591769</v>
      </c>
      <c r="BR177" s="21">
        <f>EXP(-LN(2)/2)*BR176+(1-EXP(-LN(2)/2))/(LN(2)/2)*BL177*BO177*VLOOKUP('Données projet'!$B$11,Paramètres!$A$1:$I$89,3,0)*0.475*44/12</f>
        <v>1.8732634931277047E-19</v>
      </c>
      <c r="BS177" s="22">
        <f t="shared" si="169"/>
        <v>2.436892350858467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-3.4106051316484809E-13</v>
      </c>
      <c r="BZ177" s="13">
        <f>BY177*VLOOKUP('Données projet'!$B$12,Paramètres!$A$1:$I$89,3,0)*VLOOKUP('Données projet'!$B$12,Paramètres!$A$1:$I$89,5,0)</f>
        <v>-3.0859155231155454E-13</v>
      </c>
      <c r="CA177" s="13" t="e">
        <f t="shared" si="170"/>
        <v>#NUM!</v>
      </c>
      <c r="CB177" s="20" t="e">
        <f t="shared" si="171"/>
        <v>#NUM!</v>
      </c>
      <c r="CC177" s="59" t="e">
        <f t="shared" si="119"/>
        <v>#NUM!</v>
      </c>
      <c r="CD177" s="59">
        <f ca="1">AVERAGE(OFFSET($CC$3,0,0,'Données projet'!$E$12+1,1))-AVERAGE(OFFSET($H$3,0,0,'Données projet'!$E$12+1,1))</f>
        <v>363.51171608224735</v>
      </c>
      <c r="CE177" s="59">
        <f t="shared" si="148"/>
        <v>257.9239334647138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0.13906978209284612</v>
      </c>
      <c r="CL177" s="21">
        <f>EXP(-LN(2)/25)*CL176+(1-EXP(-LN(2)/25))/(LN(2)/25)*Calculateur!CG177*Calculateur!CI177*VLOOKUP('Données projet'!$B$12,Paramètres!$A$1:$I$89,3,0)*0.475*44/12</f>
        <v>0.20820196455068909</v>
      </c>
      <c r="CM177" s="21">
        <f>EXP(-LN(2)/2)*CM176+(1-EXP(-LN(2)/2))/(LN(2)/2)*CG177*CJ177*VLOOKUP('Données projet'!$B$12,Paramètres!$A$1:$I$89,3,0)*0.475*44/12</f>
        <v>4.5640965927340194E-21</v>
      </c>
      <c r="CN177" s="22">
        <f t="shared" si="172"/>
        <v>0.34727174664353522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1">
        <f t="shared" si="140"/>
        <v>25.89905415737541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67">
        <f t="shared" si="110"/>
        <v>504.85710265742932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-1.2505552149377763E-12</v>
      </c>
      <c r="O178" s="13">
        <f>N178*VLOOKUP('Données projet'!$B$9,Paramètres!$A$1:$I$89,3,0)*VLOOKUP('Données projet'!$B$9,Paramètres!$A$1:$I$89,5,0)</f>
        <v>-6.9906036515021697E-13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446.28010102877403</v>
      </c>
      <c r="T178" s="59">
        <f t="shared" si="142"/>
        <v>445.84011537290456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0.64645249715179731</v>
      </c>
      <c r="AA178" s="21">
        <f>EXP(-LN(2)/25)*AA177+(1-EXP(-LN(2)/25))/(LN(2)/25)*Calculateur!V178*Calculateur!X178*VLOOKUP('Données projet'!$B$9,Paramètres!$A$1:$I$89,3,0)*0.475*44/12</f>
        <v>0.69566985356816979</v>
      </c>
      <c r="AB178" s="21">
        <f>EXP(-LN(2)/2)*AB177+(1-EXP(-LN(2)/2))/(LN(2)/2)*V178*Y178*VLOOKUP('Données projet'!$B$9,Paramètres!$A$1:$I$89,3,0)*0.475*44/12</f>
        <v>5.4611436434243206E-21</v>
      </c>
      <c r="AC178" s="22">
        <f t="shared" si="163"/>
        <v>1.3421223507199671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>
        <f>AI178*VLOOKUP('Données projet'!$B$10,Paramètres!$A$1:$I$89,3,0)*VLOOKUP('Données projet'!$B$10,Paramètres!$A$1:$I$89,5,0)</f>
        <v>0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285.77483300338548</v>
      </c>
      <c r="AO178" s="59">
        <f t="shared" si="144"/>
        <v>320.55212417690637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0.47233400214727372</v>
      </c>
      <c r="AV178" s="21">
        <f>EXP(-LN(2)/25)*AV177+(1-EXP(-LN(2)/25))/(LN(2)/25)*Calculateur!AQ178*Calculateur!AS178*VLOOKUP('Données projet'!$B$10,Paramètres!$A$1:$I$89,3,0)*0.475*44/12</f>
        <v>0.50021986237969573</v>
      </c>
      <c r="AW178" s="21">
        <f>EXP(-LN(2)/2)*AW177+(1-EXP(-LN(2)/2))/(LN(2)/2)*AQ178*AT178*VLOOKUP('Données projet'!$B$10,Paramètres!$A$1:$I$89,3,0)*0.475*44/12</f>
        <v>3.653729075142547E-21</v>
      </c>
      <c r="AX178" s="21">
        <f t="shared" si="166"/>
        <v>0.97255386452696946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-7.9580786405131221E-13</v>
      </c>
      <c r="BE178" s="13">
        <f>BD178*VLOOKUP('Données projet'!$B$11,Paramètres!$A$1:$I$89,3,0)*VLOOKUP('Données projet'!$B$11,Paramètres!$A$1:$I$89,5,0)</f>
        <v>-3.8278358260868117E-13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402.22278907877927</v>
      </c>
      <c r="BJ178" s="59">
        <f t="shared" si="146"/>
        <v>393.06397734082458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1.5733640174481818</v>
      </c>
      <c r="BQ178" s="21">
        <f>EXP(-LN(2)/25)*BQ177+(1-EXP(-LN(2)/25))/(LN(2)/25)*Calculateur!BL178*Calculateur!BN178*VLOOKUP('Données projet'!$B$11,Paramètres!$A$1:$I$89,3,0)*0.475*44/12</f>
        <v>0.8093058368470567</v>
      </c>
      <c r="BR178" s="21">
        <f>EXP(-LN(2)/2)*BR177+(1-EXP(-LN(2)/2))/(LN(2)/2)*BL178*BO178*VLOOKUP('Données projet'!$B$11,Paramètres!$A$1:$I$89,3,0)*0.475*44/12</f>
        <v>1.3245973189397995E-19</v>
      </c>
      <c r="BS178" s="22">
        <f t="shared" si="169"/>
        <v>2.3826698542952385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-3.4106051316484809E-13</v>
      </c>
      <c r="BZ178" s="13">
        <f>BY178*VLOOKUP('Données projet'!$B$12,Paramètres!$A$1:$I$89,3,0)*VLOOKUP('Données projet'!$B$12,Paramètres!$A$1:$I$89,5,0)</f>
        <v>-3.0859155231155454E-13</v>
      </c>
      <c r="CA178" s="13" t="e">
        <f t="shared" si="170"/>
        <v>#NUM!</v>
      </c>
      <c r="CB178" s="20" t="e">
        <f t="shared" si="171"/>
        <v>#NUM!</v>
      </c>
      <c r="CC178" s="59" t="e">
        <f t="shared" si="119"/>
        <v>#NUM!</v>
      </c>
      <c r="CD178" s="59">
        <f ca="1">AVERAGE(OFFSET($CC$3,0,0,'Données projet'!$E$12+1,1))-AVERAGE(OFFSET($H$3,0,0,'Données projet'!$E$12+1,1))</f>
        <v>363.51171608224735</v>
      </c>
      <c r="CE178" s="59">
        <f t="shared" si="148"/>
        <v>257.9239334647138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0.13634270849019681</v>
      </c>
      <c r="CL178" s="21">
        <f>EXP(-LN(2)/25)*CL177+(1-EXP(-LN(2)/25))/(LN(2)/25)*Calculateur!CG178*Calculateur!CI178*VLOOKUP('Données projet'!$B$12,Paramètres!$A$1:$I$89,3,0)*0.475*44/12</f>
        <v>0.20250867088118504</v>
      </c>
      <c r="CM178" s="21">
        <f>EXP(-LN(2)/2)*CM177+(1-EXP(-LN(2)/2))/(LN(2)/2)*CG178*CJ178*VLOOKUP('Données projet'!$B$12,Paramètres!$A$1:$I$89,3,0)*0.475*44/12</f>
        <v>3.2273036507126414E-21</v>
      </c>
      <c r="CN178" s="22">
        <f t="shared" si="172"/>
        <v>0.33885137937138188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1">
        <f t="shared" si="140"/>
        <v>26.029778784173445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67">
        <f t="shared" si="110"/>
        <v>506.03573138243593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-1.2505552149377763E-12</v>
      </c>
      <c r="O179" s="13">
        <f>N179*VLOOKUP('Données projet'!$B$9,Paramètres!$A$1:$I$89,3,0)*VLOOKUP('Données projet'!$B$9,Paramètres!$A$1:$I$89,5,0)</f>
        <v>-6.9906036515021697E-13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446.28010102877403</v>
      </c>
      <c r="T179" s="59">
        <f t="shared" si="142"/>
        <v>445.84011537290456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0.63377595797974018</v>
      </c>
      <c r="AA179" s="21">
        <f>EXP(-LN(2)/25)*AA178+(1-EXP(-LN(2)/25))/(LN(2)/25)*Calculateur!V179*Calculateur!X179*VLOOKUP('Données projet'!$B$9,Paramètres!$A$1:$I$89,3,0)*0.475*44/12</f>
        <v>0.67664672483866062</v>
      </c>
      <c r="AB179" s="21">
        <f>EXP(-LN(2)/2)*AB178+(1-EXP(-LN(2)/2))/(LN(2)/2)*V179*Y179*VLOOKUP('Données projet'!$B$9,Paramètres!$A$1:$I$89,3,0)*0.475*44/12</f>
        <v>3.861611703299146E-21</v>
      </c>
      <c r="AC179" s="22">
        <f t="shared" si="163"/>
        <v>1.3104226828184009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>
        <f>AI179*VLOOKUP('Données projet'!$B$10,Paramètres!$A$1:$I$89,3,0)*VLOOKUP('Données projet'!$B$10,Paramètres!$A$1:$I$89,5,0)</f>
        <v>0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285.77483300338548</v>
      </c>
      <c r="AO179" s="59">
        <f t="shared" si="144"/>
        <v>320.55212417690637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0.46307182046045997</v>
      </c>
      <c r="AV179" s="21">
        <f>EXP(-LN(2)/25)*AV178+(1-EXP(-LN(2)/25))/(LN(2)/25)*Calculateur!AQ179*Calculateur!AS179*VLOOKUP('Données projet'!$B$10,Paramètres!$A$1:$I$89,3,0)*0.475*44/12</f>
        <v>0.48654132393750366</v>
      </c>
      <c r="AW179" s="21">
        <f>EXP(-LN(2)/2)*AW178+(1-EXP(-LN(2)/2))/(LN(2)/2)*AQ179*AT179*VLOOKUP('Données projet'!$B$10,Paramètres!$A$1:$I$89,3,0)*0.475*44/12</f>
        <v>2.5835766056517477E-21</v>
      </c>
      <c r="AX179" s="21">
        <f t="shared" si="166"/>
        <v>0.94961314439796363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-7.9580786405131221E-13</v>
      </c>
      <c r="BE179" s="13">
        <f>BD179*VLOOKUP('Données projet'!$B$11,Paramètres!$A$1:$I$89,3,0)*VLOOKUP('Données projet'!$B$11,Paramètres!$A$1:$I$89,5,0)</f>
        <v>-3.8278358260868117E-13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402.22278907877927</v>
      </c>
      <c r="BJ179" s="59">
        <f t="shared" si="146"/>
        <v>393.06397734082458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1.5425113087233153</v>
      </c>
      <c r="BQ179" s="21">
        <f>EXP(-LN(2)/25)*BQ178+(1-EXP(-LN(2)/25))/(LN(2)/25)*Calculateur!BL179*Calculateur!BN179*VLOOKUP('Données projet'!$B$11,Paramètres!$A$1:$I$89,3,0)*0.475*44/12</f>
        <v>0.78717532617892971</v>
      </c>
      <c r="BR179" s="21">
        <f>EXP(-LN(2)/2)*BR178+(1-EXP(-LN(2)/2))/(LN(2)/2)*BL179*BO179*VLOOKUP('Données projet'!$B$11,Paramètres!$A$1:$I$89,3,0)*0.475*44/12</f>
        <v>9.3663174656385235E-20</v>
      </c>
      <c r="BS179" s="22">
        <f t="shared" si="169"/>
        <v>2.3296866349022451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-3.4106051316484809E-13</v>
      </c>
      <c r="BZ179" s="13">
        <f>BY179*VLOOKUP('Données projet'!$B$12,Paramètres!$A$1:$I$89,3,0)*VLOOKUP('Données projet'!$B$12,Paramètres!$A$1:$I$89,5,0)</f>
        <v>-3.0859155231155454E-13</v>
      </c>
      <c r="CA179" s="13" t="e">
        <f t="shared" si="170"/>
        <v>#NUM!</v>
      </c>
      <c r="CB179" s="20" t="e">
        <f t="shared" si="171"/>
        <v>#NUM!</v>
      </c>
      <c r="CC179" s="59" t="e">
        <f t="shared" si="119"/>
        <v>#NUM!</v>
      </c>
      <c r="CD179" s="59">
        <f ca="1">AVERAGE(OFFSET($CC$3,0,0,'Données projet'!$E$12+1,1))-AVERAGE(OFFSET($H$3,0,0,'Données projet'!$E$12+1,1))</f>
        <v>363.51171608224735</v>
      </c>
      <c r="CE179" s="59">
        <f t="shared" si="148"/>
        <v>257.9239334647138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0.13366911113754479</v>
      </c>
      <c r="CL179" s="21">
        <f>EXP(-LN(2)/25)*CL178+(1-EXP(-LN(2)/25))/(LN(2)/25)*Calculateur!CG179*Calculateur!CI179*VLOOKUP('Données projet'!$B$12,Paramètres!$A$1:$I$89,3,0)*0.475*44/12</f>
        <v>0.19697106062647088</v>
      </c>
      <c r="CM179" s="21">
        <f>EXP(-LN(2)/2)*CM178+(1-EXP(-LN(2)/2))/(LN(2)/2)*CG179*CJ179*VLOOKUP('Données projet'!$B$12,Paramètres!$A$1:$I$89,3,0)*0.475*44/12</f>
        <v>2.2820482963670097E-21</v>
      </c>
      <c r="CN179" s="22">
        <f t="shared" si="172"/>
        <v>0.33064017176401567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1">
        <f t="shared" si="140"/>
        <v>26.160416982548288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67">
        <f t="shared" si="110"/>
        <v>507.21420957793879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-1.2505552149377763E-12</v>
      </c>
      <c r="O180" s="13">
        <f>N180*VLOOKUP('Données projet'!$B$9,Paramètres!$A$1:$I$89,3,0)*VLOOKUP('Données projet'!$B$9,Paramètres!$A$1:$I$89,5,0)</f>
        <v>-6.9906036515021697E-13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446.28010102877403</v>
      </c>
      <c r="T180" s="59">
        <f t="shared" si="142"/>
        <v>445.84011537290456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0.62134799800892171</v>
      </c>
      <c r="AA180" s="21">
        <f>EXP(-LN(2)/25)*AA179+(1-EXP(-LN(2)/25))/(LN(2)/25)*Calculateur!V180*Calculateur!X180*VLOOKUP('Données projet'!$B$9,Paramètres!$A$1:$I$89,3,0)*0.475*44/12</f>
        <v>0.65814378456464273</v>
      </c>
      <c r="AB180" s="21">
        <f>EXP(-LN(2)/2)*AB179+(1-EXP(-LN(2)/2))/(LN(2)/2)*V180*Y180*VLOOKUP('Données projet'!$B$9,Paramètres!$A$1:$I$89,3,0)*0.475*44/12</f>
        <v>2.7305718217121603E-21</v>
      </c>
      <c r="AC180" s="22">
        <f t="shared" si="163"/>
        <v>1.2794917825735643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>
        <f>AI180*VLOOKUP('Données projet'!$B$10,Paramètres!$A$1:$I$89,3,0)*VLOOKUP('Données projet'!$B$10,Paramètres!$A$1:$I$89,5,0)</f>
        <v>0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285.77483300338548</v>
      </c>
      <c r="AO180" s="59">
        <f t="shared" si="144"/>
        <v>320.55212417690637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0.4539912645071516</v>
      </c>
      <c r="AV180" s="21">
        <f>EXP(-LN(2)/25)*AV179+(1-EXP(-LN(2)/25))/(LN(2)/25)*Calculateur!AQ180*Calculateur!AS180*VLOOKUP('Données projet'!$B$10,Paramètres!$A$1:$I$89,3,0)*0.475*44/12</f>
        <v>0.47323682584833637</v>
      </c>
      <c r="AW180" s="21">
        <f>EXP(-LN(2)/2)*AW179+(1-EXP(-LN(2)/2))/(LN(2)/2)*AQ180*AT180*VLOOKUP('Données projet'!$B$10,Paramètres!$A$1:$I$89,3,0)*0.475*44/12</f>
        <v>1.8268645375712735E-21</v>
      </c>
      <c r="AX180" s="21">
        <f t="shared" si="166"/>
        <v>0.92722809035548792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-7.9580786405131221E-13</v>
      </c>
      <c r="BE180" s="13">
        <f>BD180*VLOOKUP('Données projet'!$B$11,Paramètres!$A$1:$I$89,3,0)*VLOOKUP('Données projet'!$B$11,Paramètres!$A$1:$I$89,5,0)</f>
        <v>-3.8278358260868117E-13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402.22278907877927</v>
      </c>
      <c r="BJ180" s="59">
        <f t="shared" si="146"/>
        <v>393.06397734082458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1.5122636027982492</v>
      </c>
      <c r="BQ180" s="21">
        <f>EXP(-LN(2)/25)*BQ179+(1-EXP(-LN(2)/25))/(LN(2)/25)*Calculateur!BL180*Calculateur!BN180*VLOOKUP('Données projet'!$B$11,Paramètres!$A$1:$I$89,3,0)*0.475*44/12</f>
        <v>0.76564997548881564</v>
      </c>
      <c r="BR180" s="21">
        <f>EXP(-LN(2)/2)*BR179+(1-EXP(-LN(2)/2))/(LN(2)/2)*BL180*BO180*VLOOKUP('Données projet'!$B$11,Paramètres!$A$1:$I$89,3,0)*0.475*44/12</f>
        <v>6.6229865946989977E-20</v>
      </c>
      <c r="BS180" s="22">
        <f t="shared" si="169"/>
        <v>2.2779135782870648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-3.4106051316484809E-13</v>
      </c>
      <c r="BZ180" s="13">
        <f>BY180*VLOOKUP('Données projet'!$B$12,Paramètres!$A$1:$I$89,3,0)*VLOOKUP('Données projet'!$B$12,Paramètres!$A$1:$I$89,5,0)</f>
        <v>-3.0859155231155454E-13</v>
      </c>
      <c r="CA180" s="13" t="e">
        <f t="shared" si="170"/>
        <v>#NUM!</v>
      </c>
      <c r="CB180" s="20" t="e">
        <f t="shared" si="171"/>
        <v>#NUM!</v>
      </c>
      <c r="CC180" s="59" t="e">
        <f t="shared" si="119"/>
        <v>#NUM!</v>
      </c>
      <c r="CD180" s="59">
        <f ca="1">AVERAGE(OFFSET($CC$3,0,0,'Données projet'!$E$12+1,1))-AVERAGE(OFFSET($H$3,0,0,'Données projet'!$E$12+1,1))</f>
        <v>363.51171608224735</v>
      </c>
      <c r="CE180" s="59">
        <f t="shared" si="148"/>
        <v>257.9239334647138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0.13104794139824491</v>
      </c>
      <c r="CL180" s="21">
        <f>EXP(-LN(2)/25)*CL179+(1-EXP(-LN(2)/25))/(LN(2)/25)*Calculateur!CG180*Calculateur!CI180*VLOOKUP('Données projet'!$B$12,Paramètres!$A$1:$I$89,3,0)*0.475*44/12</f>
        <v>0.19158487661538215</v>
      </c>
      <c r="CM180" s="21">
        <f>EXP(-LN(2)/2)*CM179+(1-EXP(-LN(2)/2))/(LN(2)/2)*CG180*CJ180*VLOOKUP('Données projet'!$B$12,Paramètres!$A$1:$I$89,3,0)*0.475*44/12</f>
        <v>1.6136518253563207E-21</v>
      </c>
      <c r="CN180" s="22">
        <f t="shared" si="172"/>
        <v>0.32263281801362709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1">
        <f t="shared" si="140"/>
        <v>26.290969297460425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67">
        <f t="shared" si="110"/>
        <v>508.39253819307743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-1.2505552149377763E-12</v>
      </c>
      <c r="O181" s="13">
        <f>N181*VLOOKUP('Données projet'!$B$9,Paramètres!$A$1:$I$89,3,0)*VLOOKUP('Données projet'!$B$9,Paramètres!$A$1:$I$89,5,0)</f>
        <v>-6.9906036515021697E-13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446.28010102877403</v>
      </c>
      <c r="T181" s="59">
        <f t="shared" si="142"/>
        <v>445.84011537290456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0.60916374275282392</v>
      </c>
      <c r="AA181" s="21">
        <f>EXP(-LN(2)/25)*AA180+(1-EXP(-LN(2)/25))/(LN(2)/25)*Calculateur!V181*Calculateur!X181*VLOOKUP('Données projet'!$B$9,Paramètres!$A$1:$I$89,3,0)*0.475*44/12</f>
        <v>0.64014680816544511</v>
      </c>
      <c r="AB181" s="21">
        <f>EXP(-LN(2)/2)*AB180+(1-EXP(-LN(2)/2))/(LN(2)/2)*V181*Y181*VLOOKUP('Données projet'!$B$9,Paramètres!$A$1:$I$89,3,0)*0.475*44/12</f>
        <v>1.930805851649573E-21</v>
      </c>
      <c r="AC181" s="22">
        <f t="shared" si="163"/>
        <v>1.2493105509182691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>
        <f>AI181*VLOOKUP('Données projet'!$B$10,Paramètres!$A$1:$I$89,3,0)*VLOOKUP('Données projet'!$B$10,Paramètres!$A$1:$I$89,5,0)</f>
        <v>0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285.77483300338548</v>
      </c>
      <c r="AO181" s="59">
        <f t="shared" si="144"/>
        <v>320.55212417690637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0.44508877271749536</v>
      </c>
      <c r="AV181" s="21">
        <f>EXP(-LN(2)/25)*AV180+(1-EXP(-LN(2)/25))/(LN(2)/25)*Calculateur!AQ181*Calculateur!AS181*VLOOKUP('Données projet'!$B$10,Paramètres!$A$1:$I$89,3,0)*0.475*44/12</f>
        <v>0.46029613995907054</v>
      </c>
      <c r="AW181" s="21">
        <f>EXP(-LN(2)/2)*AW180+(1-EXP(-LN(2)/2))/(LN(2)/2)*AQ181*AT181*VLOOKUP('Données projet'!$B$10,Paramètres!$A$1:$I$89,3,0)*0.475*44/12</f>
        <v>1.2917883028258738E-21</v>
      </c>
      <c r="AX181" s="21">
        <f t="shared" si="166"/>
        <v>0.90538491267656585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-7.9580786405131221E-13</v>
      </c>
      <c r="BE181" s="13">
        <f>BD181*VLOOKUP('Données projet'!$B$11,Paramètres!$A$1:$I$89,3,0)*VLOOKUP('Données projet'!$B$11,Paramètres!$A$1:$I$89,5,0)</f>
        <v>-3.8278358260868117E-13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402.22278907877927</v>
      </c>
      <c r="BJ181" s="59">
        <f t="shared" si="146"/>
        <v>393.06397734082458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1.4826090359370949</v>
      </c>
      <c r="BQ181" s="21">
        <f>EXP(-LN(2)/25)*BQ180+(1-EXP(-LN(2)/25))/(LN(2)/25)*Calculateur!BL181*Calculateur!BN181*VLOOKUP('Données projet'!$B$11,Paramètres!$A$1:$I$89,3,0)*0.475*44/12</f>
        <v>0.74471323664529165</v>
      </c>
      <c r="BR181" s="21">
        <f>EXP(-LN(2)/2)*BR180+(1-EXP(-LN(2)/2))/(LN(2)/2)*BL181*BO181*VLOOKUP('Données projet'!$B$11,Paramètres!$A$1:$I$89,3,0)*0.475*44/12</f>
        <v>4.6831587328192617E-20</v>
      </c>
      <c r="BS181" s="22">
        <f t="shared" si="169"/>
        <v>2.2273222725823865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-3.4106051316484809E-13</v>
      </c>
      <c r="BZ181" s="13">
        <f>BY181*VLOOKUP('Données projet'!$B$12,Paramètres!$A$1:$I$89,3,0)*VLOOKUP('Données projet'!$B$12,Paramètres!$A$1:$I$89,5,0)</f>
        <v>-3.0859155231155454E-13</v>
      </c>
      <c r="CA181" s="13" t="e">
        <f t="shared" si="170"/>
        <v>#NUM!</v>
      </c>
      <c r="CB181" s="20" t="e">
        <f t="shared" si="171"/>
        <v>#NUM!</v>
      </c>
      <c r="CC181" s="59" t="e">
        <f t="shared" si="119"/>
        <v>#NUM!</v>
      </c>
      <c r="CD181" s="59">
        <f ca="1">AVERAGE(OFFSET($CC$3,0,0,'Données projet'!$E$12+1,1))-AVERAGE(OFFSET($H$3,0,0,'Données projet'!$E$12+1,1))</f>
        <v>363.51171608224735</v>
      </c>
      <c r="CE181" s="59">
        <f t="shared" si="148"/>
        <v>257.9239334647138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0.12847817119877702</v>
      </c>
      <c r="CL181" s="21">
        <f>EXP(-LN(2)/25)*CL180+(1-EXP(-LN(2)/25))/(LN(2)/25)*Calculateur!CG181*Calculateur!CI181*VLOOKUP('Données projet'!$B$12,Paramètres!$A$1:$I$89,3,0)*0.475*44/12</f>
        <v>0.18634597808932374</v>
      </c>
      <c r="CM181" s="21">
        <f>EXP(-LN(2)/2)*CM180+(1-EXP(-LN(2)/2))/(LN(2)/2)*CG181*CJ181*VLOOKUP('Données projet'!$B$12,Paramètres!$A$1:$I$89,3,0)*0.475*44/12</f>
        <v>1.1410241481835048E-21</v>
      </c>
      <c r="CN181" s="22">
        <f t="shared" si="172"/>
        <v>0.31482414928810076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1">
        <f t="shared" si="140"/>
        <v>26.421436267392767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67">
        <f t="shared" si="110"/>
        <v>509.57071816570965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-1.2505552149377763E-12</v>
      </c>
      <c r="O182" s="13">
        <f>N182*VLOOKUP('Données projet'!$B$9,Paramètres!$A$1:$I$89,3,0)*VLOOKUP('Données projet'!$B$9,Paramètres!$A$1:$I$89,5,0)</f>
        <v>-6.9906036515021697E-13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446.28010102877403</v>
      </c>
      <c r="T182" s="59">
        <f t="shared" si="142"/>
        <v>445.84011537290456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0.5972184133106363</v>
      </c>
      <c r="AA182" s="21">
        <f>EXP(-LN(2)/25)*AA181+(1-EXP(-LN(2)/25))/(LN(2)/25)*Calculateur!V182*Calculateur!X182*VLOOKUP('Données projet'!$B$9,Paramètres!$A$1:$I$89,3,0)*0.475*44/12</f>
        <v>0.62264196003230343</v>
      </c>
      <c r="AB182" s="21">
        <f>EXP(-LN(2)/2)*AB181+(1-EXP(-LN(2)/2))/(LN(2)/2)*V182*Y182*VLOOKUP('Données projet'!$B$9,Paramètres!$A$1:$I$89,3,0)*0.475*44/12</f>
        <v>1.3652859108560802E-21</v>
      </c>
      <c r="AC182" s="22">
        <f t="shared" si="163"/>
        <v>1.2198603733429398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>
        <f>AI182*VLOOKUP('Données projet'!$B$10,Paramètres!$A$1:$I$89,3,0)*VLOOKUP('Données projet'!$B$10,Paramètres!$A$1:$I$89,5,0)</f>
        <v>0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285.77483300338548</v>
      </c>
      <c r="AO182" s="59">
        <f t="shared" si="144"/>
        <v>320.55212417690637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0.43636085336185049</v>
      </c>
      <c r="AV182" s="21">
        <f>EXP(-LN(2)/25)*AV181+(1-EXP(-LN(2)/25))/(LN(2)/25)*Calculateur!AQ182*Calculateur!AS182*VLOOKUP('Données projet'!$B$10,Paramètres!$A$1:$I$89,3,0)*0.475*44/12</f>
        <v>0.44770931780596779</v>
      </c>
      <c r="AW182" s="21">
        <f>EXP(-LN(2)/2)*AW181+(1-EXP(-LN(2)/2))/(LN(2)/2)*AQ182*AT182*VLOOKUP('Données projet'!$B$10,Paramètres!$A$1:$I$89,3,0)*0.475*44/12</f>
        <v>9.1343226878563674E-22</v>
      </c>
      <c r="AX182" s="21">
        <f t="shared" si="166"/>
        <v>0.88407017116781828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-7.9580786405131221E-13</v>
      </c>
      <c r="BE182" s="13">
        <f>BD182*VLOOKUP('Données projet'!$B$11,Paramètres!$A$1:$I$89,3,0)*VLOOKUP('Données projet'!$B$11,Paramètres!$A$1:$I$89,5,0)</f>
        <v>-3.8278358260868117E-13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402.22278907877927</v>
      </c>
      <c r="BJ182" s="59">
        <f t="shared" si="146"/>
        <v>393.06397734082458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1.4535359770445879</v>
      </c>
      <c r="BQ182" s="21">
        <f>EXP(-LN(2)/25)*BQ181+(1-EXP(-LN(2)/25))/(LN(2)/25)*Calculateur!BL182*Calculateur!BN182*VLOOKUP('Données projet'!$B$11,Paramètres!$A$1:$I$89,3,0)*0.475*44/12</f>
        <v>0.72434901402645913</v>
      </c>
      <c r="BR182" s="21">
        <f>EXP(-LN(2)/2)*BR181+(1-EXP(-LN(2)/2))/(LN(2)/2)*BL182*BO182*VLOOKUP('Données projet'!$B$11,Paramètres!$A$1:$I$89,3,0)*0.475*44/12</f>
        <v>3.3114932973494988E-20</v>
      </c>
      <c r="BS182" s="22">
        <f t="shared" si="169"/>
        <v>2.1778849910710472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-3.4106051316484809E-13</v>
      </c>
      <c r="BZ182" s="13">
        <f>BY182*VLOOKUP('Données projet'!$B$12,Paramètres!$A$1:$I$89,3,0)*VLOOKUP('Données projet'!$B$12,Paramètres!$A$1:$I$89,5,0)</f>
        <v>-3.0859155231155454E-13</v>
      </c>
      <c r="CA182" s="13" t="e">
        <f t="shared" si="170"/>
        <v>#NUM!</v>
      </c>
      <c r="CB182" s="20" t="e">
        <f t="shared" si="171"/>
        <v>#NUM!</v>
      </c>
      <c r="CC182" s="59" t="e">
        <f t="shared" si="119"/>
        <v>#NUM!</v>
      </c>
      <c r="CD182" s="59">
        <f ca="1">AVERAGE(OFFSET($CC$3,0,0,'Données projet'!$E$12+1,1))-AVERAGE(OFFSET($H$3,0,0,'Données projet'!$E$12+1,1))</f>
        <v>363.51171608224735</v>
      </c>
      <c r="CE182" s="59">
        <f t="shared" si="148"/>
        <v>257.9239334647138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0.12595879262551565</v>
      </c>
      <c r="CL182" s="21">
        <f>EXP(-LN(2)/25)*CL181+(1-EXP(-LN(2)/25))/(LN(2)/25)*Calculateur!CG182*Calculateur!CI182*VLOOKUP('Données projet'!$B$12,Paramètres!$A$1:$I$89,3,0)*0.475*44/12</f>
        <v>0.18125033751896208</v>
      </c>
      <c r="CM182" s="21">
        <f>EXP(-LN(2)/2)*CM181+(1-EXP(-LN(2)/2))/(LN(2)/2)*CG182*CJ182*VLOOKUP('Données projet'!$B$12,Paramètres!$A$1:$I$89,3,0)*0.475*44/12</f>
        <v>8.0682591267816035E-22</v>
      </c>
      <c r="CN182" s="22">
        <f t="shared" si="172"/>
        <v>0.3072091301444777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1">
        <f t="shared" si="140"/>
        <v>26.551818424463544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67">
        <f t="shared" si="110"/>
        <v>510.74875042260788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-1.2505552149377763E-12</v>
      </c>
      <c r="O183" s="13">
        <f>N183*VLOOKUP('Données projet'!$B$9,Paramètres!$A$1:$I$89,3,0)*VLOOKUP('Données projet'!$B$9,Paramètres!$A$1:$I$89,5,0)</f>
        <v>-6.9906036515021697E-13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446.28010102877403</v>
      </c>
      <c r="T183" s="59">
        <f t="shared" si="142"/>
        <v>445.84011537290456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0.58550732449287846</v>
      </c>
      <c r="AA183" s="21">
        <f>EXP(-LN(2)/25)*AA182+(1-EXP(-LN(2)/25))/(LN(2)/25)*Calculateur!V183*Calculateur!X183*VLOOKUP('Données projet'!$B$9,Paramètres!$A$1:$I$89,3,0)*0.475*44/12</f>
        <v>0.60561578289190243</v>
      </c>
      <c r="AB183" s="21">
        <f>EXP(-LN(2)/2)*AB182+(1-EXP(-LN(2)/2))/(LN(2)/2)*V183*Y183*VLOOKUP('Données projet'!$B$9,Paramètres!$A$1:$I$89,3,0)*0.475*44/12</f>
        <v>9.6540292582478649E-22</v>
      </c>
      <c r="AC183" s="22">
        <f t="shared" si="163"/>
        <v>1.1911231073847808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>
        <f>AI183*VLOOKUP('Données projet'!$B$10,Paramètres!$A$1:$I$89,3,0)*VLOOKUP('Données projet'!$B$10,Paramètres!$A$1:$I$89,5,0)</f>
        <v>0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285.77483300338548</v>
      </c>
      <c r="AO183" s="59">
        <f t="shared" si="144"/>
        <v>320.55212417690637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0.42780408318126462</v>
      </c>
      <c r="AV183" s="21">
        <f>EXP(-LN(2)/25)*AV182+(1-EXP(-LN(2)/25))/(LN(2)/25)*Calculateur!AQ183*Calculateur!AS183*VLOOKUP('Données projet'!$B$10,Paramètres!$A$1:$I$89,3,0)*0.475*44/12</f>
        <v>0.43546668296655383</v>
      </c>
      <c r="AW183" s="21">
        <f>EXP(-LN(2)/2)*AW182+(1-EXP(-LN(2)/2))/(LN(2)/2)*AQ183*AT183*VLOOKUP('Données projet'!$B$10,Paramètres!$A$1:$I$89,3,0)*0.475*44/12</f>
        <v>6.4589415141293692E-22</v>
      </c>
      <c r="AX183" s="21">
        <f t="shared" si="166"/>
        <v>0.8632707661478185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-7.9580786405131221E-13</v>
      </c>
      <c r="BE183" s="13">
        <f>BD183*VLOOKUP('Données projet'!$B$11,Paramètres!$A$1:$I$89,3,0)*VLOOKUP('Données projet'!$B$11,Paramètres!$A$1:$I$89,5,0)</f>
        <v>-3.8278358260868117E-13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402.22278907877927</v>
      </c>
      <c r="BJ183" s="59">
        <f t="shared" si="146"/>
        <v>393.06397734082458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1.4250330231041481</v>
      </c>
      <c r="BQ183" s="21">
        <f>EXP(-LN(2)/25)*BQ182+(1-EXP(-LN(2)/25))/(LN(2)/25)*Calculateur!BL183*Calculateur!BN183*VLOOKUP('Données projet'!$B$11,Paramètres!$A$1:$I$89,3,0)*0.475*44/12</f>
        <v>0.70454165214604647</v>
      </c>
      <c r="BR183" s="21">
        <f>EXP(-LN(2)/2)*BR182+(1-EXP(-LN(2)/2))/(LN(2)/2)*BL183*BO183*VLOOKUP('Données projet'!$B$11,Paramètres!$A$1:$I$89,3,0)*0.475*44/12</f>
        <v>2.3415793664096309E-20</v>
      </c>
      <c r="BS183" s="22">
        <f t="shared" si="169"/>
        <v>2.1295746752501947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-3.4106051316484809E-13</v>
      </c>
      <c r="BZ183" s="13">
        <f>BY183*VLOOKUP('Données projet'!$B$12,Paramètres!$A$1:$I$89,3,0)*VLOOKUP('Données projet'!$B$12,Paramètres!$A$1:$I$89,5,0)</f>
        <v>-3.0859155231155454E-13</v>
      </c>
      <c r="CA183" s="13" t="e">
        <f t="shared" si="170"/>
        <v>#NUM!</v>
      </c>
      <c r="CB183" s="20" t="e">
        <f t="shared" si="171"/>
        <v>#NUM!</v>
      </c>
      <c r="CC183" s="59" t="e">
        <f t="shared" si="119"/>
        <v>#NUM!</v>
      </c>
      <c r="CD183" s="59">
        <f ca="1">AVERAGE(OFFSET($CC$3,0,0,'Données projet'!$E$12+1,1))-AVERAGE(OFFSET($H$3,0,0,'Données projet'!$E$12+1,1))</f>
        <v>363.51171608224735</v>
      </c>
      <c r="CE183" s="59">
        <f t="shared" si="148"/>
        <v>257.9239334647138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0.12348881752940673</v>
      </c>
      <c r="CL183" s="21">
        <f>EXP(-LN(2)/25)*CL182+(1-EXP(-LN(2)/25))/(LN(2)/25)*Calculateur!CG183*Calculateur!CI183*VLOOKUP('Données projet'!$B$12,Paramètres!$A$1:$I$89,3,0)*0.475*44/12</f>
        <v>0.17629403750796507</v>
      </c>
      <c r="CM183" s="21">
        <f>EXP(-LN(2)/2)*CM182+(1-EXP(-LN(2)/2))/(LN(2)/2)*CG183*CJ183*VLOOKUP('Données projet'!$B$12,Paramètres!$A$1:$I$89,3,0)*0.475*44/12</f>
        <v>5.7051207409175242E-22</v>
      </c>
      <c r="CN183" s="22">
        <f t="shared" si="172"/>
        <v>0.29978285503737179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1">
        <f t="shared" si="140"/>
        <v>26.682116294536339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67">
        <f t="shared" si="110"/>
        <v>511.92663587965137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-1.2505552149377763E-12</v>
      </c>
      <c r="O184" s="13">
        <f>N184*VLOOKUP('Données projet'!$B$9,Paramètres!$A$1:$I$89,3,0)*VLOOKUP('Données projet'!$B$9,Paramètres!$A$1:$I$89,5,0)</f>
        <v>-6.9906036515021697E-13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446.28010102877403</v>
      </c>
      <c r="T184" s="59">
        <f t="shared" si="142"/>
        <v>445.84011537290456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0.57402588298377799</v>
      </c>
      <c r="AA184" s="21">
        <f>EXP(-LN(2)/25)*AA183+(1-EXP(-LN(2)/25))/(LN(2)/25)*Calculateur!V184*Calculateur!X184*VLOOKUP('Données projet'!$B$9,Paramètres!$A$1:$I$89,3,0)*0.475*44/12</f>
        <v>0.58905518746077346</v>
      </c>
      <c r="AB184" s="21">
        <f>EXP(-LN(2)/2)*AB183+(1-EXP(-LN(2)/2))/(LN(2)/2)*V184*Y184*VLOOKUP('Données projet'!$B$9,Paramètres!$A$1:$I$89,3,0)*0.475*44/12</f>
        <v>6.8264295542804008E-22</v>
      </c>
      <c r="AC184" s="22">
        <f t="shared" si="163"/>
        <v>1.1630810704445516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>
        <f>AI184*VLOOKUP('Données projet'!$B$10,Paramètres!$A$1:$I$89,3,0)*VLOOKUP('Données projet'!$B$10,Paramètres!$A$1:$I$89,5,0)</f>
        <v>0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285.77483300338548</v>
      </c>
      <c r="AO184" s="59">
        <f t="shared" si="144"/>
        <v>320.55212417690637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0.41941510604480559</v>
      </c>
      <c r="AV184" s="21">
        <f>EXP(-LN(2)/25)*AV183+(1-EXP(-LN(2)/25))/(LN(2)/25)*Calculateur!AQ184*Calculateur!AS184*VLOOKUP('Données projet'!$B$10,Paramètres!$A$1:$I$89,3,0)*0.475*44/12</f>
        <v>0.42355882362063585</v>
      </c>
      <c r="AW184" s="21">
        <f>EXP(-LN(2)/2)*AW183+(1-EXP(-LN(2)/2))/(LN(2)/2)*AQ184*AT184*VLOOKUP('Données projet'!$B$10,Paramètres!$A$1:$I$89,3,0)*0.475*44/12</f>
        <v>4.5671613439281837E-22</v>
      </c>
      <c r="AX184" s="21">
        <f t="shared" si="166"/>
        <v>0.84297392966544149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-7.9580786405131221E-13</v>
      </c>
      <c r="BE184" s="13">
        <f>BD184*VLOOKUP('Données projet'!$B$11,Paramètres!$A$1:$I$89,3,0)*VLOOKUP('Données projet'!$B$11,Paramètres!$A$1:$I$89,5,0)</f>
        <v>-3.8278358260868117E-13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402.22278907877927</v>
      </c>
      <c r="BJ184" s="59">
        <f t="shared" si="146"/>
        <v>393.06397734082458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1.397088994705395</v>
      </c>
      <c r="BQ184" s="21">
        <f>EXP(-LN(2)/25)*BQ183+(1-EXP(-LN(2)/25))/(LN(2)/25)*Calculateur!BL184*Calculateur!BN184*VLOOKUP('Données projet'!$B$11,Paramètres!$A$1:$I$89,3,0)*0.475*44/12</f>
        <v>0.68527592361787759</v>
      </c>
      <c r="BR184" s="21">
        <f>EXP(-LN(2)/2)*BR183+(1-EXP(-LN(2)/2))/(LN(2)/2)*BL184*BO184*VLOOKUP('Données projet'!$B$11,Paramètres!$A$1:$I$89,3,0)*0.475*44/12</f>
        <v>1.6557466486747494E-20</v>
      </c>
      <c r="BS184" s="22">
        <f t="shared" si="169"/>
        <v>2.0823649183232726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-3.4106051316484809E-13</v>
      </c>
      <c r="BZ184" s="13">
        <f>BY184*VLOOKUP('Données projet'!$B$12,Paramètres!$A$1:$I$89,3,0)*VLOOKUP('Données projet'!$B$12,Paramètres!$A$1:$I$89,5,0)</f>
        <v>-3.0859155231155454E-13</v>
      </c>
      <c r="CA184" s="13" t="e">
        <f t="shared" si="170"/>
        <v>#NUM!</v>
      </c>
      <c r="CB184" s="20" t="e">
        <f t="shared" si="171"/>
        <v>#NUM!</v>
      </c>
      <c r="CC184" s="59" t="e">
        <f t="shared" si="119"/>
        <v>#NUM!</v>
      </c>
      <c r="CD184" s="59">
        <f ca="1">AVERAGE(OFFSET($CC$3,0,0,'Données projet'!$E$12+1,1))-AVERAGE(OFFSET($H$3,0,0,'Données projet'!$E$12+1,1))</f>
        <v>363.51171608224735</v>
      </c>
      <c r="CE184" s="59">
        <f t="shared" si="148"/>
        <v>257.9239334647138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0.12106727713839645</v>
      </c>
      <c r="CL184" s="21">
        <f>EXP(-LN(2)/25)*CL183+(1-EXP(-LN(2)/25))/(LN(2)/25)*Calculateur!CG184*Calculateur!CI184*VLOOKUP('Données projet'!$B$12,Paramètres!$A$1:$I$89,3,0)*0.475*44/12</f>
        <v>0.17147326778140926</v>
      </c>
      <c r="CM184" s="21">
        <f>EXP(-LN(2)/2)*CM183+(1-EXP(-LN(2)/2))/(LN(2)/2)*CG184*CJ184*VLOOKUP('Données projet'!$B$12,Paramètres!$A$1:$I$89,3,0)*0.475*44/12</f>
        <v>4.0341295633908017E-22</v>
      </c>
      <c r="CN184" s="22">
        <f t="shared" si="172"/>
        <v>0.29254054491980569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1">
        <f t="shared" si="140"/>
        <v>26.812330397327784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67">
        <f t="shared" si="110"/>
        <v>513.10437544201318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-1.2505552149377763E-12</v>
      </c>
      <c r="O185" s="13">
        <f>N185*VLOOKUP('Données projet'!$B$9,Paramètres!$A$1:$I$89,3,0)*VLOOKUP('Données projet'!$B$9,Paramètres!$A$1:$I$89,5,0)</f>
        <v>-6.9906036515021697E-13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446.28010102877403</v>
      </c>
      <c r="T185" s="59">
        <f t="shared" si="142"/>
        <v>445.84011537290456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0.56276958553968315</v>
      </c>
      <c r="AA185" s="21">
        <f>EXP(-LN(2)/25)*AA184+(1-EXP(-LN(2)/25))/(LN(2)/25)*Calculateur!V185*Calculateur!X185*VLOOKUP('Données projet'!$B$9,Paramètres!$A$1:$I$89,3,0)*0.475*44/12</f>
        <v>0.57294744238259265</v>
      </c>
      <c r="AB185" s="21">
        <f>EXP(-LN(2)/2)*AB184+(1-EXP(-LN(2)/2))/(LN(2)/2)*V185*Y185*VLOOKUP('Données projet'!$B$9,Paramètres!$A$1:$I$89,3,0)*0.475*44/12</f>
        <v>4.8270146291239325E-22</v>
      </c>
      <c r="AC185" s="22">
        <f t="shared" si="163"/>
        <v>1.1357170279222757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>
        <f>AI185*VLOOKUP('Données projet'!$B$10,Paramètres!$A$1:$I$89,3,0)*VLOOKUP('Données projet'!$B$10,Paramètres!$A$1:$I$89,5,0)</f>
        <v>0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285.77483300338548</v>
      </c>
      <c r="AO185" s="59">
        <f t="shared" si="144"/>
        <v>320.55212417690637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0.41119063163322173</v>
      </c>
      <c r="AV185" s="21">
        <f>EXP(-LN(2)/25)*AV184+(1-EXP(-LN(2)/25))/(LN(2)/25)*Calculateur!AQ185*Calculateur!AS185*VLOOKUP('Données projet'!$B$10,Paramètres!$A$1:$I$89,3,0)*0.475*44/12</f>
        <v>0.41197658531473907</v>
      </c>
      <c r="AW185" s="21">
        <f>EXP(-LN(2)/2)*AW184+(1-EXP(-LN(2)/2))/(LN(2)/2)*AQ185*AT185*VLOOKUP('Données projet'!$B$10,Paramètres!$A$1:$I$89,3,0)*0.475*44/12</f>
        <v>3.2294707570646846E-22</v>
      </c>
      <c r="AX185" s="21">
        <f t="shared" si="166"/>
        <v>0.8231672169479608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-7.9580786405131221E-13</v>
      </c>
      <c r="BE185" s="13">
        <f>BD185*VLOOKUP('Données projet'!$B$11,Paramètres!$A$1:$I$89,3,0)*VLOOKUP('Données projet'!$B$11,Paramètres!$A$1:$I$89,5,0)</f>
        <v>-3.8278358260868117E-13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402.22278907877927</v>
      </c>
      <c r="BJ185" s="59">
        <f t="shared" si="146"/>
        <v>393.06397734082458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1.3696929316593671</v>
      </c>
      <c r="BQ185" s="21">
        <f>EXP(-LN(2)/25)*BQ184+(1-EXP(-LN(2)/25))/(LN(2)/25)*Calculateur!BL185*Calculateur!BN185*VLOOKUP('Données projet'!$B$11,Paramètres!$A$1:$I$89,3,0)*0.475*44/12</f>
        <v>0.66653701744945215</v>
      </c>
      <c r="BR185" s="21">
        <f>EXP(-LN(2)/2)*BR184+(1-EXP(-LN(2)/2))/(LN(2)/2)*BL185*BO185*VLOOKUP('Données projet'!$B$11,Paramètres!$A$1:$I$89,3,0)*0.475*44/12</f>
        <v>1.1707896832048154E-20</v>
      </c>
      <c r="BS185" s="22">
        <f t="shared" si="169"/>
        <v>2.0362299491088192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-3.4106051316484809E-13</v>
      </c>
      <c r="BZ185" s="13">
        <f>BY185*VLOOKUP('Données projet'!$B$12,Paramètres!$A$1:$I$89,3,0)*VLOOKUP('Données projet'!$B$12,Paramètres!$A$1:$I$89,5,0)</f>
        <v>-3.0859155231155454E-13</v>
      </c>
      <c r="CA185" s="13" t="e">
        <f t="shared" si="170"/>
        <v>#NUM!</v>
      </c>
      <c r="CB185" s="20" t="e">
        <f t="shared" si="171"/>
        <v>#NUM!</v>
      </c>
      <c r="CC185" s="59" t="e">
        <f t="shared" si="119"/>
        <v>#NUM!</v>
      </c>
      <c r="CD185" s="59">
        <f ca="1">AVERAGE(OFFSET($CC$3,0,0,'Données projet'!$E$12+1,1))-AVERAGE(OFFSET($H$3,0,0,'Données projet'!$E$12+1,1))</f>
        <v>363.51171608224735</v>
      </c>
      <c r="CE185" s="59">
        <f t="shared" si="148"/>
        <v>257.9239334647138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0.11869322167746009</v>
      </c>
      <c r="CL185" s="21">
        <f>EXP(-LN(2)/25)*CL184+(1-EXP(-LN(2)/25))/(LN(2)/25)*Calculateur!CG185*Calculateur!CI185*VLOOKUP('Données projet'!$B$12,Paramètres!$A$1:$I$89,3,0)*0.475*44/12</f>
        <v>0.16678432225653939</v>
      </c>
      <c r="CM185" s="21">
        <f>EXP(-LN(2)/2)*CM184+(1-EXP(-LN(2)/2))/(LN(2)/2)*CG185*CJ185*VLOOKUP('Données projet'!$B$12,Paramètres!$A$1:$I$89,3,0)*0.475*44/12</f>
        <v>2.8525603704587621E-22</v>
      </c>
      <c r="CN185" s="22">
        <f t="shared" si="172"/>
        <v>0.28547754393399949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1">
        <f t="shared" si="140"/>
        <v>26.942461246512842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67">
        <f t="shared" si="110"/>
        <v>514.28197000434375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-1.2505552149377763E-12</v>
      </c>
      <c r="O186" s="13">
        <f>N186*VLOOKUP('Données projet'!$B$9,Paramètres!$A$1:$I$89,3,0)*VLOOKUP('Données projet'!$B$9,Paramètres!$A$1:$I$89,5,0)</f>
        <v>-6.9906036515021697E-13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446.28010102877403</v>
      </c>
      <c r="T186" s="59">
        <f t="shared" si="142"/>
        <v>445.84011537290456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0.55173401722280346</v>
      </c>
      <c r="AA186" s="21">
        <f>EXP(-LN(2)/25)*AA185+(1-EXP(-LN(2)/25))/(LN(2)/25)*Calculateur!V186*Calculateur!X186*VLOOKUP('Données projet'!$B$9,Paramètres!$A$1:$I$89,3,0)*0.475*44/12</f>
        <v>0.5572801644406441</v>
      </c>
      <c r="AB186" s="21">
        <f>EXP(-LN(2)/2)*AB185+(1-EXP(-LN(2)/2))/(LN(2)/2)*V186*Y186*VLOOKUP('Données projet'!$B$9,Paramètres!$A$1:$I$89,3,0)*0.475*44/12</f>
        <v>3.4132147771402004E-22</v>
      </c>
      <c r="AC186" s="22">
        <f t="shared" si="163"/>
        <v>1.1090141816634476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>
        <f>AI186*VLOOKUP('Données projet'!$B$10,Paramètres!$A$1:$I$89,3,0)*VLOOKUP('Données projet'!$B$10,Paramètres!$A$1:$I$89,5,0)</f>
        <v>0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285.77483300338548</v>
      </c>
      <c r="AO186" s="59">
        <f t="shared" si="144"/>
        <v>320.55212417690637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0.40312743414841495</v>
      </c>
      <c r="AV186" s="21">
        <f>EXP(-LN(2)/25)*AV185+(1-EXP(-LN(2)/25))/(LN(2)/25)*Calculateur!AQ186*Calculateur!AS186*VLOOKUP('Données projet'!$B$10,Paramètres!$A$1:$I$89,3,0)*0.475*44/12</f>
        <v>0.40071106392440048</v>
      </c>
      <c r="AW186" s="21">
        <f>EXP(-LN(2)/2)*AW185+(1-EXP(-LN(2)/2))/(LN(2)/2)*AQ186*AT186*VLOOKUP('Données projet'!$B$10,Paramètres!$A$1:$I$89,3,0)*0.475*44/12</f>
        <v>2.2835806719640919E-22</v>
      </c>
      <c r="AX186" s="21">
        <f t="shared" si="166"/>
        <v>0.80383849807281549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-7.9580786405131221E-13</v>
      </c>
      <c r="BE186" s="13">
        <f>BD186*VLOOKUP('Données projet'!$B$11,Paramètres!$A$1:$I$89,3,0)*VLOOKUP('Données projet'!$B$11,Paramètres!$A$1:$I$89,5,0)</f>
        <v>-3.8278358260868117E-13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402.22278907877927</v>
      </c>
      <c r="BJ186" s="59">
        <f t="shared" si="146"/>
        <v>393.06397734082458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1.3428340886997234</v>
      </c>
      <c r="BQ186" s="21">
        <f>EXP(-LN(2)/25)*BQ185+(1-EXP(-LN(2)/25))/(LN(2)/25)*Calculateur!BL186*Calculateur!BN186*VLOOKUP('Données projet'!$B$11,Paramètres!$A$1:$I$89,3,0)*0.475*44/12</f>
        <v>0.64831052765563857</v>
      </c>
      <c r="BR186" s="21">
        <f>EXP(-LN(2)/2)*BR185+(1-EXP(-LN(2)/2))/(LN(2)/2)*BL186*BO186*VLOOKUP('Données projet'!$B$11,Paramètres!$A$1:$I$89,3,0)*0.475*44/12</f>
        <v>8.2787332433737471E-21</v>
      </c>
      <c r="BS186" s="22">
        <f t="shared" si="169"/>
        <v>1.9911446163553621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-3.4106051316484809E-13</v>
      </c>
      <c r="BZ186" s="13">
        <f>BY186*VLOOKUP('Données projet'!$B$12,Paramètres!$A$1:$I$89,3,0)*VLOOKUP('Données projet'!$B$12,Paramètres!$A$1:$I$89,5,0)</f>
        <v>-3.0859155231155454E-13</v>
      </c>
      <c r="CA186" s="13" t="e">
        <f t="shared" si="170"/>
        <v>#NUM!</v>
      </c>
      <c r="CB186" s="20" t="e">
        <f t="shared" si="171"/>
        <v>#NUM!</v>
      </c>
      <c r="CC186" s="59" t="e">
        <f t="shared" si="119"/>
        <v>#NUM!</v>
      </c>
      <c r="CD186" s="59">
        <f ca="1">AVERAGE(OFFSET($CC$3,0,0,'Données projet'!$E$12+1,1))-AVERAGE(OFFSET($H$3,0,0,'Données projet'!$E$12+1,1))</f>
        <v>363.51171608224735</v>
      </c>
      <c r="CE186" s="59">
        <f t="shared" si="148"/>
        <v>257.9239334647138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0.11636571999608183</v>
      </c>
      <c r="CL186" s="21">
        <f>EXP(-LN(2)/25)*CL185+(1-EXP(-LN(2)/25))/(LN(2)/25)*Calculateur!CG186*Calculateur!CI186*VLOOKUP('Données projet'!$B$12,Paramètres!$A$1:$I$89,3,0)*0.475*44/12</f>
        <v>0.162223596193628</v>
      </c>
      <c r="CM186" s="21">
        <f>EXP(-LN(2)/2)*CM185+(1-EXP(-LN(2)/2))/(LN(2)/2)*CG186*CJ186*VLOOKUP('Données projet'!$B$12,Paramètres!$A$1:$I$89,3,0)*0.475*44/12</f>
        <v>2.0170647816954009E-22</v>
      </c>
      <c r="CN186" s="22">
        <f t="shared" si="172"/>
        <v>0.27858931618970983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1">
        <f t="shared" si="140"/>
        <v>27.072509349827552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67">
        <f t="shared" si="110"/>
        <v>515.45942045095035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-1.2505552149377763E-12</v>
      </c>
      <c r="O187" s="13">
        <f>N187*VLOOKUP('Données projet'!$B$9,Paramètres!$A$1:$I$89,3,0)*VLOOKUP('Données projet'!$B$9,Paramètres!$A$1:$I$89,5,0)</f>
        <v>-6.9906036515021697E-13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446.28010102877403</v>
      </c>
      <c r="T187" s="59">
        <f t="shared" si="142"/>
        <v>445.84011537290456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0.54091484966958581</v>
      </c>
      <c r="AA187" s="21">
        <f>EXP(-LN(2)/25)*AA186+(1-EXP(-LN(2)/25))/(LN(2)/25)*Calculateur!V187*Calculateur!X187*VLOOKUP('Données projet'!$B$9,Paramètres!$A$1:$I$89,3,0)*0.475*44/12</f>
        <v>0.54204130903792447</v>
      </c>
      <c r="AB187" s="21">
        <f>EXP(-LN(2)/2)*AB186+(1-EXP(-LN(2)/2))/(LN(2)/2)*V187*Y187*VLOOKUP('Données projet'!$B$9,Paramètres!$A$1:$I$89,3,0)*0.475*44/12</f>
        <v>2.4135073145619662E-22</v>
      </c>
      <c r="AC187" s="22">
        <f t="shared" si="163"/>
        <v>1.0829561587075103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>
        <f>AI187*VLOOKUP('Données projet'!$B$10,Paramètres!$A$1:$I$89,3,0)*VLOOKUP('Données projet'!$B$10,Paramètres!$A$1:$I$89,5,0)</f>
        <v>0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285.77483300338548</v>
      </c>
      <c r="AO187" s="59">
        <f t="shared" si="144"/>
        <v>320.55212417690637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0.3952223510482204</v>
      </c>
      <c r="AV187" s="21">
        <f>EXP(-LN(2)/25)*AV186+(1-EXP(-LN(2)/25))/(LN(2)/25)*Calculateur!AQ187*Calculateur!AS187*VLOOKUP('Données projet'!$B$10,Paramètres!$A$1:$I$89,3,0)*0.475*44/12</f>
        <v>0.38975359880890875</v>
      </c>
      <c r="AW187" s="21">
        <f>EXP(-LN(2)/2)*AW186+(1-EXP(-LN(2)/2))/(LN(2)/2)*AQ187*AT187*VLOOKUP('Données projet'!$B$10,Paramètres!$A$1:$I$89,3,0)*0.475*44/12</f>
        <v>1.6147353785323423E-22</v>
      </c>
      <c r="AX187" s="21">
        <f t="shared" si="166"/>
        <v>0.78497594985712915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-7.9580786405131221E-13</v>
      </c>
      <c r="BE187" s="13">
        <f>BD187*VLOOKUP('Données projet'!$B$11,Paramètres!$A$1:$I$89,3,0)*VLOOKUP('Données projet'!$B$11,Paramètres!$A$1:$I$89,5,0)</f>
        <v>-3.8278358260868117E-13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402.22278907877927</v>
      </c>
      <c r="BJ187" s="59">
        <f t="shared" si="146"/>
        <v>393.06397734082458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1.3165019312682418</v>
      </c>
      <c r="BQ187" s="21">
        <f>EXP(-LN(2)/25)*BQ186+(1-EXP(-LN(2)/25))/(LN(2)/25)*Calculateur!BL187*Calculateur!BN187*VLOOKUP('Données projet'!$B$11,Paramètres!$A$1:$I$89,3,0)*0.475*44/12</f>
        <v>0.63058244218372617</v>
      </c>
      <c r="BR187" s="21">
        <f>EXP(-LN(2)/2)*BR186+(1-EXP(-LN(2)/2))/(LN(2)/2)*BL187*BO187*VLOOKUP('Données projet'!$B$11,Paramètres!$A$1:$I$89,3,0)*0.475*44/12</f>
        <v>5.8539484160240772E-21</v>
      </c>
      <c r="BS187" s="22">
        <f t="shared" si="169"/>
        <v>1.9470843734519678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-3.4106051316484809E-13</v>
      </c>
      <c r="BZ187" s="13">
        <f>BY187*VLOOKUP('Données projet'!$B$12,Paramètres!$A$1:$I$89,3,0)*VLOOKUP('Données projet'!$B$12,Paramètres!$A$1:$I$89,5,0)</f>
        <v>-3.0859155231155454E-13</v>
      </c>
      <c r="CA187" s="13" t="e">
        <f t="shared" si="170"/>
        <v>#NUM!</v>
      </c>
      <c r="CB187" s="20" t="e">
        <f t="shared" si="171"/>
        <v>#NUM!</v>
      </c>
      <c r="CC187" s="59" t="e">
        <f t="shared" si="119"/>
        <v>#NUM!</v>
      </c>
      <c r="CD187" s="59">
        <f ca="1">AVERAGE(OFFSET($CC$3,0,0,'Données projet'!$E$12+1,1))-AVERAGE(OFFSET($H$3,0,0,'Données projet'!$E$12+1,1))</f>
        <v>363.51171608224735</v>
      </c>
      <c r="CE187" s="59">
        <f t="shared" si="148"/>
        <v>257.9239334647138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0.11408385920303957</v>
      </c>
      <c r="CL187" s="21">
        <f>EXP(-LN(2)/25)*CL186+(1-EXP(-LN(2)/25))/(LN(2)/25)*Calculateur!CG187*Calculateur!CI187*VLOOKUP('Données projet'!$B$12,Paramètres!$A$1:$I$89,3,0)*0.475*44/12</f>
        <v>0.15778758342474508</v>
      </c>
      <c r="CM187" s="21">
        <f>EXP(-LN(2)/2)*CM186+(1-EXP(-LN(2)/2))/(LN(2)/2)*CG187*CJ187*VLOOKUP('Données projet'!$B$12,Paramètres!$A$1:$I$89,3,0)*0.475*44/12</f>
        <v>1.4262801852293811E-22</v>
      </c>
      <c r="CN187" s="22">
        <f t="shared" si="172"/>
        <v>0.27187144262778462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1">
        <f t="shared" si="140"/>
        <v>27.202475209169677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67">
        <f t="shared" si="110"/>
        <v>516.63672765597119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-1.2505552149377763E-12</v>
      </c>
      <c r="O188" s="13">
        <f>N188*VLOOKUP('Données projet'!$B$9,Paramètres!$A$1:$I$89,3,0)*VLOOKUP('Données projet'!$B$9,Paramètres!$A$1:$I$89,5,0)</f>
        <v>-6.9906036515021697E-13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446.28010102877403</v>
      </c>
      <c r="T188" s="59">
        <f t="shared" si="142"/>
        <v>445.84011537290456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0.53030783939304604</v>
      </c>
      <c r="AA188" s="21">
        <f>EXP(-LN(2)/25)*AA187+(1-EXP(-LN(2)/25))/(LN(2)/25)*Calculateur!V188*Calculateur!X188*VLOOKUP('Données projet'!$B$9,Paramètres!$A$1:$I$89,3,0)*0.475*44/12</f>
        <v>0.52721916093756882</v>
      </c>
      <c r="AB188" s="21">
        <f>EXP(-LN(2)/2)*AB187+(1-EXP(-LN(2)/2))/(LN(2)/2)*V188*Y188*VLOOKUP('Données projet'!$B$9,Paramètres!$A$1:$I$89,3,0)*0.475*44/12</f>
        <v>1.7066073885701002E-22</v>
      </c>
      <c r="AC188" s="22">
        <f t="shared" si="163"/>
        <v>1.057527000330615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>
        <f>AI188*VLOOKUP('Données projet'!$B$10,Paramètres!$A$1:$I$89,3,0)*VLOOKUP('Données projet'!$B$10,Paramètres!$A$1:$I$89,5,0)</f>
        <v>0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285.77483300338548</v>
      </c>
      <c r="AO188" s="59">
        <f t="shared" si="144"/>
        <v>320.55212417690637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0.38747228180599608</v>
      </c>
      <c r="AV188" s="21">
        <f>EXP(-LN(2)/25)*AV187+(1-EXP(-LN(2)/25))/(LN(2)/25)*Calculateur!AQ188*Calculateur!AS188*VLOOKUP('Données projet'!$B$10,Paramètres!$A$1:$I$89,3,0)*0.475*44/12</f>
        <v>0.37909576615322815</v>
      </c>
      <c r="AW188" s="21">
        <f>EXP(-LN(2)/2)*AW187+(1-EXP(-LN(2)/2))/(LN(2)/2)*AQ188*AT188*VLOOKUP('Données projet'!$B$10,Paramètres!$A$1:$I$89,3,0)*0.475*44/12</f>
        <v>1.1417903359820459E-22</v>
      </c>
      <c r="AX188" s="21">
        <f t="shared" si="166"/>
        <v>0.76656804795922429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-7.9580786405131221E-13</v>
      </c>
      <c r="BE188" s="13">
        <f>BD188*VLOOKUP('Données projet'!$B$11,Paramètres!$A$1:$I$89,3,0)*VLOOKUP('Données projet'!$B$11,Paramètres!$A$1:$I$89,5,0)</f>
        <v>-3.8278358260868117E-13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402.22278907877927</v>
      </c>
      <c r="BJ188" s="59">
        <f t="shared" si="146"/>
        <v>393.06397734082458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1.2906861313829612</v>
      </c>
      <c r="BQ188" s="21">
        <f>EXP(-LN(2)/25)*BQ187+(1-EXP(-LN(2)/25))/(LN(2)/25)*Calculateur!BL188*Calculateur!BN188*VLOOKUP('Données projet'!$B$11,Paramètres!$A$1:$I$89,3,0)*0.475*44/12</f>
        <v>0.61333913214132274</v>
      </c>
      <c r="BR188" s="21">
        <f>EXP(-LN(2)/2)*BR187+(1-EXP(-LN(2)/2))/(LN(2)/2)*BL188*BO188*VLOOKUP('Données projet'!$B$11,Paramètres!$A$1:$I$89,3,0)*0.475*44/12</f>
        <v>4.1393666216868735E-21</v>
      </c>
      <c r="BS188" s="22">
        <f t="shared" si="169"/>
        <v>1.904025263524284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-3.4106051316484809E-13</v>
      </c>
      <c r="BZ188" s="13">
        <f>BY188*VLOOKUP('Données projet'!$B$12,Paramètres!$A$1:$I$89,3,0)*VLOOKUP('Données projet'!$B$12,Paramètres!$A$1:$I$89,5,0)</f>
        <v>-3.0859155231155454E-13</v>
      </c>
      <c r="CA188" s="13" t="e">
        <f t="shared" si="170"/>
        <v>#NUM!</v>
      </c>
      <c r="CB188" s="20" t="e">
        <f t="shared" si="171"/>
        <v>#NUM!</v>
      </c>
      <c r="CC188" s="59" t="e">
        <f t="shared" si="119"/>
        <v>#NUM!</v>
      </c>
      <c r="CD188" s="59">
        <f ca="1">AVERAGE(OFFSET($CC$3,0,0,'Données projet'!$E$12+1,1))-AVERAGE(OFFSET($H$3,0,0,'Données projet'!$E$12+1,1))</f>
        <v>363.51171608224735</v>
      </c>
      <c r="CE188" s="59">
        <f t="shared" si="148"/>
        <v>257.9239334647138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0.1118467443083512</v>
      </c>
      <c r="CL188" s="21">
        <f>EXP(-LN(2)/25)*CL187+(1-EXP(-LN(2)/25))/(LN(2)/25)*Calculateur!CG188*Calculateur!CI188*VLOOKUP('Données projet'!$B$12,Paramètres!$A$1:$I$89,3,0)*0.475*44/12</f>
        <v>0.15347287365830703</v>
      </c>
      <c r="CM188" s="21">
        <f>EXP(-LN(2)/2)*CM187+(1-EXP(-LN(2)/2))/(LN(2)/2)*CG188*CJ188*VLOOKUP('Données projet'!$B$12,Paramètres!$A$1:$I$89,3,0)*0.475*44/12</f>
        <v>1.0085323908477004E-22</v>
      </c>
      <c r="CN188" s="22">
        <f t="shared" si="172"/>
        <v>0.26531961796665826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1">
        <f t="shared" si="140"/>
        <v>27.332359320697009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67">
        <f t="shared" si="110"/>
        <v>517.81389248354799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-1.2505552149377763E-12</v>
      </c>
      <c r="O189" s="13">
        <f>N189*VLOOKUP('Données projet'!$B$9,Paramètres!$A$1:$I$89,3,0)*VLOOKUP('Données projet'!$B$9,Paramètres!$A$1:$I$89,5,0)</f>
        <v>-6.9906036515021697E-13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446.28010102877403</v>
      </c>
      <c r="T189" s="59">
        <f t="shared" si="142"/>
        <v>445.84011537290456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0.51990882611839184</v>
      </c>
      <c r="AA189" s="21">
        <f>EXP(-LN(2)/25)*AA188+(1-EXP(-LN(2)/25))/(LN(2)/25)*Calculateur!V189*Calculateur!X189*VLOOKUP('Données projet'!$B$9,Paramètres!$A$1:$I$89,3,0)*0.475*44/12</f>
        <v>0.51280232525648028</v>
      </c>
      <c r="AB189" s="21">
        <f>EXP(-LN(2)/2)*AB188+(1-EXP(-LN(2)/2))/(LN(2)/2)*V189*Y189*VLOOKUP('Données projet'!$B$9,Paramètres!$A$1:$I$89,3,0)*0.475*44/12</f>
        <v>1.2067536572809831E-22</v>
      </c>
      <c r="AC189" s="22">
        <f t="shared" si="163"/>
        <v>1.0327111513748721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>
        <f>AI189*VLOOKUP('Données projet'!$B$10,Paramètres!$A$1:$I$89,3,0)*VLOOKUP('Données projet'!$B$10,Paramètres!$A$1:$I$89,5,0)</f>
        <v>0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285.77483300338548</v>
      </c>
      <c r="AO189" s="59">
        <f t="shared" si="144"/>
        <v>320.55212417690637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0.37987418669453626</v>
      </c>
      <c r="AV189" s="21">
        <f>EXP(-LN(2)/25)*AV188+(1-EXP(-LN(2)/25))/(LN(2)/25)*Calculateur!AQ189*Calculateur!AS189*VLOOKUP('Données projet'!$B$10,Paramètres!$A$1:$I$89,3,0)*0.475*44/12</f>
        <v>0.36872937249198823</v>
      </c>
      <c r="AW189" s="21">
        <f>EXP(-LN(2)/2)*AW188+(1-EXP(-LN(2)/2))/(LN(2)/2)*AQ189*AT189*VLOOKUP('Données projet'!$B$10,Paramètres!$A$1:$I$89,3,0)*0.475*44/12</f>
        <v>8.0736768926617114E-23</v>
      </c>
      <c r="AX189" s="21">
        <f t="shared" si="166"/>
        <v>0.74860355918652455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-7.9580786405131221E-13</v>
      </c>
      <c r="BE189" s="13">
        <f>BD189*VLOOKUP('Données projet'!$B$11,Paramètres!$A$1:$I$89,3,0)*VLOOKUP('Données projet'!$B$11,Paramètres!$A$1:$I$89,5,0)</f>
        <v>-3.8278358260868117E-13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402.22278907877927</v>
      </c>
      <c r="BJ189" s="59">
        <f t="shared" si="146"/>
        <v>393.06397734082458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1.265376563587348</v>
      </c>
      <c r="BQ189" s="21">
        <f>EXP(-LN(2)/25)*BQ188+(1-EXP(-LN(2)/25))/(LN(2)/25)*Calculateur!BL189*Calculateur!BN189*VLOOKUP('Données projet'!$B$11,Paramètres!$A$1:$I$89,3,0)*0.475*44/12</f>
        <v>0.59656734131881517</v>
      </c>
      <c r="BR189" s="21">
        <f>EXP(-LN(2)/2)*BR188+(1-EXP(-LN(2)/2))/(LN(2)/2)*BL189*BO189*VLOOKUP('Données projet'!$B$11,Paramètres!$A$1:$I$89,3,0)*0.475*44/12</f>
        <v>2.9269742080120386E-21</v>
      </c>
      <c r="BS189" s="22">
        <f t="shared" si="169"/>
        <v>1.861943904906163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-3.4106051316484809E-13</v>
      </c>
      <c r="BZ189" s="13">
        <f>BY189*VLOOKUP('Données projet'!$B$12,Paramètres!$A$1:$I$89,3,0)*VLOOKUP('Données projet'!$B$12,Paramètres!$A$1:$I$89,5,0)</f>
        <v>-3.0859155231155454E-13</v>
      </c>
      <c r="CA189" s="13" t="e">
        <f t="shared" si="170"/>
        <v>#NUM!</v>
      </c>
      <c r="CB189" s="20" t="e">
        <f t="shared" si="171"/>
        <v>#NUM!</v>
      </c>
      <c r="CC189" s="59" t="e">
        <f t="shared" si="119"/>
        <v>#NUM!</v>
      </c>
      <c r="CD189" s="59">
        <f ca="1">AVERAGE(OFFSET($CC$3,0,0,'Données projet'!$E$12+1,1))-AVERAGE(OFFSET($H$3,0,0,'Données projet'!$E$12+1,1))</f>
        <v>363.51171608224735</v>
      </c>
      <c r="CE189" s="59">
        <f t="shared" si="148"/>
        <v>257.9239334647138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0.10965349787224232</v>
      </c>
      <c r="CL189" s="21">
        <f>EXP(-LN(2)/25)*CL188+(1-EXP(-LN(2)/25))/(LN(2)/25)*Calculateur!CG189*Calculateur!CI189*VLOOKUP('Données projet'!$B$12,Paramètres!$A$1:$I$89,3,0)*0.475*44/12</f>
        <v>0.14927614985733295</v>
      </c>
      <c r="CM189" s="21">
        <f>EXP(-LN(2)/2)*CM188+(1-EXP(-LN(2)/2))/(LN(2)/2)*CG189*CJ189*VLOOKUP('Données projet'!$B$12,Paramètres!$A$1:$I$89,3,0)*0.475*44/12</f>
        <v>7.1314009261469053E-23</v>
      </c>
      <c r="CN189" s="22">
        <f t="shared" si="172"/>
        <v>0.25892964772957527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1">
        <f t="shared" si="140"/>
        <v>27.462162174923463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67">
        <f t="shared" si="110"/>
        <v>518.99091578799244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-1.2505552149377763E-12</v>
      </c>
      <c r="O190" s="13">
        <f>N190*VLOOKUP('Données projet'!$B$9,Paramètres!$A$1:$I$89,3,0)*VLOOKUP('Données projet'!$B$9,Paramètres!$A$1:$I$89,5,0)</f>
        <v>-6.9906036515021697E-13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446.28010102877403</v>
      </c>
      <c r="T190" s="59">
        <f t="shared" si="142"/>
        <v>445.84011537290456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0.50971373115128182</v>
      </c>
      <c r="AA190" s="21">
        <f>EXP(-LN(2)/25)*AA189+(1-EXP(-LN(2)/25))/(LN(2)/25)*Calculateur!V190*Calculateur!X190*VLOOKUP('Données projet'!$B$9,Paramètres!$A$1:$I$89,3,0)*0.475*44/12</f>
        <v>0.49877971870523957</v>
      </c>
      <c r="AB190" s="21">
        <f>EXP(-LN(2)/2)*AB189+(1-EXP(-LN(2)/2))/(LN(2)/2)*V190*Y190*VLOOKUP('Données projet'!$B$9,Paramètres!$A$1:$I$89,3,0)*0.475*44/12</f>
        <v>8.533036942850501E-23</v>
      </c>
      <c r="AC190" s="22">
        <f t="shared" si="163"/>
        <v>1.0084934498565215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>
        <f>AI190*VLOOKUP('Données projet'!$B$10,Paramètres!$A$1:$I$89,3,0)*VLOOKUP('Données projet'!$B$10,Paramètres!$A$1:$I$89,5,0)</f>
        <v>0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285.77483300338548</v>
      </c>
      <c r="AO190" s="59">
        <f t="shared" si="144"/>
        <v>320.55212417690637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0.37242508559383181</v>
      </c>
      <c r="AV190" s="21">
        <f>EXP(-LN(2)/25)*AV189+(1-EXP(-LN(2)/25))/(LN(2)/25)*Calculateur!AQ190*Calculateur!AS190*VLOOKUP('Données projet'!$B$10,Paramètres!$A$1:$I$89,3,0)*0.475*44/12</f>
        <v>0.35864644841055987</v>
      </c>
      <c r="AW190" s="21">
        <f>EXP(-LN(2)/2)*AW189+(1-EXP(-LN(2)/2))/(LN(2)/2)*AQ190*AT190*VLOOKUP('Données projet'!$B$10,Paramètres!$A$1:$I$89,3,0)*0.475*44/12</f>
        <v>5.7089516799102296E-23</v>
      </c>
      <c r="AX190" s="21">
        <f t="shared" si="166"/>
        <v>0.73107153400439162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-7.9580786405131221E-13</v>
      </c>
      <c r="BE190" s="13">
        <f>BD190*VLOOKUP('Données projet'!$B$11,Paramètres!$A$1:$I$89,3,0)*VLOOKUP('Données projet'!$B$11,Paramètres!$A$1:$I$89,5,0)</f>
        <v>-3.8278358260868117E-13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402.22278907877927</v>
      </c>
      <c r="BJ190" s="59">
        <f t="shared" si="146"/>
        <v>393.06397734082458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1.2405633009788946</v>
      </c>
      <c r="BQ190" s="21">
        <f>EXP(-LN(2)/25)*BQ189+(1-EXP(-LN(2)/25))/(LN(2)/25)*Calculateur!BL190*Calculateur!BN190*VLOOKUP('Données projet'!$B$11,Paramètres!$A$1:$I$89,3,0)*0.475*44/12</f>
        <v>0.58025417599833917</v>
      </c>
      <c r="BR190" s="21">
        <f>EXP(-LN(2)/2)*BR189+(1-EXP(-LN(2)/2))/(LN(2)/2)*BL190*BO190*VLOOKUP('Données projet'!$B$11,Paramètres!$A$1:$I$89,3,0)*0.475*44/12</f>
        <v>2.0696833108434368E-21</v>
      </c>
      <c r="BS190" s="22">
        <f t="shared" si="169"/>
        <v>1.8208174769772336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-3.4106051316484809E-13</v>
      </c>
      <c r="BZ190" s="13">
        <f>BY190*VLOOKUP('Données projet'!$B$12,Paramètres!$A$1:$I$89,3,0)*VLOOKUP('Données projet'!$B$12,Paramètres!$A$1:$I$89,5,0)</f>
        <v>-3.0859155231155454E-13</v>
      </c>
      <c r="CA190" s="13" t="e">
        <f t="shared" si="170"/>
        <v>#NUM!</v>
      </c>
      <c r="CB190" s="20" t="e">
        <f t="shared" si="171"/>
        <v>#NUM!</v>
      </c>
      <c r="CC190" s="59" t="e">
        <f t="shared" si="119"/>
        <v>#NUM!</v>
      </c>
      <c r="CD190" s="59">
        <f ca="1">AVERAGE(OFFSET($CC$3,0,0,'Données projet'!$E$12+1,1))-AVERAGE(OFFSET($H$3,0,0,'Données projet'!$E$12+1,1))</f>
        <v>363.51171608224735</v>
      </c>
      <c r="CE190" s="59">
        <f t="shared" si="148"/>
        <v>257.9239334647138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0.1075032596609973</v>
      </c>
      <c r="CL190" s="21">
        <f>EXP(-LN(2)/25)*CL189+(1-EXP(-LN(2)/25))/(LN(2)/25)*Calculateur!CG190*Calculateur!CI190*VLOOKUP('Données projet'!$B$12,Paramètres!$A$1:$I$89,3,0)*0.475*44/12</f>
        <v>0.14519418568939263</v>
      </c>
      <c r="CM190" s="21">
        <f>EXP(-LN(2)/2)*CM189+(1-EXP(-LN(2)/2))/(LN(2)/2)*CG190*CJ190*VLOOKUP('Données projet'!$B$12,Paramètres!$A$1:$I$89,3,0)*0.475*44/12</f>
        <v>5.0426619542385022E-23</v>
      </c>
      <c r="CN190" s="22">
        <f t="shared" si="172"/>
        <v>0.25269744535038996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1">
        <f t="shared" si="140"/>
        <v>27.591884256813145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67">
        <f t="shared" si="110"/>
        <v>520.16779841395021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-1.2505552149377763E-12</v>
      </c>
      <c r="O191" s="13">
        <f>N191*VLOOKUP('Données projet'!$B$9,Paramètres!$A$1:$I$89,3,0)*VLOOKUP('Données projet'!$B$9,Paramètres!$A$1:$I$89,5,0)</f>
        <v>-6.9906036515021697E-13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446.28010102877403</v>
      </c>
      <c r="T191" s="59">
        <f t="shared" si="142"/>
        <v>445.84011537290456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0.49971855577808288</v>
      </c>
      <c r="AA191" s="21">
        <f>EXP(-LN(2)/25)*AA190+(1-EXP(-LN(2)/25))/(LN(2)/25)*Calculateur!V191*Calculateur!X191*VLOOKUP('Données projet'!$B$9,Paramètres!$A$1:$I$89,3,0)*0.475*44/12</f>
        <v>0.48514056106755937</v>
      </c>
      <c r="AB191" s="21">
        <f>EXP(-LN(2)/2)*AB190+(1-EXP(-LN(2)/2))/(LN(2)/2)*V191*Y191*VLOOKUP('Données projet'!$B$9,Paramètres!$A$1:$I$89,3,0)*0.475*44/12</f>
        <v>6.0337682864049156E-23</v>
      </c>
      <c r="AC191" s="22">
        <f t="shared" si="163"/>
        <v>0.9848591168456422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>
        <f>AI191*VLOOKUP('Données projet'!$B$10,Paramètres!$A$1:$I$89,3,0)*VLOOKUP('Données projet'!$B$10,Paramètres!$A$1:$I$89,5,0)</f>
        <v>0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285.77483300338548</v>
      </c>
      <c r="AO191" s="59">
        <f t="shared" si="144"/>
        <v>320.55212417690637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0.36512205682220911</v>
      </c>
      <c r="AV191" s="21">
        <f>EXP(-LN(2)/25)*AV190+(1-EXP(-LN(2)/25))/(LN(2)/25)*Calculateur!AQ191*Calculateur!AS191*VLOOKUP('Données projet'!$B$10,Paramètres!$A$1:$I$89,3,0)*0.475*44/12</f>
        <v>0.34883924241837611</v>
      </c>
      <c r="AW191" s="21">
        <f>EXP(-LN(2)/2)*AW190+(1-EXP(-LN(2)/2))/(LN(2)/2)*AQ191*AT191*VLOOKUP('Données projet'!$B$10,Paramètres!$A$1:$I$89,3,0)*0.475*44/12</f>
        <v>4.0368384463308557E-23</v>
      </c>
      <c r="AX191" s="21">
        <f t="shared" si="166"/>
        <v>0.71396129924058527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-7.9580786405131221E-13</v>
      </c>
      <c r="BE191" s="13">
        <f>BD191*VLOOKUP('Données projet'!$B$11,Paramètres!$A$1:$I$89,3,0)*VLOOKUP('Données projet'!$B$11,Paramètres!$A$1:$I$89,5,0)</f>
        <v>-3.8278358260868117E-13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402.22278907877927</v>
      </c>
      <c r="BJ191" s="59">
        <f t="shared" si="146"/>
        <v>393.06397734082458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1.2162366113155971</v>
      </c>
      <c r="BQ191" s="21">
        <f>EXP(-LN(2)/25)*BQ190+(1-EXP(-LN(2)/25))/(LN(2)/25)*Calculateur!BL191*Calculateur!BN191*VLOOKUP('Données projet'!$B$11,Paramètres!$A$1:$I$89,3,0)*0.475*44/12</f>
        <v>0.5643870950414237</v>
      </c>
      <c r="BR191" s="21">
        <f>EXP(-LN(2)/2)*BR190+(1-EXP(-LN(2)/2))/(LN(2)/2)*BL191*BO191*VLOOKUP('Données projet'!$B$11,Paramètres!$A$1:$I$89,3,0)*0.475*44/12</f>
        <v>1.4634871040060193E-21</v>
      </c>
      <c r="BS191" s="22">
        <f t="shared" si="169"/>
        <v>1.7806237063570207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-3.4106051316484809E-13</v>
      </c>
      <c r="BZ191" s="13">
        <f>BY191*VLOOKUP('Données projet'!$B$12,Paramètres!$A$1:$I$89,3,0)*VLOOKUP('Données projet'!$B$12,Paramètres!$A$1:$I$89,5,0)</f>
        <v>-3.0859155231155454E-13</v>
      </c>
      <c r="CA191" s="13" t="e">
        <f t="shared" si="170"/>
        <v>#NUM!</v>
      </c>
      <c r="CB191" s="20" t="e">
        <f t="shared" si="171"/>
        <v>#NUM!</v>
      </c>
      <c r="CC191" s="59" t="e">
        <f t="shared" si="119"/>
        <v>#NUM!</v>
      </c>
      <c r="CD191" s="59">
        <f ca="1">AVERAGE(OFFSET($CC$3,0,0,'Données projet'!$E$12+1,1))-AVERAGE(OFFSET($H$3,0,0,'Données projet'!$E$12+1,1))</f>
        <v>363.51171608224735</v>
      </c>
      <c r="CE191" s="59">
        <f t="shared" si="148"/>
        <v>257.9239334647138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0.10539518630955899</v>
      </c>
      <c r="CL191" s="21">
        <f>EXP(-LN(2)/25)*CL190+(1-EXP(-LN(2)/25))/(LN(2)/25)*Calculateur!CG191*Calculateur!CI191*VLOOKUP('Données projet'!$B$12,Paramètres!$A$1:$I$89,3,0)*0.475*44/12</f>
        <v>0.1412238430462858</v>
      </c>
      <c r="CM191" s="21">
        <f>EXP(-LN(2)/2)*CM190+(1-EXP(-LN(2)/2))/(LN(2)/2)*CG191*CJ191*VLOOKUP('Données projet'!$B$12,Paramètres!$A$1:$I$89,3,0)*0.475*44/12</f>
        <v>3.5657004630734526E-23</v>
      </c>
      <c r="CN191" s="22">
        <f t="shared" si="172"/>
        <v>0.24661902935584479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1">
        <f t="shared" si="140"/>
        <v>27.721526045872363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67">
        <f t="shared" si="110"/>
        <v>521.34454119656175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-1.2505552149377763E-12</v>
      </c>
      <c r="O192" s="13">
        <f>N192*VLOOKUP('Données projet'!$B$9,Paramètres!$A$1:$I$89,3,0)*VLOOKUP('Données projet'!$B$9,Paramètres!$A$1:$I$89,5,0)</f>
        <v>-6.9906036515021697E-13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446.28010102877403</v>
      </c>
      <c r="T192" s="59">
        <f t="shared" si="142"/>
        <v>445.84011537290456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0.48991937969749738</v>
      </c>
      <c r="AA192" s="21">
        <f>EXP(-LN(2)/25)*AA191+(1-EXP(-LN(2)/25))/(LN(2)/25)*Calculateur!V192*Calculateur!X192*VLOOKUP('Données projet'!$B$9,Paramètres!$A$1:$I$89,3,0)*0.475*44/12</f>
        <v>0.47187436691273366</v>
      </c>
      <c r="AB192" s="21">
        <f>EXP(-LN(2)/2)*AB191+(1-EXP(-LN(2)/2))/(LN(2)/2)*V192*Y192*VLOOKUP('Données projet'!$B$9,Paramètres!$A$1:$I$89,3,0)*0.475*44/12</f>
        <v>4.2665184714252505E-23</v>
      </c>
      <c r="AC192" s="22">
        <f t="shared" si="163"/>
        <v>0.96179374661023109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>
        <f>AI192*VLOOKUP('Données projet'!$B$10,Paramètres!$A$1:$I$89,3,0)*VLOOKUP('Données projet'!$B$10,Paramètres!$A$1:$I$89,5,0)</f>
        <v>0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285.77483300338548</v>
      </c>
      <c r="AO192" s="59">
        <f t="shared" si="144"/>
        <v>320.55212417690637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0.35796223599039023</v>
      </c>
      <c r="AV192" s="21">
        <f>EXP(-LN(2)/25)*AV191+(1-EXP(-LN(2)/25))/(LN(2)/25)*Calculateur!AQ192*Calculateur!AS192*VLOOKUP('Données projet'!$B$10,Paramètres!$A$1:$I$89,3,0)*0.475*44/12</f>
        <v>0.33930021498978713</v>
      </c>
      <c r="AW192" s="21">
        <f>EXP(-LN(2)/2)*AW191+(1-EXP(-LN(2)/2))/(LN(2)/2)*AQ192*AT192*VLOOKUP('Données projet'!$B$10,Paramètres!$A$1:$I$89,3,0)*0.475*44/12</f>
        <v>2.8544758399551148E-23</v>
      </c>
      <c r="AX192" s="21">
        <f t="shared" si="166"/>
        <v>0.69726245098017736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-7.9580786405131221E-13</v>
      </c>
      <c r="BE192" s="13">
        <f>BD192*VLOOKUP('Données projet'!$B$11,Paramètres!$A$1:$I$89,3,0)*VLOOKUP('Données projet'!$B$11,Paramètres!$A$1:$I$89,5,0)</f>
        <v>-3.8278358260868117E-13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402.22278907877927</v>
      </c>
      <c r="BJ192" s="59">
        <f t="shared" si="146"/>
        <v>393.06397734082458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1.1923869531987814</v>
      </c>
      <c r="BQ192" s="21">
        <f>EXP(-LN(2)/25)*BQ191+(1-EXP(-LN(2)/25))/(LN(2)/25)*Calculateur!BL192*Calculateur!BN192*VLOOKUP('Données projet'!$B$11,Paramètres!$A$1:$I$89,3,0)*0.475*44/12</f>
        <v>0.54895390024768853</v>
      </c>
      <c r="BR192" s="21">
        <f>EXP(-LN(2)/2)*BR191+(1-EXP(-LN(2)/2))/(LN(2)/2)*BL192*BO192*VLOOKUP('Données projet'!$B$11,Paramètres!$A$1:$I$89,3,0)*0.475*44/12</f>
        <v>1.0348416554217184E-21</v>
      </c>
      <c r="BS192" s="22">
        <f t="shared" si="169"/>
        <v>1.74134085344647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-3.4106051316484809E-13</v>
      </c>
      <c r="BZ192" s="13">
        <f>BY192*VLOOKUP('Données projet'!$B$12,Paramètres!$A$1:$I$89,3,0)*VLOOKUP('Données projet'!$B$12,Paramètres!$A$1:$I$89,5,0)</f>
        <v>-3.0859155231155454E-13</v>
      </c>
      <c r="CA192" s="13" t="e">
        <f t="shared" si="170"/>
        <v>#NUM!</v>
      </c>
      <c r="CB192" s="20" t="e">
        <f t="shared" si="171"/>
        <v>#NUM!</v>
      </c>
      <c r="CC192" s="59" t="e">
        <f t="shared" si="119"/>
        <v>#NUM!</v>
      </c>
      <c r="CD192" s="59">
        <f ca="1">AVERAGE(OFFSET($CC$3,0,0,'Données projet'!$E$12+1,1))-AVERAGE(OFFSET($H$3,0,0,'Données projet'!$E$12+1,1))</f>
        <v>363.51171608224735</v>
      </c>
      <c r="CE192" s="59">
        <f t="shared" si="148"/>
        <v>257.9239334647138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0.1033284509907446</v>
      </c>
      <c r="CL192" s="21">
        <f>EXP(-LN(2)/25)*CL191+(1-EXP(-LN(2)/25))/(LN(2)/25)*Calculateur!CG192*Calculateur!CI192*VLOOKUP('Données projet'!$B$12,Paramètres!$A$1:$I$89,3,0)*0.475*44/12</f>
        <v>0.13736206963154599</v>
      </c>
      <c r="CM192" s="21">
        <f>EXP(-LN(2)/2)*CM191+(1-EXP(-LN(2)/2))/(LN(2)/2)*CG192*CJ192*VLOOKUP('Données projet'!$B$12,Paramètres!$A$1:$I$89,3,0)*0.475*44/12</f>
        <v>2.5213309771192511E-23</v>
      </c>
      <c r="CN192" s="22">
        <f t="shared" si="172"/>
        <v>0.24069052062229057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1">
        <f t="shared" si="140"/>
        <v>27.851088016239451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67">
        <f t="shared" si="110"/>
        <v>522.52114496161767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-1.2505552149377763E-12</v>
      </c>
      <c r="O193" s="13">
        <f>N193*VLOOKUP('Données projet'!$B$9,Paramètres!$A$1:$I$89,3,0)*VLOOKUP('Données projet'!$B$9,Paramètres!$A$1:$I$89,5,0)</f>
        <v>-6.9906036515021697E-13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446.28010102877403</v>
      </c>
      <c r="T193" s="59">
        <f t="shared" si="142"/>
        <v>445.84011537290456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0.48031235948294493</v>
      </c>
      <c r="AA193" s="21">
        <f>EXP(-LN(2)/25)*AA192+(1-EXP(-LN(2)/25))/(LN(2)/25)*Calculateur!V193*Calculateur!X193*VLOOKUP('Données projet'!$B$9,Paramètres!$A$1:$I$89,3,0)*0.475*44/12</f>
        <v>0.45897093753471047</v>
      </c>
      <c r="AB193" s="21">
        <f>EXP(-LN(2)/2)*AB192+(1-EXP(-LN(2)/2))/(LN(2)/2)*V193*Y193*VLOOKUP('Données projet'!$B$9,Paramètres!$A$1:$I$89,3,0)*0.475*44/12</f>
        <v>3.0168841432024578E-23</v>
      </c>
      <c r="AC193" s="22">
        <f t="shared" si="163"/>
        <v>0.93928329701765545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>
        <f>AI193*VLOOKUP('Données projet'!$B$10,Paramètres!$A$1:$I$89,3,0)*VLOOKUP('Données projet'!$B$10,Paramètres!$A$1:$I$89,5,0)</f>
        <v>0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285.77483300338548</v>
      </c>
      <c r="AO193" s="59">
        <f t="shared" si="144"/>
        <v>320.55212417690637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0.35094281487802381</v>
      </c>
      <c r="AV193" s="21">
        <f>EXP(-LN(2)/25)*AV192+(1-EXP(-LN(2)/25))/(LN(2)/25)*Calculateur!AQ193*Calculateur!AS193*VLOOKUP('Données projet'!$B$10,Paramètres!$A$1:$I$89,3,0)*0.475*44/12</f>
        <v>0.33002203276786857</v>
      </c>
      <c r="AW193" s="21">
        <f>EXP(-LN(2)/2)*AW192+(1-EXP(-LN(2)/2))/(LN(2)/2)*AQ193*AT193*VLOOKUP('Données projet'!$B$10,Paramètres!$A$1:$I$89,3,0)*0.475*44/12</f>
        <v>2.0184192231654279E-23</v>
      </c>
      <c r="AX193" s="21">
        <f t="shared" si="166"/>
        <v>0.68096484764589238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-7.9580786405131221E-13</v>
      </c>
      <c r="BE193" s="13">
        <f>BD193*VLOOKUP('Données projet'!$B$11,Paramètres!$A$1:$I$89,3,0)*VLOOKUP('Données projet'!$B$11,Paramètres!$A$1:$I$89,5,0)</f>
        <v>-3.8278358260868117E-13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402.22278907877927</v>
      </c>
      <c r="BJ193" s="59">
        <f t="shared" si="146"/>
        <v>393.06397734082458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1.1690049723307814</v>
      </c>
      <c r="BQ193" s="21">
        <f>EXP(-LN(2)/25)*BQ192+(1-EXP(-LN(2)/25))/(LN(2)/25)*Calculateur!BL193*Calculateur!BN193*VLOOKUP('Données projet'!$B$11,Paramètres!$A$1:$I$89,3,0)*0.475*44/12</f>
        <v>0.53394272697718448</v>
      </c>
      <c r="BR193" s="21">
        <f>EXP(-LN(2)/2)*BR192+(1-EXP(-LN(2)/2))/(LN(2)/2)*BL193*BO193*VLOOKUP('Données projet'!$B$11,Paramètres!$A$1:$I$89,3,0)*0.475*44/12</f>
        <v>7.3174355200300965E-22</v>
      </c>
      <c r="BS193" s="22">
        <f t="shared" si="169"/>
        <v>1.7029476993079657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-3.4106051316484809E-13</v>
      </c>
      <c r="BZ193" s="13">
        <f>BY193*VLOOKUP('Données projet'!$B$12,Paramètres!$A$1:$I$89,3,0)*VLOOKUP('Données projet'!$B$12,Paramètres!$A$1:$I$89,5,0)</f>
        <v>-3.0859155231155454E-13</v>
      </c>
      <c r="CA193" s="13" t="e">
        <f t="shared" si="170"/>
        <v>#NUM!</v>
      </c>
      <c r="CB193" s="20" t="e">
        <f t="shared" si="171"/>
        <v>#NUM!</v>
      </c>
      <c r="CC193" s="59" t="e">
        <f t="shared" si="119"/>
        <v>#NUM!</v>
      </c>
      <c r="CD193" s="59">
        <f ca="1">AVERAGE(OFFSET($CC$3,0,0,'Données projet'!$E$12+1,1))-AVERAGE(OFFSET($H$3,0,0,'Données projet'!$E$12+1,1))</f>
        <v>363.51171608224735</v>
      </c>
      <c r="CE193" s="59">
        <f t="shared" si="148"/>
        <v>257.9239334647138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0.10130224309094808</v>
      </c>
      <c r="CL193" s="21">
        <f>EXP(-LN(2)/25)*CL192+(1-EXP(-LN(2)/25))/(LN(2)/25)*Calculateur!CG193*Calculateur!CI193*VLOOKUP('Données projet'!$B$12,Paramètres!$A$1:$I$89,3,0)*0.475*44/12</f>
        <v>0.13360589661391406</v>
      </c>
      <c r="CM193" s="21">
        <f>EXP(-LN(2)/2)*CM192+(1-EXP(-LN(2)/2))/(LN(2)/2)*CG193*CJ193*VLOOKUP('Données projet'!$B$12,Paramètres!$A$1:$I$89,3,0)*0.475*44/12</f>
        <v>1.7828502315367263E-23</v>
      </c>
      <c r="CN193" s="22">
        <f t="shared" si="172"/>
        <v>0.23490813970486213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1">
        <f t="shared" si="140"/>
        <v>27.98057063677302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67">
        <f t="shared" si="110"/>
        <v>523.69761052571369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-1.2505552149377763E-12</v>
      </c>
      <c r="O194" s="13">
        <f>N194*VLOOKUP('Données projet'!$B$9,Paramètres!$A$1:$I$89,3,0)*VLOOKUP('Données projet'!$B$9,Paramètres!$A$1:$I$89,5,0)</f>
        <v>-6.9906036515021697E-13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446.28010102877403</v>
      </c>
      <c r="T194" s="59">
        <f t="shared" si="142"/>
        <v>445.84011537290456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0.47089372707509608</v>
      </c>
      <c r="AA194" s="21">
        <f>EXP(-LN(2)/25)*AA193+(1-EXP(-LN(2)/25))/(LN(2)/25)*Calculateur!V194*Calculateur!X194*VLOOKUP('Données projet'!$B$9,Paramètres!$A$1:$I$89,3,0)*0.475*44/12</f>
        <v>0.44642035311159117</v>
      </c>
      <c r="AB194" s="21">
        <f>EXP(-LN(2)/2)*AB193+(1-EXP(-LN(2)/2))/(LN(2)/2)*V194*Y194*VLOOKUP('Données projet'!$B$9,Paramètres!$A$1:$I$89,3,0)*0.475*44/12</f>
        <v>2.1332592357126253E-23</v>
      </c>
      <c r="AC194" s="22">
        <f t="shared" si="163"/>
        <v>0.91731408018668725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>
        <f>AI194*VLOOKUP('Données projet'!$B$10,Paramètres!$A$1:$I$89,3,0)*VLOOKUP('Données projet'!$B$10,Paramètres!$A$1:$I$89,5,0)</f>
        <v>0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285.77483300338548</v>
      </c>
      <c r="AO194" s="59">
        <f t="shared" si="144"/>
        <v>320.55212417690637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0.34406104033224677</v>
      </c>
      <c r="AV194" s="21">
        <f>EXP(-LN(2)/25)*AV193+(1-EXP(-LN(2)/25))/(LN(2)/25)*Calculateur!AQ194*Calculateur!AS194*VLOOKUP('Données projet'!$B$10,Paramètres!$A$1:$I$89,3,0)*0.475*44/12</f>
        <v>0.32099756292672676</v>
      </c>
      <c r="AW194" s="21">
        <f>EXP(-LN(2)/2)*AW193+(1-EXP(-LN(2)/2))/(LN(2)/2)*AQ194*AT194*VLOOKUP('Données projet'!$B$10,Paramètres!$A$1:$I$89,3,0)*0.475*44/12</f>
        <v>1.4272379199775574E-23</v>
      </c>
      <c r="AX194" s="21">
        <f t="shared" si="166"/>
        <v>0.66505860325897359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-7.9580786405131221E-13</v>
      </c>
      <c r="BE194" s="13">
        <f>BD194*VLOOKUP('Données projet'!$B$11,Paramètres!$A$1:$I$89,3,0)*VLOOKUP('Données projet'!$B$11,Paramètres!$A$1:$I$89,5,0)</f>
        <v>-3.8278358260868117E-13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402.22278907877927</v>
      </c>
      <c r="BJ194" s="59">
        <f t="shared" si="146"/>
        <v>393.06397734082458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1.1460814978460028</v>
      </c>
      <c r="BQ194" s="21">
        <f>EXP(-LN(2)/25)*BQ193+(1-EXP(-LN(2)/25))/(LN(2)/25)*Calculateur!BL194*Calculateur!BN194*VLOOKUP('Données projet'!$B$11,Paramètres!$A$1:$I$89,3,0)*0.475*44/12</f>
        <v>0.51934203502916565</v>
      </c>
      <c r="BR194" s="21">
        <f>EXP(-LN(2)/2)*BR193+(1-EXP(-LN(2)/2))/(LN(2)/2)*BL194*BO194*VLOOKUP('Données projet'!$B$11,Paramètres!$A$1:$I$89,3,0)*0.475*44/12</f>
        <v>5.1742082771085919E-22</v>
      </c>
      <c r="BS194" s="22">
        <f t="shared" si="169"/>
        <v>1.6654235328751685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-3.4106051316484809E-13</v>
      </c>
      <c r="BZ194" s="13">
        <f>BY194*VLOOKUP('Données projet'!$B$12,Paramètres!$A$1:$I$89,3,0)*VLOOKUP('Données projet'!$B$12,Paramètres!$A$1:$I$89,5,0)</f>
        <v>-3.0859155231155454E-13</v>
      </c>
      <c r="CA194" s="13" t="e">
        <f t="shared" si="170"/>
        <v>#NUM!</v>
      </c>
      <c r="CB194" s="20" t="e">
        <f t="shared" si="171"/>
        <v>#NUM!</v>
      </c>
      <c r="CC194" s="59" t="e">
        <f t="shared" si="119"/>
        <v>#NUM!</v>
      </c>
      <c r="CD194" s="59">
        <f ca="1">AVERAGE(OFFSET($CC$3,0,0,'Données projet'!$E$12+1,1))-AVERAGE(OFFSET($H$3,0,0,'Données projet'!$E$12+1,1))</f>
        <v>363.51171608224735</v>
      </c>
      <c r="CE194" s="59">
        <f t="shared" si="148"/>
        <v>257.9239334647138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9.9315767892201798E-2</v>
      </c>
      <c r="CL194" s="21">
        <f>EXP(-LN(2)/25)*CL193+(1-EXP(-LN(2)/25))/(LN(2)/25)*Calculateur!CG194*Calculateur!CI194*VLOOKUP('Données projet'!$B$12,Paramètres!$A$1:$I$89,3,0)*0.475*44/12</f>
        <v>0.12995243634497783</v>
      </c>
      <c r="CM194" s="21">
        <f>EXP(-LN(2)/2)*CM193+(1-EXP(-LN(2)/2))/(LN(2)/2)*CG194*CJ194*VLOOKUP('Données projet'!$B$12,Paramètres!$A$1:$I$89,3,0)*0.475*44/12</f>
        <v>1.2606654885596255E-23</v>
      </c>
      <c r="CN194" s="22">
        <f t="shared" si="172"/>
        <v>0.22926820423717964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1">
        <f t="shared" si="140"/>
        <v>28.10997437113782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67">
        <f t="shared" si="110"/>
        <v>524.87393869639902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-1.2505552149377763E-12</v>
      </c>
      <c r="O195" s="13">
        <f>N195*VLOOKUP('Données projet'!$B$9,Paramètres!$A$1:$I$89,3,0)*VLOOKUP('Données projet'!$B$9,Paramètres!$A$1:$I$89,5,0)</f>
        <v>-6.9906036515021697E-13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446.28010102877403</v>
      </c>
      <c r="T195" s="59">
        <f t="shared" si="142"/>
        <v>445.84011537290456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0.46165978830396665</v>
      </c>
      <c r="AA195" s="21">
        <f>EXP(-LN(2)/25)*AA194+(1-EXP(-LN(2)/25))/(LN(2)/25)*Calculateur!V195*Calculateur!X195*VLOOKUP('Données projet'!$B$9,Paramètres!$A$1:$I$89,3,0)*0.475*44/12</f>
        <v>0.43421296507952867</v>
      </c>
      <c r="AB195" s="21">
        <f>EXP(-LN(2)/2)*AB194+(1-EXP(-LN(2)/2))/(LN(2)/2)*V195*Y195*VLOOKUP('Données projet'!$B$9,Paramètres!$A$1:$I$89,3,0)*0.475*44/12</f>
        <v>1.5084420716012289E-23</v>
      </c>
      <c r="AC195" s="22">
        <f t="shared" si="163"/>
        <v>0.89587275338349537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>
        <f>AI195*VLOOKUP('Données projet'!$B$10,Paramètres!$A$1:$I$89,3,0)*VLOOKUP('Données projet'!$B$10,Paramètres!$A$1:$I$89,5,0)</f>
        <v>0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285.77483300338548</v>
      </c>
      <c r="AO195" s="59">
        <f t="shared" si="144"/>
        <v>320.55212417690637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0.33731421318784438</v>
      </c>
      <c r="AV195" s="21">
        <f>EXP(-LN(2)/25)*AV194+(1-EXP(-LN(2)/25))/(LN(2)/25)*Calculateur!AQ195*Calculateur!AS195*VLOOKUP('Données projet'!$B$10,Paramètres!$A$1:$I$89,3,0)*0.475*44/12</f>
        <v>0.31221986768796722</v>
      </c>
      <c r="AW195" s="21">
        <f>EXP(-LN(2)/2)*AW194+(1-EXP(-LN(2)/2))/(LN(2)/2)*AQ195*AT195*VLOOKUP('Données projet'!$B$10,Paramètres!$A$1:$I$89,3,0)*0.475*44/12</f>
        <v>1.0092096115827139E-23</v>
      </c>
      <c r="AX195" s="21">
        <f t="shared" si="166"/>
        <v>0.64953408087581166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-7.9580786405131221E-13</v>
      </c>
      <c r="BE195" s="13">
        <f>BD195*VLOOKUP('Données projet'!$B$11,Paramètres!$A$1:$I$89,3,0)*VLOOKUP('Données projet'!$B$11,Paramètres!$A$1:$I$89,5,0)</f>
        <v>-3.8278358260868117E-13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402.22278907877927</v>
      </c>
      <c r="BJ195" s="59">
        <f t="shared" si="146"/>
        <v>393.06397734082458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1.1236075387139317</v>
      </c>
      <c r="BQ195" s="21">
        <f>EXP(-LN(2)/25)*BQ194+(1-EXP(-LN(2)/25))/(LN(2)/25)*Calculateur!BL195*Calculateur!BN195*VLOOKUP('Données projet'!$B$11,Paramètres!$A$1:$I$89,3,0)*0.475*44/12</f>
        <v>0.50514059977028247</v>
      </c>
      <c r="BR195" s="21">
        <f>EXP(-LN(2)/2)*BR194+(1-EXP(-LN(2)/2))/(LN(2)/2)*BL195*BO195*VLOOKUP('Données projet'!$B$11,Paramètres!$A$1:$I$89,3,0)*0.475*44/12</f>
        <v>3.6587177600150482E-22</v>
      </c>
      <c r="BS195" s="22">
        <f t="shared" si="169"/>
        <v>1.6287481384842142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-3.4106051316484809E-13</v>
      </c>
      <c r="BZ195" s="13">
        <f>BY195*VLOOKUP('Données projet'!$B$12,Paramètres!$A$1:$I$89,3,0)*VLOOKUP('Données projet'!$B$12,Paramètres!$A$1:$I$89,5,0)</f>
        <v>-3.0859155231155454E-13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363.51171608224735</v>
      </c>
      <c r="CE195" s="59">
        <f t="shared" si="148"/>
        <v>257.9239334647138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9.7368246260472691E-2</v>
      </c>
      <c r="CL195" s="21">
        <f>EXP(-LN(2)/25)*CL194+(1-EXP(-LN(2)/25))/(LN(2)/25)*Calculateur!CG195*Calculateur!CI195*VLOOKUP('Données projet'!$B$12,Paramètres!$A$1:$I$89,3,0)*0.475*44/12</f>
        <v>0.12639888013922279</v>
      </c>
      <c r="CM195" s="21">
        <f>EXP(-LN(2)/2)*CM194+(1-EXP(-LN(2)/2))/(LN(2)/2)*CG195*CJ195*VLOOKUP('Données projet'!$B$12,Paramètres!$A$1:$I$89,3,0)*0.475*44/12</f>
        <v>8.9142511576836316E-24</v>
      </c>
      <c r="CN195" s="22">
        <f t="shared" si="172"/>
        <v>0.22376712639969548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1">
        <f t="shared" si="140"/>
        <v>28.239299677889207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67">
        <f t="shared" ref="H196:H203" si="192">(B196+E196+F196)*44/12+(C196+D196)*0.475*44/12</f>
        <v>526.0501302723244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-1.2505552149377763E-12</v>
      </c>
      <c r="O196" s="13">
        <f>N196*VLOOKUP('Données projet'!$B$9,Paramètres!$A$1:$I$89,3,0)*VLOOKUP('Données projet'!$B$9,Paramètres!$A$1:$I$89,5,0)</f>
        <v>-6.9906036515021697E-13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446.28010102877403</v>
      </c>
      <c r="T196" s="59">
        <f t="shared" si="142"/>
        <v>445.84011537290456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0.45260692143999254</v>
      </c>
      <c r="AA196" s="21">
        <f>EXP(-LN(2)/25)*AA195+(1-EXP(-LN(2)/25))/(LN(2)/25)*Calculateur!V196*Calculateur!X196*VLOOKUP('Données projet'!$B$9,Paramètres!$A$1:$I$89,3,0)*0.475*44/12</f>
        <v>0.42233938871516152</v>
      </c>
      <c r="AB196" s="21">
        <f>EXP(-LN(2)/2)*AB195+(1-EXP(-LN(2)/2))/(LN(2)/2)*V196*Y196*VLOOKUP('Données projet'!$B$9,Paramètres!$A$1:$I$89,3,0)*0.475*44/12</f>
        <v>1.0666296178563126E-23</v>
      </c>
      <c r="AC196" s="22">
        <f t="shared" si="163"/>
        <v>0.87494631015515401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>
        <f>AI196*VLOOKUP('Données projet'!$B$10,Paramètres!$A$1:$I$89,3,0)*VLOOKUP('Données projet'!$B$10,Paramètres!$A$1:$I$89,5,0)</f>
        <v>0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285.77483300338548</v>
      </c>
      <c r="AO196" s="59">
        <f t="shared" si="144"/>
        <v>320.55212417690637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0.3306996872085855</v>
      </c>
      <c r="AV196" s="21">
        <f>EXP(-LN(2)/25)*AV195+(1-EXP(-LN(2)/25))/(LN(2)/25)*Calculateur!AQ196*Calculateur!AS196*VLOOKUP('Données projet'!$B$10,Paramètres!$A$1:$I$89,3,0)*0.475*44/12</f>
        <v>0.30368219898711052</v>
      </c>
      <c r="AW196" s="21">
        <f>EXP(-LN(2)/2)*AW195+(1-EXP(-LN(2)/2))/(LN(2)/2)*AQ196*AT196*VLOOKUP('Données projet'!$B$10,Paramètres!$A$1:$I$89,3,0)*0.475*44/12</f>
        <v>7.1361895998877871E-24</v>
      </c>
      <c r="AX196" s="21">
        <f t="shared" si="166"/>
        <v>0.63438188619569602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-7.9580786405131221E-13</v>
      </c>
      <c r="BE196" s="13">
        <f>BD196*VLOOKUP('Données projet'!$B$11,Paramètres!$A$1:$I$89,3,0)*VLOOKUP('Données projet'!$B$11,Paramètres!$A$1:$I$89,5,0)</f>
        <v>-3.8278358260868117E-13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402.22278907877927</v>
      </c>
      <c r="BJ196" s="59">
        <f t="shared" si="146"/>
        <v>393.06397734082458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1.1015742802126791</v>
      </c>
      <c r="BQ196" s="21">
        <f>EXP(-LN(2)/25)*BQ195+(1-EXP(-LN(2)/25))/(LN(2)/25)*Calculateur!BL196*Calculateur!BN196*VLOOKUP('Données projet'!$B$11,Paramètres!$A$1:$I$89,3,0)*0.475*44/12</f>
        <v>0.49132750350537446</v>
      </c>
      <c r="BR196" s="21">
        <f>EXP(-LN(2)/2)*BR195+(1-EXP(-LN(2)/2))/(LN(2)/2)*BL196*BO196*VLOOKUP('Données projet'!$B$11,Paramètres!$A$1:$I$89,3,0)*0.475*44/12</f>
        <v>2.587104138554296E-22</v>
      </c>
      <c r="BS196" s="22">
        <f t="shared" si="169"/>
        <v>1.5929017837180535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-3.4106051316484809E-13</v>
      </c>
      <c r="BZ196" s="13">
        <f>BY196*VLOOKUP('Données projet'!$B$12,Paramètres!$A$1:$I$89,3,0)*VLOOKUP('Données projet'!$B$12,Paramètres!$A$1:$I$89,5,0)</f>
        <v>-3.0859155231155454E-13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363.51171608224735</v>
      </c>
      <c r="CE196" s="59">
        <f t="shared" si="148"/>
        <v>257.9239334647138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9.545891434007088E-2</v>
      </c>
      <c r="CL196" s="21">
        <f>EXP(-LN(2)/25)*CL195+(1-EXP(-LN(2)/25))/(LN(2)/25)*Calculateur!CG196*Calculateur!CI196*VLOOKUP('Données projet'!$B$12,Paramètres!$A$1:$I$89,3,0)*0.475*44/12</f>
        <v>0.12294249611478753</v>
      </c>
      <c r="CM196" s="21">
        <f>EXP(-LN(2)/2)*CM195+(1-EXP(-LN(2)/2))/(LN(2)/2)*CG196*CJ196*VLOOKUP('Données projet'!$B$12,Paramètres!$A$1:$I$89,3,0)*0.475*44/12</f>
        <v>6.3033274427981277E-24</v>
      </c>
      <c r="CN196" s="22">
        <f t="shared" si="172"/>
        <v>0.21840141045485839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1">
        <f t="shared" ref="D197:D203" si="202">IFERROR(EXP(-1.0587+0.8836*LN(C197)+0.284),0)</f>
        <v>28.368547010555559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67">
        <f t="shared" si="192"/>
        <v>527.22618604338504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-1.2505552149377763E-12</v>
      </c>
      <c r="O197" s="13">
        <f>N197*VLOOKUP('Données projet'!$B$9,Paramètres!$A$1:$I$89,3,0)*VLOOKUP('Données projet'!$B$9,Paramètres!$A$1:$I$89,5,0)</f>
        <v>-6.9906036515021697E-13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446.28010102877403</v>
      </c>
      <c r="T197" s="59">
        <f t="shared" ref="T197:T203" si="204">$T$3</f>
        <v>445.84011537290456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0.44373157577351741</v>
      </c>
      <c r="AA197" s="21">
        <f>EXP(-LN(2)/25)*AA196+(1-EXP(-LN(2)/25))/(LN(2)/25)*Calculateur!V197*Calculateur!X197*VLOOKUP('Données projet'!$B$9,Paramètres!$A$1:$I$89,3,0)*0.475*44/12</f>
        <v>0.41079049592088224</v>
      </c>
      <c r="AB197" s="21">
        <f>EXP(-LN(2)/2)*AB196+(1-EXP(-LN(2)/2))/(LN(2)/2)*V197*Y197*VLOOKUP('Données projet'!$B$9,Paramètres!$A$1:$I$89,3,0)*0.475*44/12</f>
        <v>7.5422103580061445E-24</v>
      </c>
      <c r="AC197" s="22">
        <f t="shared" si="163"/>
        <v>0.85452207169439964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>
        <f>AI197*VLOOKUP('Données projet'!$B$10,Paramètres!$A$1:$I$89,3,0)*VLOOKUP('Données projet'!$B$10,Paramètres!$A$1:$I$89,5,0)</f>
        <v>0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285.77483300338548</v>
      </c>
      <c r="AO197" s="59">
        <f t="shared" ref="AO197:AO203" si="205">$AO$3</f>
        <v>320.55212417690637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0.32421486804931743</v>
      </c>
      <c r="AV197" s="21">
        <f>EXP(-LN(2)/25)*AV196+(1-EXP(-LN(2)/25))/(LN(2)/25)*Calculateur!AQ197*Calculateur!AS197*VLOOKUP('Données projet'!$B$10,Paramètres!$A$1:$I$89,3,0)*0.475*44/12</f>
        <v>0.29537799328585523</v>
      </c>
      <c r="AW197" s="21">
        <f>EXP(-LN(2)/2)*AW196+(1-EXP(-LN(2)/2))/(LN(2)/2)*AQ197*AT197*VLOOKUP('Données projet'!$B$10,Paramètres!$A$1:$I$89,3,0)*0.475*44/12</f>
        <v>5.0460480579135697E-24</v>
      </c>
      <c r="AX197" s="21">
        <f t="shared" si="166"/>
        <v>0.61959286133517266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-7.9580786405131221E-13</v>
      </c>
      <c r="BE197" s="13">
        <f>BD197*VLOOKUP('Données projet'!$B$11,Paramètres!$A$1:$I$89,3,0)*VLOOKUP('Données projet'!$B$11,Paramètres!$A$1:$I$89,5,0)</f>
        <v>-3.8278358260868117E-13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402.22278907877927</v>
      </c>
      <c r="BJ197" s="59">
        <f t="shared" ref="BJ197:BJ203" si="206">$BJ$3</f>
        <v>393.06397734082458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1.0799730804716754</v>
      </c>
      <c r="BQ197" s="21">
        <f>EXP(-LN(2)/25)*BQ196+(1-EXP(-LN(2)/25))/(LN(2)/25)*Calculateur!BL197*Calculateur!BN197*VLOOKUP('Données projet'!$B$11,Paramètres!$A$1:$I$89,3,0)*0.475*44/12</f>
        <v>0.47789212708422951</v>
      </c>
      <c r="BR197" s="21">
        <f>EXP(-LN(2)/2)*BR196+(1-EXP(-LN(2)/2))/(LN(2)/2)*BL197*BO197*VLOOKUP('Données projet'!$B$11,Paramètres!$A$1:$I$89,3,0)*0.475*44/12</f>
        <v>1.8293588800075241E-22</v>
      </c>
      <c r="BS197" s="22">
        <f t="shared" si="169"/>
        <v>1.557865207555905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-3.4106051316484809E-13</v>
      </c>
      <c r="BZ197" s="13">
        <f>BY197*VLOOKUP('Données projet'!$B$12,Paramètres!$A$1:$I$89,3,0)*VLOOKUP('Données projet'!$B$12,Paramètres!$A$1:$I$89,5,0)</f>
        <v>-3.0859155231155454E-13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363.51171608224735</v>
      </c>
      <c r="CE197" s="59">
        <f t="shared" ref="CE197:CE203" si="207">$CE$3</f>
        <v>257.9239334647138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9.3587023254050675E-2</v>
      </c>
      <c r="CL197" s="21">
        <f>EXP(-LN(2)/25)*CL196+(1-EXP(-LN(2)/25))/(LN(2)/25)*Calculateur!CG197*Calculateur!CI197*VLOOKUP('Données projet'!$B$12,Paramètres!$A$1:$I$89,3,0)*0.475*44/12</f>
        <v>0.11958062709326378</v>
      </c>
      <c r="CM197" s="21">
        <f>EXP(-LN(2)/2)*CM196+(1-EXP(-LN(2)/2))/(LN(2)/2)*CG197*CJ197*VLOOKUP('Données projet'!$B$12,Paramètres!$A$1:$I$89,3,0)*0.475*44/12</f>
        <v>4.4571255788418158E-24</v>
      </c>
      <c r="CN197" s="22">
        <f t="shared" si="172"/>
        <v>0.21316765034731444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1">
        <f t="shared" si="202"/>
        <v>28.497716817719009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67">
        <f t="shared" si="192"/>
        <v>528.40210679086135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-1.2505552149377763E-12</v>
      </c>
      <c r="O198" s="13">
        <f>N198*VLOOKUP('Données projet'!$B$9,Paramètres!$A$1:$I$89,3,0)*VLOOKUP('Données projet'!$B$9,Paramètres!$A$1:$I$89,5,0)</f>
        <v>-6.9906036515021697E-13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446.28010102877403</v>
      </c>
      <c r="T198" s="59">
        <f t="shared" si="204"/>
        <v>445.84011537290456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0.43503027022213553</v>
      </c>
      <c r="AA198" s="21">
        <f>EXP(-LN(2)/25)*AA197+(1-EXP(-LN(2)/25))/(LN(2)/25)*Calculateur!V198*Calculateur!X198*VLOOKUP('Données projet'!$B$9,Paramètres!$A$1:$I$89,3,0)*0.475*44/12</f>
        <v>0.39955740820739238</v>
      </c>
      <c r="AB198" s="21">
        <f>EXP(-LN(2)/2)*AB197+(1-EXP(-LN(2)/2))/(LN(2)/2)*V198*Y198*VLOOKUP('Données projet'!$B$9,Paramètres!$A$1:$I$89,3,0)*0.475*44/12</f>
        <v>5.3331480892815631E-24</v>
      </c>
      <c r="AC198" s="22">
        <f t="shared" si="163"/>
        <v>0.83458767842952786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>
        <f>AI198*VLOOKUP('Données projet'!$B$10,Paramètres!$A$1:$I$89,3,0)*VLOOKUP('Données projet'!$B$10,Paramètres!$A$1:$I$89,5,0)</f>
        <v>0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285.77483300338548</v>
      </c>
      <c r="AO198" s="59">
        <f t="shared" si="205"/>
        <v>320.55212417690637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0.31785721223841346</v>
      </c>
      <c r="AV198" s="21">
        <f>EXP(-LN(2)/25)*AV197+(1-EXP(-LN(2)/25))/(LN(2)/25)*Calculateur!AQ198*Calculateur!AS198*VLOOKUP('Données projet'!$B$10,Paramètres!$A$1:$I$89,3,0)*0.475*44/12</f>
        <v>0.28730086652619996</v>
      </c>
      <c r="AW198" s="21">
        <f>EXP(-LN(2)/2)*AW197+(1-EXP(-LN(2)/2))/(LN(2)/2)*AQ198*AT198*VLOOKUP('Données projet'!$B$10,Paramètres!$A$1:$I$89,3,0)*0.475*44/12</f>
        <v>3.5680947999438935E-24</v>
      </c>
      <c r="AX198" s="21">
        <f t="shared" si="166"/>
        <v>0.60515807876461336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-7.9580786405131221E-13</v>
      </c>
      <c r="BE198" s="13">
        <f>BD198*VLOOKUP('Données projet'!$B$11,Paramètres!$A$1:$I$89,3,0)*VLOOKUP('Données projet'!$B$11,Paramètres!$A$1:$I$89,5,0)</f>
        <v>-3.8278358260868117E-13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402.22278907877927</v>
      </c>
      <c r="BJ198" s="59">
        <f t="shared" si="206"/>
        <v>393.06397734082458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1.0587954670821618</v>
      </c>
      <c r="BQ198" s="21">
        <f>EXP(-LN(2)/25)*BQ197+(1-EXP(-LN(2)/25))/(LN(2)/25)*Calculateur!BL198*Calculateur!BN198*VLOOKUP('Données projet'!$B$11,Paramètres!$A$1:$I$89,3,0)*0.475*44/12</f>
        <v>0.46482414173785652</v>
      </c>
      <c r="BR198" s="21">
        <f>EXP(-LN(2)/2)*BR197+(1-EXP(-LN(2)/2))/(LN(2)/2)*BL198*BO198*VLOOKUP('Données projet'!$B$11,Paramètres!$A$1:$I$89,3,0)*0.475*44/12</f>
        <v>1.293552069277148E-22</v>
      </c>
      <c r="BS198" s="22">
        <f t="shared" si="169"/>
        <v>1.5236196088200182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-3.4106051316484809E-13</v>
      </c>
      <c r="BZ198" s="13">
        <f>BY198*VLOOKUP('Données projet'!$B$12,Paramètres!$A$1:$I$89,3,0)*VLOOKUP('Données projet'!$B$12,Paramètres!$A$1:$I$89,5,0)</f>
        <v>-3.0859155231155454E-13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363.51171608224735</v>
      </c>
      <c r="CE198" s="59">
        <f t="shared" si="207"/>
        <v>257.9239334647138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9.17518388104865E-2</v>
      </c>
      <c r="CL198" s="21">
        <f>EXP(-LN(2)/25)*CL197+(1-EXP(-LN(2)/25))/(LN(2)/25)*Calculateur!CG198*Calculateur!CI198*VLOOKUP('Données projet'!$B$12,Paramètres!$A$1:$I$89,3,0)*0.475*44/12</f>
        <v>0.11631068855692661</v>
      </c>
      <c r="CM198" s="21">
        <f>EXP(-LN(2)/2)*CM197+(1-EXP(-LN(2)/2))/(LN(2)/2)*CG198*CJ198*VLOOKUP('Données projet'!$B$12,Paramètres!$A$1:$I$89,3,0)*0.475*44/12</f>
        <v>3.1516637213990639E-24</v>
      </c>
      <c r="CN198" s="22">
        <f t="shared" si="172"/>
        <v>0.2080625273674131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1">
        <f t="shared" si="202"/>
        <v>28.626809543094431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67">
        <f t="shared" si="192"/>
        <v>529.57789328755689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-1.2505552149377763E-12</v>
      </c>
      <c r="O199" s="13">
        <f>N199*VLOOKUP('Données projet'!$B$9,Paramètres!$A$1:$I$89,3,0)*VLOOKUP('Données projet'!$B$9,Paramètres!$A$1:$I$89,5,0)</f>
        <v>-6.9906036515021697E-13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446.28010102877403</v>
      </c>
      <c r="T199" s="59">
        <f t="shared" si="204"/>
        <v>445.84011537290456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0.42649959196534393</v>
      </c>
      <c r="AA199" s="21">
        <f>EXP(-LN(2)/25)*AA198+(1-EXP(-LN(2)/25))/(LN(2)/25)*Calculateur!V199*Calculateur!X199*VLOOKUP('Données projet'!$B$9,Paramètres!$A$1:$I$89,3,0)*0.475*44/12</f>
        <v>0.38863148986815033</v>
      </c>
      <c r="AB199" s="21">
        <f>EXP(-LN(2)/2)*AB198+(1-EXP(-LN(2)/2))/(LN(2)/2)*V199*Y199*VLOOKUP('Données projet'!$B$9,Paramètres!$A$1:$I$89,3,0)*0.475*44/12</f>
        <v>3.7711051790030722E-24</v>
      </c>
      <c r="AC199" s="22">
        <f t="shared" si="163"/>
        <v>0.81513108183349425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>
        <f>AI199*VLOOKUP('Données projet'!$B$10,Paramètres!$A$1:$I$89,3,0)*VLOOKUP('Données projet'!$B$10,Paramètres!$A$1:$I$89,5,0)</f>
        <v>0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285.77483300338548</v>
      </c>
      <c r="AO199" s="59">
        <f t="shared" si="205"/>
        <v>320.55212417690637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0.31162422618017421</v>
      </c>
      <c r="AV199" s="21">
        <f>EXP(-LN(2)/25)*AV198+(1-EXP(-LN(2)/25))/(LN(2)/25)*Calculateur!AQ199*Calculateur!AS199*VLOOKUP('Données projet'!$B$10,Paramètres!$A$1:$I$89,3,0)*0.475*44/12</f>
        <v>0.2794446092225451</v>
      </c>
      <c r="AW199" s="21">
        <f>EXP(-LN(2)/2)*AW198+(1-EXP(-LN(2)/2))/(LN(2)/2)*AQ199*AT199*VLOOKUP('Données projet'!$B$10,Paramètres!$A$1:$I$89,3,0)*0.475*44/12</f>
        <v>2.5230240289567848E-24</v>
      </c>
      <c r="AX199" s="21">
        <f t="shared" si="166"/>
        <v>0.59106883540271937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-7.9580786405131221E-13</v>
      </c>
      <c r="BE199" s="13">
        <f>BD199*VLOOKUP('Données projet'!$B$11,Paramètres!$A$1:$I$89,3,0)*VLOOKUP('Données projet'!$B$11,Paramètres!$A$1:$I$89,5,0)</f>
        <v>-3.8278358260868117E-13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402.22278907877927</v>
      </c>
      <c r="BJ199" s="59">
        <f t="shared" si="206"/>
        <v>393.06397734082458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1.038033133774148</v>
      </c>
      <c r="BQ199" s="21">
        <f>EXP(-LN(2)/25)*BQ198+(1-EXP(-LN(2)/25))/(LN(2)/25)*Calculateur!BL199*Calculateur!BN199*VLOOKUP('Données projet'!$B$11,Paramètres!$A$1:$I$89,3,0)*0.475*44/12</f>
        <v>0.45211350113799559</v>
      </c>
      <c r="BR199" s="21">
        <f>EXP(-LN(2)/2)*BR198+(1-EXP(-LN(2)/2))/(LN(2)/2)*BL199*BO199*VLOOKUP('Données projet'!$B$11,Paramètres!$A$1:$I$89,3,0)*0.475*44/12</f>
        <v>9.1467944000376206E-23</v>
      </c>
      <c r="BS199" s="22">
        <f t="shared" si="169"/>
        <v>1.4901466349121435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-3.4106051316484809E-13</v>
      </c>
      <c r="BZ199" s="13">
        <f>BY199*VLOOKUP('Données projet'!$B$12,Paramètres!$A$1:$I$89,3,0)*VLOOKUP('Données projet'!$B$12,Paramètres!$A$1:$I$89,5,0)</f>
        <v>-3.0859155231155454E-13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363.51171608224735</v>
      </c>
      <c r="CE199" s="59">
        <f t="shared" si="207"/>
        <v>257.9239334647138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8.9952641214508633E-2</v>
      </c>
      <c r="CL199" s="21">
        <f>EXP(-LN(2)/25)*CL198+(1-EXP(-LN(2)/25))/(LN(2)/25)*Calculateur!CG199*Calculateur!CI199*VLOOKUP('Données projet'!$B$12,Paramètres!$A$1:$I$89,3,0)*0.475*44/12</f>
        <v>0.11313016666182417</v>
      </c>
      <c r="CM199" s="21">
        <f>EXP(-LN(2)/2)*CM198+(1-EXP(-LN(2)/2))/(LN(2)/2)*CG199*CJ199*VLOOKUP('Données projet'!$B$12,Paramètres!$A$1:$I$89,3,0)*0.475*44/12</f>
        <v>2.2285627894209079E-24</v>
      </c>
      <c r="CN199" s="22">
        <f t="shared" si="172"/>
        <v>0.20308280787633282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1">
        <f t="shared" si="202"/>
        <v>28.755825625606846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67">
        <f t="shared" si="192"/>
        <v>530.75354629793264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-1.2505552149377763E-12</v>
      </c>
      <c r="O200" s="13">
        <f>N200*VLOOKUP('Données projet'!$B$9,Paramètres!$A$1:$I$89,3,0)*VLOOKUP('Données projet'!$B$9,Paramètres!$A$1:$I$89,5,0)</f>
        <v>-6.9906036515021697E-13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446.28010102877403</v>
      </c>
      <c r="T200" s="59">
        <f t="shared" si="204"/>
        <v>445.84011537290456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0.41813619510596806</v>
      </c>
      <c r="AA200" s="21">
        <f>EXP(-LN(2)/25)*AA199+(1-EXP(-LN(2)/25))/(LN(2)/25)*Calculateur!V200*Calculateur!X200*VLOOKUP('Données projet'!$B$9,Paramètres!$A$1:$I$89,3,0)*0.475*44/12</f>
        <v>0.37800434134046396</v>
      </c>
      <c r="AB200" s="21">
        <f>EXP(-LN(2)/2)*AB199+(1-EXP(-LN(2)/2))/(LN(2)/2)*V200*Y200*VLOOKUP('Données projet'!$B$9,Paramètres!$A$1:$I$89,3,0)*0.475*44/12</f>
        <v>2.6665740446407816E-24</v>
      </c>
      <c r="AC200" s="22">
        <f t="shared" si="163"/>
        <v>0.79614053644643201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>
        <f>AI200*VLOOKUP('Données projet'!$B$10,Paramètres!$A$1:$I$89,3,0)*VLOOKUP('Données projet'!$B$10,Paramètres!$A$1:$I$89,5,0)</f>
        <v>0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285.77483300338548</v>
      </c>
      <c r="AO200" s="59">
        <f t="shared" si="205"/>
        <v>320.55212417690637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0.3055134651767909</v>
      </c>
      <c r="AV200" s="21">
        <f>EXP(-LN(2)/25)*AV199+(1-EXP(-LN(2)/25))/(LN(2)/25)*Calculateur!AQ200*Calculateur!AS200*VLOOKUP('Données projet'!$B$10,Paramètres!$A$1:$I$89,3,0)*0.475*44/12</f>
        <v>0.27180318168800127</v>
      </c>
      <c r="AW200" s="21">
        <f>EXP(-LN(2)/2)*AW199+(1-EXP(-LN(2)/2))/(LN(2)/2)*AQ200*AT200*VLOOKUP('Données projet'!$B$10,Paramètres!$A$1:$I$89,3,0)*0.475*44/12</f>
        <v>1.7840473999719468E-24</v>
      </c>
      <c r="AX200" s="21">
        <f t="shared" si="166"/>
        <v>0.57731664686479212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-7.9580786405131221E-13</v>
      </c>
      <c r="BE200" s="13">
        <f>BD200*VLOOKUP('Données projet'!$B$11,Paramètres!$A$1:$I$89,3,0)*VLOOKUP('Données projet'!$B$11,Paramètres!$A$1:$I$89,5,0)</f>
        <v>-3.8278358260868117E-13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402.22278907877927</v>
      </c>
      <c r="BJ200" s="59">
        <f t="shared" si="206"/>
        <v>393.06397734082458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1.0176779371585314</v>
      </c>
      <c r="BQ200" s="21">
        <f>EXP(-LN(2)/25)*BQ199+(1-EXP(-LN(2)/25))/(LN(2)/25)*Calculateur!BL200*Calculateur!BN200*VLOOKUP('Données projet'!$B$11,Paramètres!$A$1:$I$89,3,0)*0.475*44/12</f>
        <v>0.43975043367376138</v>
      </c>
      <c r="BR200" s="21">
        <f>EXP(-LN(2)/2)*BR199+(1-EXP(-LN(2)/2))/(LN(2)/2)*BL200*BO200*VLOOKUP('Données projet'!$B$11,Paramètres!$A$1:$I$89,3,0)*0.475*44/12</f>
        <v>6.4677603463857399E-23</v>
      </c>
      <c r="BS200" s="22">
        <f t="shared" si="169"/>
        <v>1.4574283708322928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-3.4106051316484809E-13</v>
      </c>
      <c r="BZ200" s="13">
        <f>BY200*VLOOKUP('Données projet'!$B$12,Paramètres!$A$1:$I$89,3,0)*VLOOKUP('Données projet'!$B$12,Paramètres!$A$1:$I$89,5,0)</f>
        <v>-3.0859155231155454E-13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363.51171608224735</v>
      </c>
      <c r="CE200" s="59">
        <f t="shared" si="207"/>
        <v>257.9239334647138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8.8188724785985717E-2</v>
      </c>
      <c r="CL200" s="21">
        <f>EXP(-LN(2)/25)*CL199+(1-EXP(-LN(2)/25))/(LN(2)/25)*Calculateur!CG200*Calculateur!CI200*VLOOKUP('Données projet'!$B$12,Paramètres!$A$1:$I$89,3,0)*0.475*44/12</f>
        <v>0.11003661630519969</v>
      </c>
      <c r="CM200" s="21">
        <f>EXP(-LN(2)/2)*CM199+(1-EXP(-LN(2)/2))/(LN(2)/2)*CG200*CJ200*VLOOKUP('Données projet'!$B$12,Paramètres!$A$1:$I$89,3,0)*0.475*44/12</f>
        <v>1.5758318606995319E-24</v>
      </c>
      <c r="CN200" s="22">
        <f t="shared" si="172"/>
        <v>0.19822534109118539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1">
        <f t="shared" si="202"/>
        <v>28.884765499467239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67">
        <f t="shared" si="192"/>
        <v>531.9290665782396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-1.2505552149377763E-12</v>
      </c>
      <c r="O201" s="13">
        <f>N201*VLOOKUP('Données projet'!$B$9,Paramètres!$A$1:$I$89,3,0)*VLOOKUP('Données projet'!$B$9,Paramètres!$A$1:$I$89,5,0)</f>
        <v>-6.9906036515021697E-13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446.28010102877403</v>
      </c>
      <c r="T201" s="59">
        <f t="shared" si="204"/>
        <v>445.84011537290456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0.40993679935783611</v>
      </c>
      <c r="AA201" s="21">
        <f>EXP(-LN(2)/25)*AA200+(1-EXP(-LN(2)/25))/(LN(2)/25)*Calculateur!V201*Calculateur!X201*VLOOKUP('Données projet'!$B$9,Paramètres!$A$1:$I$89,3,0)*0.475*44/12</f>
        <v>0.36766779274812461</v>
      </c>
      <c r="AB201" s="21">
        <f>EXP(-LN(2)/2)*AB200+(1-EXP(-LN(2)/2))/(LN(2)/2)*V201*Y201*VLOOKUP('Données projet'!$B$9,Paramètres!$A$1:$I$89,3,0)*0.475*44/12</f>
        <v>1.8855525895015361E-24</v>
      </c>
      <c r="AC201" s="22">
        <f t="shared" si="163"/>
        <v>0.77760459210596067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>
        <f>AI201*VLOOKUP('Données projet'!$B$10,Paramètres!$A$1:$I$89,3,0)*VLOOKUP('Données projet'!$B$10,Paramètres!$A$1:$I$89,5,0)</f>
        <v>0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285.77483300338548</v>
      </c>
      <c r="AO201" s="59">
        <f t="shared" si="205"/>
        <v>320.55212417690637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0.29952253246948779</v>
      </c>
      <c r="AV201" s="21">
        <f>EXP(-LN(2)/25)*AV200+(1-EXP(-LN(2)/25))/(LN(2)/25)*Calculateur!AQ201*Calculateur!AS201*VLOOKUP('Données projet'!$B$10,Paramètres!$A$1:$I$89,3,0)*0.475*44/12</f>
        <v>0.26437070939123475</v>
      </c>
      <c r="AW201" s="21">
        <f>EXP(-LN(2)/2)*AW200+(1-EXP(-LN(2)/2))/(LN(2)/2)*AQ201*AT201*VLOOKUP('Données projet'!$B$10,Paramètres!$A$1:$I$89,3,0)*0.475*44/12</f>
        <v>1.2615120144783924E-24</v>
      </c>
      <c r="AX201" s="21">
        <f t="shared" si="166"/>
        <v>0.56389324186072254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-7.9580786405131221E-13</v>
      </c>
      <c r="BE201" s="13">
        <f>BD201*VLOOKUP('Données projet'!$B$11,Paramètres!$A$1:$I$89,3,0)*VLOOKUP('Données projet'!$B$11,Paramètres!$A$1:$I$89,5,0)</f>
        <v>-3.8278358260868117E-13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402.22278907877927</v>
      </c>
      <c r="BJ201" s="59">
        <f t="shared" si="206"/>
        <v>393.06397734082458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0.99772189353310303</v>
      </c>
      <c r="BQ201" s="21">
        <f>EXP(-LN(2)/25)*BQ200+(1-EXP(-LN(2)/25))/(LN(2)/25)*Calculateur!BL201*Calculateur!BN201*VLOOKUP('Données projet'!$B$11,Paramètres!$A$1:$I$89,3,0)*0.475*44/12</f>
        <v>0.42772543493948212</v>
      </c>
      <c r="BR201" s="21">
        <f>EXP(-LN(2)/2)*BR200+(1-EXP(-LN(2)/2))/(LN(2)/2)*BL201*BO201*VLOOKUP('Données projet'!$B$11,Paramètres!$A$1:$I$89,3,0)*0.475*44/12</f>
        <v>4.5733972000188103E-23</v>
      </c>
      <c r="BS201" s="22">
        <f t="shared" si="169"/>
        <v>1.4254473284725853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-3.4106051316484809E-13</v>
      </c>
      <c r="BZ201" s="13">
        <f>BY201*VLOOKUP('Données projet'!$B$12,Paramètres!$A$1:$I$89,3,0)*VLOOKUP('Données projet'!$B$12,Paramètres!$A$1:$I$89,5,0)</f>
        <v>-3.0859155231155454E-13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363.51171608224735</v>
      </c>
      <c r="CE201" s="59">
        <f t="shared" si="207"/>
        <v>257.9239334647138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8.6459397682743355E-2</v>
      </c>
      <c r="CL201" s="21">
        <f>EXP(-LN(2)/25)*CL200+(1-EXP(-LN(2)/25))/(LN(2)/25)*Calculateur!CG201*Calculateur!CI201*VLOOKUP('Données projet'!$B$12,Paramètres!$A$1:$I$89,3,0)*0.475*44/12</f>
        <v>0.10702765924575984</v>
      </c>
      <c r="CM201" s="21">
        <f>EXP(-LN(2)/2)*CM200+(1-EXP(-LN(2)/2))/(LN(2)/2)*CG201*CJ201*VLOOKUP('Données projet'!$B$12,Paramètres!$A$1:$I$89,3,0)*0.475*44/12</f>
        <v>1.1142813947104539E-24</v>
      </c>
      <c r="CN201" s="22">
        <f t="shared" si="172"/>
        <v>0.19348705692850321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1">
        <f t="shared" si="202"/>
        <v>29.013629594246641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67">
        <f t="shared" si="192"/>
        <v>533.10445487664697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-1.2505552149377763E-12</v>
      </c>
      <c r="O202" s="13">
        <f>N202*VLOOKUP('Données projet'!$B$9,Paramètres!$A$1:$I$89,3,0)*VLOOKUP('Données projet'!$B$9,Paramètres!$A$1:$I$89,5,0)</f>
        <v>-6.9906036515021697E-13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446.28010102877403</v>
      </c>
      <c r="T202" s="59">
        <f t="shared" si="204"/>
        <v>445.84011537290456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0.40189818875918748</v>
      </c>
      <c r="AA202" s="21">
        <f>EXP(-LN(2)/25)*AA201+(1-EXP(-LN(2)/25))/(LN(2)/25)*Calculateur!V202*Calculateur!X202*VLOOKUP('Données projet'!$B$9,Paramètres!$A$1:$I$89,3,0)*0.475*44/12</f>
        <v>0.35761389762061824</v>
      </c>
      <c r="AB202" s="21">
        <f>EXP(-LN(2)/2)*AB201+(1-EXP(-LN(2)/2))/(LN(2)/2)*V202*Y202*VLOOKUP('Données projet'!$B$9,Paramètres!$A$1:$I$89,3,0)*0.475*44/12</f>
        <v>1.3332870223203908E-24</v>
      </c>
      <c r="AC202" s="22">
        <f t="shared" si="163"/>
        <v>0.75951208637980572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>
        <f>AI202*VLOOKUP('Données projet'!$B$10,Paramètres!$A$1:$I$89,3,0)*VLOOKUP('Données projet'!$B$10,Paramètres!$A$1:$I$89,5,0)</f>
        <v>0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285.77483300338548</v>
      </c>
      <c r="AO202" s="59">
        <f t="shared" si="205"/>
        <v>320.55212417690637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0.29364907829846676</v>
      </c>
      <c r="AV202" s="21">
        <f>EXP(-LN(2)/25)*AV201+(1-EXP(-LN(2)/25))/(LN(2)/25)*Calculateur!AQ202*Calculateur!AS202*VLOOKUP('Données projet'!$B$10,Paramètres!$A$1:$I$89,3,0)*0.475*44/12</f>
        <v>0.25714147844028007</v>
      </c>
      <c r="AW202" s="21">
        <f>EXP(-LN(2)/2)*AW201+(1-EXP(-LN(2)/2))/(LN(2)/2)*AQ202*AT202*VLOOKUP('Données projet'!$B$10,Paramètres!$A$1:$I$89,3,0)*0.475*44/12</f>
        <v>8.9202369998597338E-25</v>
      </c>
      <c r="AX202" s="21">
        <f t="shared" si="166"/>
        <v>0.55079055673874677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-7.9580786405131221E-13</v>
      </c>
      <c r="BE202" s="13">
        <f>BD202*VLOOKUP('Données projet'!$B$11,Paramètres!$A$1:$I$89,3,0)*VLOOKUP('Données projet'!$B$11,Paramètres!$A$1:$I$89,5,0)</f>
        <v>-3.8278358260868117E-13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402.22278907877927</v>
      </c>
      <c r="BJ202" s="59">
        <f t="shared" si="206"/>
        <v>393.06397734082458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0.97815717575118455</v>
      </c>
      <c r="BQ202" s="21">
        <f>EXP(-LN(2)/25)*BQ201+(1-EXP(-LN(2)/25))/(LN(2)/25)*Calculateur!BL202*Calculateur!BN202*VLOOKUP('Données projet'!$B$11,Paramètres!$A$1:$I$89,3,0)*0.475*44/12</f>
        <v>0.41602926042795896</v>
      </c>
      <c r="BR202" s="21">
        <f>EXP(-LN(2)/2)*BR201+(1-EXP(-LN(2)/2))/(LN(2)/2)*BL202*BO202*VLOOKUP('Données projet'!$B$11,Paramètres!$A$1:$I$89,3,0)*0.475*44/12</f>
        <v>3.23388017319287E-23</v>
      </c>
      <c r="BS202" s="22">
        <f t="shared" si="169"/>
        <v>1.3941864361791434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-3.4106051316484809E-13</v>
      </c>
      <c r="BZ202" s="13">
        <f>BY202*VLOOKUP('Données projet'!$B$12,Paramètres!$A$1:$I$89,3,0)*VLOOKUP('Données projet'!$B$12,Paramètres!$A$1:$I$89,5,0)</f>
        <v>-3.0859155231155454E-13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363.51171608224735</v>
      </c>
      <c r="CE202" s="59">
        <f t="shared" si="207"/>
        <v>257.9239334647138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8.47639816292102E-2</v>
      </c>
      <c r="CL202" s="21">
        <f>EXP(-LN(2)/25)*CL201+(1-EXP(-LN(2)/25))/(LN(2)/25)*Calculateur!CG202*Calculateur!CI202*VLOOKUP('Données projet'!$B$12,Paramètres!$A$1:$I$89,3,0)*0.475*44/12</f>
        <v>0.10410098227534455</v>
      </c>
      <c r="CM202" s="21">
        <f>EXP(-LN(2)/2)*CM201+(1-EXP(-LN(2)/2))/(LN(2)/2)*CG202*CJ202*VLOOKUP('Données projet'!$B$12,Paramètres!$A$1:$I$89,3,0)*0.475*44/12</f>
        <v>7.8791593034976596E-25</v>
      </c>
      <c r="CN202" s="22">
        <f t="shared" si="172"/>
        <v>0.18886496390455476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.75" thickBot="1" x14ac:dyDescent="0.3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1">
        <f t="shared" si="202"/>
        <v>29.142418334948719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67">
        <f t="shared" si="192"/>
        <v>534.27971193336975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-1.2505552149377763E-12</v>
      </c>
      <c r="O203" s="13">
        <f>N203*VLOOKUP('Données projet'!$B$9,Paramètres!$A$1:$I$89,3,0)*VLOOKUP('Données projet'!$B$9,Paramètres!$A$1:$I$89,5,0)</f>
        <v>-6.9906036515021697E-13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446.28010102877403</v>
      </c>
      <c r="T203" s="59">
        <f t="shared" si="204"/>
        <v>445.84011537290456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0.39401721041130999</v>
      </c>
      <c r="AA203" s="21">
        <f>EXP(-LN(2)/25)*AA202+(1-EXP(-LN(2)/25))/(LN(2)/25)*Calculateur!V203*Calculateur!X203*VLOOKUP('Données projet'!$B$9,Paramètres!$A$1:$I$89,3,0)*0.475*44/12</f>
        <v>0.3478349267840849</v>
      </c>
      <c r="AB203" s="21">
        <f>EXP(-LN(2)/2)*AB202+(1-EXP(-LN(2)/2))/(LN(2)/2)*V203*Y203*VLOOKUP('Données projet'!$B$9,Paramètres!$A$1:$I$89,3,0)*0.475*44/12</f>
        <v>9.4277629475076806E-25</v>
      </c>
      <c r="AC203" s="22">
        <f t="shared" si="163"/>
        <v>0.74185213719539489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>
        <f>AI203*VLOOKUP('Données projet'!$B$10,Paramètres!$A$1:$I$89,3,0)*VLOOKUP('Données projet'!$B$10,Paramètres!$A$1:$I$89,5,0)</f>
        <v>0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285.77483300338548</v>
      </c>
      <c r="AO203" s="59">
        <f t="shared" si="205"/>
        <v>320.55212417690637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0.28789079898128611</v>
      </c>
      <c r="AV203" s="21">
        <f>EXP(-LN(2)/25)*AV202+(1-EXP(-LN(2)/25))/(LN(2)/25)*Calculateur!AQ203*Calculateur!AS203*VLOOKUP('Données projet'!$B$10,Paramètres!$A$1:$I$89,3,0)*0.475*44/12</f>
        <v>0.25010993118984798</v>
      </c>
      <c r="AW203" s="21">
        <f>EXP(-LN(2)/2)*AW202+(1-EXP(-LN(2)/2))/(LN(2)/2)*AQ203*AT203*VLOOKUP('Données projet'!$B$10,Paramètres!$A$1:$I$89,3,0)*0.475*44/12</f>
        <v>6.3075600723919621E-25</v>
      </c>
      <c r="AX203" s="21">
        <f t="shared" si="166"/>
        <v>0.53800073017113403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-7.9580786405131221E-13</v>
      </c>
      <c r="BE203" s="13">
        <f>BD203*VLOOKUP('Données projet'!$B$11,Paramètres!$A$1:$I$89,3,0)*VLOOKUP('Données projet'!$B$11,Paramètres!$A$1:$I$89,5,0)</f>
        <v>-3.8278358260868117E-13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402.22278907877927</v>
      </c>
      <c r="BJ203" s="59">
        <f t="shared" si="206"/>
        <v>393.06397734082458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0.95897611015166995</v>
      </c>
      <c r="BQ203" s="21">
        <f>EXP(-LN(2)/25)*BQ202+(1-EXP(-LN(2)/25))/(LN(2)/25)*Calculateur!BL203*Calculateur!BN203*VLOOKUP('Données projet'!$B$11,Paramètres!$A$1:$I$89,3,0)*0.475*44/12</f>
        <v>0.40465291842352846</v>
      </c>
      <c r="BR203" s="21">
        <f>EXP(-LN(2)/2)*BR202+(1-EXP(-LN(2)/2))/(LN(2)/2)*BL203*BO203*VLOOKUP('Données projet'!$B$11,Paramètres!$A$1:$I$89,3,0)*0.475*44/12</f>
        <v>2.2866986000094051E-23</v>
      </c>
      <c r="BS203" s="22">
        <f t="shared" si="169"/>
        <v>1.3636290285751984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-3.4106051316484809E-13</v>
      </c>
      <c r="BZ203" s="13">
        <f>BY203*VLOOKUP('Données projet'!$B$12,Paramètres!$A$1:$I$89,3,0)*VLOOKUP('Données projet'!$B$12,Paramètres!$A$1:$I$89,5,0)</f>
        <v>-3.0859155231155454E-13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363.51171608224735</v>
      </c>
      <c r="CE203" s="59">
        <f t="shared" si="207"/>
        <v>257.9239334647138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8.3101811650385146E-2</v>
      </c>
      <c r="CL203" s="21">
        <f>EXP(-LN(2)/25)*CL202+(1-EXP(-LN(2)/25))/(LN(2)/25)*Calculateur!CG203*Calculateur!CI203*VLOOKUP('Données projet'!$B$12,Paramètres!$A$1:$I$89,3,0)*0.475*44/12</f>
        <v>0.10125433544059252</v>
      </c>
      <c r="CM203" s="21">
        <f>EXP(-LN(2)/2)*CM202+(1-EXP(-LN(2)/2))/(LN(2)/2)*CG203*CJ203*VLOOKUP('Données projet'!$B$12,Paramètres!$A$1:$I$89,3,0)*0.475*44/12</f>
        <v>5.5714069735522697E-25</v>
      </c>
      <c r="CN203" s="22">
        <f t="shared" si="172"/>
        <v>0.18435614709097767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.75" thickBot="1" x14ac:dyDescent="0.3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.75" thickBot="1" x14ac:dyDescent="0.3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1.3903891703159093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1.2880503926580862</v>
      </c>
      <c r="BA205" s="82">
        <f>EXP(LN('Données projet'!B88)/'Données projet'!A88)</f>
        <v>1.2872302285303792</v>
      </c>
      <c r="BV205" s="82">
        <f>EXP(LN('Données projet'!B114)/'Données projet'!A114)</f>
        <v>1.2392705892426346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RowHeight="15" x14ac:dyDescent="0.25"/>
  <cols>
    <col min="1" max="1" width="23.42578125" style="4" bestFit="1" customWidth="1"/>
    <col min="2" max="2" width="27.7109375" style="4" bestFit="1" customWidth="1"/>
    <col min="3" max="3" width="11.85546875" style="4" bestFit="1" customWidth="1"/>
    <col min="4" max="4" width="40" style="4" bestFit="1" customWidth="1"/>
    <col min="5" max="5" width="11.85546875" style="4" bestFit="1" customWidth="1"/>
    <col min="6" max="6" width="13.7109375" style="4" bestFit="1" customWidth="1"/>
    <col min="7" max="7" width="11.42578125" style="4" bestFit="1" customWidth="1"/>
    <col min="8" max="8" width="39" style="4" bestFit="1" customWidth="1"/>
    <col min="9" max="9" width="16.7109375" style="4" customWidth="1"/>
    <col min="10" max="14" width="11.42578125" style="4"/>
    <col min="15" max="15" width="23.42578125" style="4" bestFit="1" customWidth="1"/>
    <col min="16" max="16384" width="11.42578125" style="4"/>
  </cols>
  <sheetData>
    <row r="1" spans="1:16" ht="45.75" thickBot="1" x14ac:dyDescent="0.3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.75" thickBot="1" x14ac:dyDescent="0.3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.75" thickBot="1" x14ac:dyDescent="0.3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2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2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.75" thickBot="1" x14ac:dyDescent="0.3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.75" thickBot="1" x14ac:dyDescent="0.3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.75" thickBot="1" x14ac:dyDescent="0.3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2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2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.75" thickBot="1" x14ac:dyDescent="0.3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5">
      <c r="A93" s="122" t="s">
        <v>208</v>
      </c>
    </row>
    <row r="94" spans="1:14" x14ac:dyDescent="0.25">
      <c r="A94" s="122" t="s">
        <v>209</v>
      </c>
    </row>
    <row r="95" spans="1:14" x14ac:dyDescent="0.2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zoomScale="90" zoomScaleNormal="90" workbookViewId="0">
      <selection activeCell="I8" sqref="I8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2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4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.75" thickBot="1" x14ac:dyDescent="0.3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5.75" thickBot="1" x14ac:dyDescent="0.3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5">
      <c r="A6" s="145" t="str">
        <f>IF('Données projet'!$B$9="","",'Données projet'!$B$9)</f>
        <v>Douglas</v>
      </c>
      <c r="B6" s="146">
        <f>'Données projet'!D9</f>
        <v>4.4555999999999996</v>
      </c>
      <c r="C6" s="147">
        <f ca="1">IF(OR('Données projet'!B9="",'Données projet'!C9="",'Données projet'!C9=0%),0,Calculateur!S3)</f>
        <v>446.28010102877403</v>
      </c>
      <c r="D6" s="147">
        <f>IF(OR('Données projet'!B9="",'Données projet'!C9="",'Données projet'!C9=0%),0,Calculateur!T3)</f>
        <v>445.84011537290456</v>
      </c>
      <c r="E6" s="147">
        <f ca="1">MIN(C6,D6)</f>
        <v>445.84011537290456</v>
      </c>
      <c r="F6" s="147">
        <f ca="1">E6*B6</f>
        <v>1986.4852180555133</v>
      </c>
      <c r="G6" s="147">
        <f ca="1">F6*(100%-'Données projet'!$C$24)*(100%-'Données projet'!$C$25)*(100%-'Données projet'!$C$26)*(100%-'Données projet'!$C$27)</f>
        <v>1787.836696249962</v>
      </c>
      <c r="H6" s="148">
        <f>IF(OR('Données projet'!B9="",'Données projet'!C9="",'Données projet'!C9=0%),0,AVERAGE(Calculateur!$AC$3:$AC$33)*B6)</f>
        <v>54.986205226210629</v>
      </c>
      <c r="I6" s="149">
        <f>H6*(100%-'Données projet'!$C$24)*(100%-'Données projet'!$C$25)*(100%-'Données projet'!$C$26)*(100%-'Données projet'!$C$27)</f>
        <v>49.487584703589569</v>
      </c>
      <c r="J6" s="150">
        <f>IF(OR('Données projet'!B9="",'Données projet'!C9="",'Données projet'!C9=0%),0,SUM(Calculateur!$V$3:$V$33)*VLOOKUP('Données projet'!$B$9,Paramètres!$A$1:$I$89,9,0)*B6)</f>
        <v>467.48155199999997</v>
      </c>
      <c r="K6" s="151">
        <f>J6*(100%-'Données projet'!$C$24)*(100%-'Données projet'!$C$25)*(100%-'Données projet'!$C$26)*(100%-'Données projet'!$C$27)</f>
        <v>420.73339679999998</v>
      </c>
      <c r="L6" s="152">
        <f ca="1">G6+I6+K6</f>
        <v>2258.0576777535516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5">
      <c r="A7" s="153" t="str">
        <f>IF('Données projet'!$B$10="","",'Données projet'!$B$10)</f>
        <v>Mélèze d'Europe</v>
      </c>
      <c r="B7" s="154">
        <f>'Données projet'!D10</f>
        <v>2.5596000000000001</v>
      </c>
      <c r="C7" s="147">
        <f ca="1">IF(OR('Données projet'!B10="",'Données projet'!C10="",'Données projet'!C10=0%),0,Calculateur!AN3)</f>
        <v>285.77483300338548</v>
      </c>
      <c r="D7" s="147">
        <f>IF(OR('Données projet'!B10="",'Données projet'!C10="",'Données projet'!C10=0%),0,Calculateur!AO3)</f>
        <v>320.55212417690637</v>
      </c>
      <c r="E7" s="147">
        <f t="shared" ref="E7:E15" ca="1" si="0">MIN(C7,D7)</f>
        <v>285.77483300338548</v>
      </c>
      <c r="F7" s="147">
        <f t="shared" ref="F7:F15" ca="1" si="1">E7*B7</f>
        <v>731.46926255546555</v>
      </c>
      <c r="G7" s="147">
        <f ca="1">F7*(100%-'Données projet'!$C$24)*(100%-'Données projet'!$C$25)*(100%-'Données projet'!$C$26)*(100%-'Données projet'!$C$27)</f>
        <v>658.32233629991902</v>
      </c>
      <c r="H7" s="155">
        <f>IF(OR('Données projet'!B10="",'Données projet'!C10="",'Données projet'!C10=0%),0,AVERAGE(Calculateur!$AX$3:$AX$33)*B7)</f>
        <v>21.644279065805556</v>
      </c>
      <c r="I7" s="149">
        <f>H7*(100%-'Données projet'!$C$24)*(100%-'Données projet'!$C$25)*(100%-'Données projet'!$C$26)*(100%-'Données projet'!$C$27)</f>
        <v>19.479851159224999</v>
      </c>
      <c r="J7" s="150">
        <f>IF(OR('Données projet'!B10="",'Données projet'!C10="",'Données projet'!C10=0%),0,SUM(Calculateur!$AQ$3:$AQ$33)*VLOOKUP('Données projet'!$B$10,Paramètres!$A$1:$I$89,9,0)*B7)</f>
        <v>158.490432</v>
      </c>
      <c r="K7" s="151">
        <f>J7*(100%-'Données projet'!$C$24)*(100%-'Données projet'!$C$25)*(100%-'Données projet'!$C$26)*(100%-'Données projet'!$C$27)</f>
        <v>142.64138880000002</v>
      </c>
      <c r="L7" s="152">
        <f t="shared" ref="L7:L15" ca="1" si="2">G7+I7+K7</f>
        <v>820.44357625914404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5">
      <c r="A8" s="153" t="str">
        <f>IF('Données projet'!$B$11="","",'Données projet'!$B$11)</f>
        <v>Sapin méditerranéen</v>
      </c>
      <c r="B8" s="154">
        <f>'Données projet'!D11</f>
        <v>1.8960000000000001</v>
      </c>
      <c r="C8" s="147">
        <f ca="1">IF(OR('Données projet'!B11="",'Données projet'!C11="",'Données projet'!C11=0%),0,Calculateur!BI3)</f>
        <v>402.22278907877927</v>
      </c>
      <c r="D8" s="147">
        <f>IF(OR('Données projet'!B11="",'Données projet'!C11="",'Données projet'!C11=0%),0,Calculateur!BJ3)</f>
        <v>393.06397734082458</v>
      </c>
      <c r="E8" s="147">
        <f t="shared" ca="1" si="0"/>
        <v>393.06397734082458</v>
      </c>
      <c r="F8" s="147">
        <f t="shared" ca="1" si="1"/>
        <v>745.2493010382035</v>
      </c>
      <c r="G8" s="147">
        <f ca="1">F8*(100%-'Données projet'!$C$24)*(100%-'Données projet'!$C$25)*(100%-'Données projet'!$C$26)*(100%-'Données projet'!$C$27)</f>
        <v>670.72437093438316</v>
      </c>
      <c r="H8" s="155">
        <f>IF(OR('Données projet'!B11="",'Données projet'!C11="",'Données projet'!C11=0%),0,AVERAGE(Calculateur!$BS$3:$BS$33)*B8)</f>
        <v>7.1475667280038211</v>
      </c>
      <c r="I8" s="149">
        <f>H8*(100%-'Données projet'!$C$24)*(100%-'Données projet'!$C$25)*(100%-'Données projet'!$C$26)*(100%-'Données projet'!$C$27)</f>
        <v>6.4328100552034391</v>
      </c>
      <c r="J8" s="150">
        <f>IF(OR('Données projet'!B11="",'Données projet'!C11="",'Données projet'!C11=0%),0,SUM(Calculateur!$BL$3:$BL$33)*VLOOKUP('Données projet'!$B$11,Paramètres!$A$1:$I$89,9,0)*B8)</f>
        <v>132.07535999999999</v>
      </c>
      <c r="K8" s="151">
        <f>J8*(100%-'Données projet'!$C$24)*(100%-'Données projet'!$C$25)*(100%-'Données projet'!$C$26)*(100%-'Données projet'!$C$27)</f>
        <v>118.867824</v>
      </c>
      <c r="L8" s="152">
        <f t="shared" ca="1" si="2"/>
        <v>796.02500498958659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5">
      <c r="A9" s="153" t="str">
        <f>IF('Données projet'!$B$12="","",'Données projet'!$B$12)</f>
        <v>Chêne sessile</v>
      </c>
      <c r="B9" s="154">
        <f>'Données projet'!D12</f>
        <v>0.56879999999999997</v>
      </c>
      <c r="C9" s="147">
        <f ca="1">IF(OR('Données projet'!B12="",'Données projet'!C12="",'Données projet'!C12=0%),0,Calculateur!CD3)</f>
        <v>363.51171608224735</v>
      </c>
      <c r="D9" s="147">
        <f>IF(OR('Données projet'!B12="",'Données projet'!C12="",'Données projet'!C12=0%),0,Calculateur!CE3)</f>
        <v>257.9239334647138</v>
      </c>
      <c r="E9" s="147">
        <f t="shared" ca="1" si="0"/>
        <v>257.9239334647138</v>
      </c>
      <c r="F9" s="147">
        <f t="shared" ca="1" si="1"/>
        <v>146.70713335472919</v>
      </c>
      <c r="G9" s="147">
        <f ca="1">F9*(100%-'Données projet'!$C$24)*(100%-'Données projet'!$C$25)*(100%-'Données projet'!$C$26)*(100%-'Données projet'!$C$27)</f>
        <v>132.03642001925627</v>
      </c>
      <c r="H9" s="155">
        <f>IF(OR('Données projet'!B12="",'Données projet'!C12="",'Données projet'!C12=0%),0,AVERAGE(Calculateur!$CN$3:$CN$33)*B9)</f>
        <v>0.82880564623933994</v>
      </c>
      <c r="I9" s="149">
        <f>H9*(100%-'Données projet'!$C$24)*(100%-'Données projet'!$C$25)*(100%-'Données projet'!$C$26)*(100%-'Données projet'!$C$27)</f>
        <v>0.74592508161540594</v>
      </c>
      <c r="J9" s="150">
        <f>IF(OR('Données projet'!B12="",'Données projet'!C12="",'Données projet'!C12=0%),0,SUM(Calculateur!$CG$3:$CG$33)*VLOOKUP('Données projet'!$B$12,Paramètres!$A$1:$I$89,9,0)*B9)</f>
        <v>8.8163999999999998</v>
      </c>
      <c r="K9" s="151">
        <f>J9*(100%-'Données projet'!$C$24)*(100%-'Données projet'!$C$25)*(100%-'Données projet'!$C$26)*(100%-'Données projet'!$C$27)</f>
        <v>7.9347599999999998</v>
      </c>
      <c r="L9" s="152">
        <f t="shared" ca="1" si="2"/>
        <v>140.71710510087169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.75" thickBot="1" x14ac:dyDescent="0.3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.75" thickBot="1" x14ac:dyDescent="0.3">
      <c r="A16" s="209"/>
      <c r="B16" s="213"/>
      <c r="C16" s="214"/>
      <c r="D16" s="23"/>
      <c r="E16" s="23"/>
      <c r="F16" s="165">
        <f t="shared" ref="F16:L16" ca="1" si="3">SUM(F6:F15)</f>
        <v>3609.9109150039117</v>
      </c>
      <c r="G16" s="166">
        <f t="shared" ca="1" si="3"/>
        <v>3248.9198235035201</v>
      </c>
      <c r="H16" s="167">
        <f t="shared" si="3"/>
        <v>84.606856666259347</v>
      </c>
      <c r="I16" s="167">
        <f t="shared" si="3"/>
        <v>76.146170999633412</v>
      </c>
      <c r="J16" s="168">
        <f t="shared" si="3"/>
        <v>766.86374400000011</v>
      </c>
      <c r="K16" s="168">
        <f t="shared" si="3"/>
        <v>690.17736960000002</v>
      </c>
      <c r="L16" s="169">
        <f t="shared" ca="1" si="3"/>
        <v>4015.2433641031539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.75" thickBot="1" x14ac:dyDescent="0.3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.75" thickBot="1" x14ac:dyDescent="0.3">
      <c r="A21" s="170" t="str">
        <f>A6</f>
        <v>Douglas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.75" thickBot="1" x14ac:dyDescent="0.3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.75" thickBot="1" x14ac:dyDescent="0.3">
      <c r="A39" s="170" t="str">
        <f>A7</f>
        <v>Mélèze d'Europe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.75" thickBot="1" x14ac:dyDescent="0.3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.75" thickBot="1" x14ac:dyDescent="0.3">
      <c r="A57" s="170" t="str">
        <f>A8</f>
        <v>Sapin méditerranéen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.75" thickBot="1" x14ac:dyDescent="0.3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.75" thickBot="1" x14ac:dyDescent="0.3">
      <c r="A76" s="170" t="str">
        <f>A9</f>
        <v>Chêne sessile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.75" thickBot="1" x14ac:dyDescent="0.3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.75" thickBot="1" x14ac:dyDescent="0.3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.75" thickBot="1" x14ac:dyDescent="0.3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.75" thickBot="1" x14ac:dyDescent="0.3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.75" thickBot="1" x14ac:dyDescent="0.3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.75" thickBot="1" x14ac:dyDescent="0.3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.75" thickBot="1" x14ac:dyDescent="0.3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.75" thickBot="1" x14ac:dyDescent="0.3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.75" thickBot="1" x14ac:dyDescent="0.3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.75" thickBot="1" x14ac:dyDescent="0.3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.75" thickBot="1" x14ac:dyDescent="0.3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.75" thickBot="1" x14ac:dyDescent="0.3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96" zoomScale="80" zoomScaleNormal="80" workbookViewId="0">
      <selection activeCell="C130" sqref="C130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1" customWidth="1"/>
    <col min="7" max="7" width="17.5703125" style="1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4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5">
      <c r="A4" s="4"/>
      <c r="B4" s="4"/>
      <c r="C4" s="4"/>
      <c r="D4" s="4"/>
      <c r="E4" s="4"/>
      <c r="G4" s="4"/>
      <c r="H4" s="262" t="s">
        <v>315</v>
      </c>
      <c r="I4" s="262"/>
      <c r="K4" s="286" t="s">
        <v>253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.75" thickBot="1" x14ac:dyDescent="0.3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4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6" t="s">
        <v>310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Douglas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3773.9112497135948</v>
      </c>
      <c r="U10" s="178">
        <f>'Données projet'!D9</f>
        <v>4.4555999999999996</v>
      </c>
      <c r="V10" s="177">
        <f>U10*T10</f>
        <v>16815.038964223892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Mélèze d'Europe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-917.72286902600661</v>
      </c>
      <c r="U11" s="178">
        <f>'Données projet'!D10</f>
        <v>2.5596000000000001</v>
      </c>
      <c r="V11" s="177">
        <f t="shared" ref="V11" si="0">U11*T11</f>
        <v>-2349.0034555589664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Sapin méditerranéen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693.15260803704359</v>
      </c>
      <c r="U12" s="178">
        <f>'Données projet'!D11</f>
        <v>1.8960000000000001</v>
      </c>
      <c r="V12" s="177">
        <f t="shared" ref="V12:V19" si="1">U12*T12</f>
        <v>1314.2173448382348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Chêne sessile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-3031.507596642396</v>
      </c>
      <c r="U13" s="178">
        <f>'Données projet'!D12</f>
        <v>0.56879999999999997</v>
      </c>
      <c r="V13" s="177">
        <f t="shared" si="1"/>
        <v>-1724.3215209701948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5">
      <c r="A14" s="46" t="s">
        <v>165</v>
      </c>
      <c r="B14" s="174" t="str">
        <f>IF('Données projet'!$B$9="","",'Données projet'!$B$9)</f>
        <v>Douglas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5">
      <c r="A15" s="4"/>
      <c r="B15" s="4"/>
      <c r="C15" s="4"/>
      <c r="D15" s="4"/>
      <c r="E15" s="4"/>
      <c r="F15" s="230"/>
      <c r="G15" s="289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89"/>
      <c r="H16" s="190"/>
      <c r="I16" s="191"/>
      <c r="J16" s="202"/>
      <c r="K16" s="208"/>
      <c r="L16" s="286" t="s">
        <v>254</v>
      </c>
      <c r="M16" s="287"/>
      <c r="N16" s="2">
        <v>80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25">
      <c r="A17" s="49">
        <v>0</v>
      </c>
      <c r="B17" s="199" t="s">
        <v>132</v>
      </c>
      <c r="C17" s="198" t="s">
        <v>132</v>
      </c>
      <c r="D17" s="197" t="s">
        <v>132</v>
      </c>
      <c r="E17" s="193">
        <v>2314</v>
      </c>
      <c r="F17" s="230"/>
      <c r="G17" s="289"/>
      <c r="J17" s="202"/>
      <c r="K17" s="208"/>
      <c r="L17" s="259" t="s">
        <v>289</v>
      </c>
      <c r="M17" s="261"/>
      <c r="N17" s="175">
        <f>VLOOKUP(N16,Calculateur!$A$2:$H$153,3,0)/VLOOKUP('Scénario référence'!$G$15,Paramètres!A1:I89,3,0)/VLOOKUP('Scénario référence'!$G$15,Paramètres!A1:I89,5,0)</f>
        <v>79.999999999999929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2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89"/>
      <c r="J18" s="202"/>
      <c r="K18" s="208"/>
      <c r="L18" s="259" t="s">
        <v>255</v>
      </c>
      <c r="M18" s="261"/>
      <c r="N18" s="192">
        <v>40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89"/>
      <c r="H19" s="212" t="s">
        <v>178</v>
      </c>
      <c r="I19" s="212" t="s">
        <v>287</v>
      </c>
      <c r="J19" s="93"/>
      <c r="K19" s="173"/>
      <c r="L19" s="286" t="s">
        <v>288</v>
      </c>
      <c r="M19" s="287"/>
      <c r="N19" s="179">
        <f>N17*N18</f>
        <v>3199.9999999999973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2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89"/>
      <c r="H20" s="190">
        <v>0</v>
      </c>
      <c r="I20" s="191">
        <v>1970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2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1</v>
      </c>
      <c r="I21" s="191">
        <v>1200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v>600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5">
      <c r="A23" s="180">
        <f>'Données projet'!A36</f>
        <v>10</v>
      </c>
      <c r="B23" s="181">
        <f>'Données projet'!D36</f>
        <v>0</v>
      </c>
      <c r="C23" s="193"/>
      <c r="D23" s="182">
        <f>B23*C23</f>
        <v>0</v>
      </c>
      <c r="E23" s="193"/>
      <c r="F23" s="230"/>
      <c r="H23" s="190">
        <v>5</v>
      </c>
      <c r="I23" s="191">
        <v>600</v>
      </c>
      <c r="K23" s="208"/>
      <c r="L23" s="288" t="s">
        <v>260</v>
      </c>
      <c r="M23" s="288"/>
      <c r="N23" s="288"/>
      <c r="O23" s="23"/>
      <c r="P23" s="23"/>
      <c r="Q23" s="234"/>
      <c r="R23" s="23"/>
      <c r="S23" s="36" t="s">
        <v>264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-25054.509705741133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5">
      <c r="A24" s="180">
        <f>'Données projet'!A37</f>
        <v>20</v>
      </c>
      <c r="B24" s="181">
        <f>'Données projet'!D37</f>
        <v>104</v>
      </c>
      <c r="C24" s="193">
        <v>12</v>
      </c>
      <c r="D24" s="182">
        <f t="shared" ref="D24:D42" si="2">B24*C24</f>
        <v>1248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896.71633242267433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5">
      <c r="A25" s="180">
        <f>'Données projet'!A38</f>
        <v>30</v>
      </c>
      <c r="B25" s="181">
        <f>'Données projet'!D38</f>
        <v>140</v>
      </c>
      <c r="C25" s="193">
        <v>35</v>
      </c>
      <c r="D25" s="182">
        <f t="shared" si="2"/>
        <v>4900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303">
        <f ca="1">T23-T24</f>
        <v>-25951.226038163808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5">
      <c r="A26" s="180">
        <f>'Données projet'!A39</f>
        <v>40</v>
      </c>
      <c r="B26" s="181">
        <f>'Données projet'!D39</f>
        <v>140</v>
      </c>
      <c r="C26" s="193">
        <v>45</v>
      </c>
      <c r="D26" s="182">
        <f t="shared" si="2"/>
        <v>6300</v>
      </c>
      <c r="E26" s="193"/>
      <c r="F26" s="233"/>
      <c r="G26" s="229"/>
      <c r="H26" s="190"/>
      <c r="I26" s="191"/>
      <c r="K26" s="208"/>
      <c r="L26" s="290" t="s">
        <v>258</v>
      </c>
      <c r="M26" s="291"/>
      <c r="N26" s="291"/>
      <c r="O26" s="291"/>
      <c r="P26" s="292"/>
      <c r="Q26" s="234"/>
      <c r="R26" s="23"/>
      <c r="S26" s="186" t="s">
        <v>265</v>
      </c>
      <c r="T26" s="300" t="str">
        <f ca="1">IF(T25&lt;0,"Votre projet est additionnel","Votre projet n'est pas additionnel")</f>
        <v>Votre projet est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5">
      <c r="A27" s="180">
        <f>'Données projet'!A40</f>
        <v>50</v>
      </c>
      <c r="B27" s="181">
        <f>'Données projet'!D40</f>
        <v>129</v>
      </c>
      <c r="C27" s="193">
        <v>50</v>
      </c>
      <c r="D27" s="182">
        <f t="shared" si="2"/>
        <v>6450</v>
      </c>
      <c r="E27" s="193"/>
      <c r="F27" s="233"/>
      <c r="G27" s="229"/>
      <c r="H27" s="190"/>
      <c r="I27" s="191"/>
      <c r="K27" s="208"/>
      <c r="L27" s="293"/>
      <c r="M27" s="294"/>
      <c r="N27" s="294"/>
      <c r="O27" s="294"/>
      <c r="P27" s="295"/>
      <c r="Q27" s="234"/>
      <c r="R27" s="23"/>
      <c r="S27" s="299" t="s">
        <v>267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5">
      <c r="A28" s="180">
        <f>'Données projet'!A41</f>
        <v>60</v>
      </c>
      <c r="B28" s="181">
        <f>'Données projet'!D41</f>
        <v>96</v>
      </c>
      <c r="C28" s="193">
        <v>55</v>
      </c>
      <c r="D28" s="182">
        <f t="shared" si="2"/>
        <v>5280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5">
      <c r="A29" s="180">
        <f>'Données projet'!A42</f>
        <v>70</v>
      </c>
      <c r="B29" s="181">
        <f>'Données projet'!D42</f>
        <v>80</v>
      </c>
      <c r="C29" s="193">
        <v>60</v>
      </c>
      <c r="D29" s="182">
        <f t="shared" si="2"/>
        <v>4800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5">
      <c r="A30" s="180">
        <f>'Données projet'!A43</f>
        <v>80</v>
      </c>
      <c r="B30" s="181">
        <f>'Données projet'!D43</f>
        <v>790</v>
      </c>
      <c r="C30" s="193">
        <v>80</v>
      </c>
      <c r="D30" s="182">
        <f t="shared" si="2"/>
        <v>63200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5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5">
      <c r="A45" s="46" t="s">
        <v>166</v>
      </c>
      <c r="B45" s="174" t="str">
        <f>IF('Données projet'!$B$10="","",'Données projet'!$B$10)</f>
        <v>Mélèze d'Europe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25">
      <c r="A48" s="49">
        <v>0</v>
      </c>
      <c r="B48" s="199" t="s">
        <v>132</v>
      </c>
      <c r="C48" s="198" t="s">
        <v>132</v>
      </c>
      <c r="D48" s="197" t="s">
        <v>132</v>
      </c>
      <c r="E48" s="193">
        <v>2756</v>
      </c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2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2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2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5">
      <c r="A54" s="180">
        <f>'Données projet'!A62</f>
        <v>20</v>
      </c>
      <c r="B54" s="181">
        <f>'Données projet'!D62</f>
        <v>60</v>
      </c>
      <c r="C54" s="191">
        <v>10</v>
      </c>
      <c r="D54" s="179">
        <f>B54*C54</f>
        <v>600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5">
      <c r="A55" s="180">
        <f>'Données projet'!A63</f>
        <v>30</v>
      </c>
      <c r="B55" s="181">
        <f>'Données projet'!D63</f>
        <v>84</v>
      </c>
      <c r="C55" s="191">
        <v>25</v>
      </c>
      <c r="D55" s="179">
        <f t="shared" ref="D55:D73" si="4">B55*C55</f>
        <v>2100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5">
      <c r="A56" s="180">
        <f>'Données projet'!A64</f>
        <v>40</v>
      </c>
      <c r="B56" s="181">
        <f>'Données projet'!D64</f>
        <v>82</v>
      </c>
      <c r="C56" s="191">
        <v>30</v>
      </c>
      <c r="D56" s="179">
        <f t="shared" si="4"/>
        <v>2460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5">
      <c r="A57" s="180">
        <f>'Données projet'!A65</f>
        <v>50</v>
      </c>
      <c r="B57" s="181">
        <f>'Données projet'!D65</f>
        <v>68</v>
      </c>
      <c r="C57" s="191">
        <v>35</v>
      </c>
      <c r="D57" s="179">
        <f t="shared" si="4"/>
        <v>2380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5">
      <c r="A58" s="180">
        <f>'Données projet'!A66</f>
        <v>60</v>
      </c>
      <c r="B58" s="181">
        <f>'Données projet'!D66</f>
        <v>55</v>
      </c>
      <c r="C58" s="191">
        <v>40</v>
      </c>
      <c r="D58" s="179">
        <f t="shared" si="4"/>
        <v>2200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5">
      <c r="A59" s="180">
        <f>'Données projet'!A67</f>
        <v>70</v>
      </c>
      <c r="B59" s="181">
        <f>'Données projet'!D67</f>
        <v>45</v>
      </c>
      <c r="C59" s="191">
        <v>45</v>
      </c>
      <c r="D59" s="179">
        <f t="shared" si="4"/>
        <v>2025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5">
      <c r="A60" s="180">
        <f>'Données projet'!A68</f>
        <v>80</v>
      </c>
      <c r="B60" s="181">
        <f>'Données projet'!D68</f>
        <v>442</v>
      </c>
      <c r="C60" s="191">
        <v>50</v>
      </c>
      <c r="D60" s="179">
        <f t="shared" si="4"/>
        <v>22100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5">
      <c r="A61" s="180">
        <f>'Données projet'!A69</f>
        <v>0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5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5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5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5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5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5">
      <c r="A76" s="46" t="s">
        <v>167</v>
      </c>
      <c r="B76" s="174" t="str">
        <f>IF('Données projet'!B11="","",'Données projet'!B11)</f>
        <v>Sapin méditerranéen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ht="30" x14ac:dyDescent="0.2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25">
      <c r="A79" s="49">
        <v>0</v>
      </c>
      <c r="B79" s="199" t="s">
        <v>132</v>
      </c>
      <c r="C79" s="198" t="s">
        <v>132</v>
      </c>
      <c r="D79" s="197" t="s">
        <v>132</v>
      </c>
      <c r="E79" s="193">
        <v>2600</v>
      </c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2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2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2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2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5">
      <c r="A85" s="180">
        <f>'Données projet'!A88</f>
        <v>20</v>
      </c>
      <c r="B85" s="181">
        <f>'Données projet'!D88</f>
        <v>22</v>
      </c>
      <c r="C85" s="191">
        <v>5</v>
      </c>
      <c r="D85" s="179">
        <f>B85*C85</f>
        <v>110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5">
      <c r="A86" s="180">
        <f>'Données projet'!A89</f>
        <v>30</v>
      </c>
      <c r="B86" s="181">
        <f>'Données projet'!D89</f>
        <v>140</v>
      </c>
      <c r="C86" s="191">
        <v>5</v>
      </c>
      <c r="D86" s="179">
        <f t="shared" ref="D86:D104" si="6">B86*C86</f>
        <v>700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5">
      <c r="A87" s="180">
        <f>'Données projet'!A90</f>
        <v>40</v>
      </c>
      <c r="B87" s="181">
        <f>'Données projet'!D90</f>
        <v>140</v>
      </c>
      <c r="C87" s="191">
        <v>8</v>
      </c>
      <c r="D87" s="179">
        <f t="shared" si="6"/>
        <v>1120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5">
      <c r="A88" s="180">
        <f>'Données projet'!A91</f>
        <v>50</v>
      </c>
      <c r="B88" s="181">
        <f>'Données projet'!D91</f>
        <v>140</v>
      </c>
      <c r="C88" s="191">
        <v>15</v>
      </c>
      <c r="D88" s="179">
        <f t="shared" si="6"/>
        <v>2100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5">
      <c r="A89" s="180">
        <f>'Données projet'!A92</f>
        <v>60</v>
      </c>
      <c r="B89" s="181">
        <f>'Données projet'!D92</f>
        <v>128</v>
      </c>
      <c r="C89" s="191">
        <v>30</v>
      </c>
      <c r="D89" s="179">
        <f t="shared" si="6"/>
        <v>3840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5">
      <c r="A90" s="180">
        <f>'Données projet'!A93</f>
        <v>70</v>
      </c>
      <c r="B90" s="181">
        <f>'Données projet'!D93</f>
        <v>110</v>
      </c>
      <c r="C90" s="191">
        <v>50</v>
      </c>
      <c r="D90" s="179">
        <f t="shared" si="6"/>
        <v>5500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5">
      <c r="A91" s="180">
        <f>'Données projet'!A94</f>
        <v>80</v>
      </c>
      <c r="B91" s="181">
        <f>'Données projet'!D94</f>
        <v>892</v>
      </c>
      <c r="C91" s="191">
        <v>80</v>
      </c>
      <c r="D91" s="179">
        <f t="shared" si="6"/>
        <v>71360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5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5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0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0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>
        <f>IF(O95+1&lt;=MIN('Données projet'!$E$9:$E$18),O95+1,"STOP")</f>
        <v>63</v>
      </c>
      <c r="P96" s="185">
        <f t="shared" si="5"/>
        <v>0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>
        <f>IF(O96+1&lt;=MIN('Données projet'!$E$9:$E$18),O96+1,"STOP")</f>
        <v>64</v>
      </c>
      <c r="P97" s="185">
        <f t="shared" ref="P97:P128" si="7">$P$25/(1+$M$4)^O97</f>
        <v>0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>
        <f>IF(O97+1&lt;=MIN('Données projet'!$E$9:$E$18),O97+1,"STOP")</f>
        <v>65</v>
      </c>
      <c r="P98" s="185">
        <f t="shared" si="7"/>
        <v>0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>
        <f>IF(O98+1&lt;=MIN('Données projet'!$E$9:$E$18),O98+1,"STOP")</f>
        <v>66</v>
      </c>
      <c r="P99" s="185">
        <f t="shared" si="7"/>
        <v>0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>
        <f>IF(O99+1&lt;=MIN('Données projet'!$E$9:$E$18),O99+1,"STOP")</f>
        <v>67</v>
      </c>
      <c r="P100" s="185">
        <f t="shared" si="7"/>
        <v>0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>
        <f>IF(O100+1&lt;=MIN('Données projet'!$E$9:$E$18),O100+1,"STOP")</f>
        <v>68</v>
      </c>
      <c r="P101" s="185">
        <f t="shared" si="7"/>
        <v>0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>
        <f>IF(O101+1&lt;=MIN('Données projet'!$E$9:$E$18),O101+1,"STOP")</f>
        <v>69</v>
      </c>
      <c r="P102" s="185">
        <f t="shared" si="7"/>
        <v>0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>
        <f>IF(O102+1&lt;=MIN('Données projet'!$E$9:$E$18),O102+1,"STOP")</f>
        <v>70</v>
      </c>
      <c r="P103" s="185">
        <f t="shared" si="7"/>
        <v>0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>
        <f>IF(O103+1&lt;=MIN('Données projet'!$E$9:$E$18),O103+1,"STOP")</f>
        <v>71</v>
      </c>
      <c r="P104" s="185">
        <f t="shared" si="7"/>
        <v>0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>
        <f>IF(O104+1&lt;=MIN('Données projet'!$E$9:$E$18),O104+1,"STOP")</f>
        <v>72</v>
      </c>
      <c r="P105" s="185">
        <f t="shared" si="7"/>
        <v>0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>
        <f>IF(O105+1&lt;=MIN('Données projet'!$E$9:$E$18),O105+1,"STOP")</f>
        <v>73</v>
      </c>
      <c r="P106" s="185">
        <f t="shared" si="7"/>
        <v>0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5">
      <c r="A107" s="46" t="s">
        <v>168</v>
      </c>
      <c r="B107" s="174" t="str">
        <f>IF('Données projet'!B12="","",'Données projet'!B12)</f>
        <v>Chêne sessile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>
        <f>IF(O106+1&lt;=MIN('Données projet'!$E$9:$E$18),O106+1,"STOP")</f>
        <v>74</v>
      </c>
      <c r="P107" s="185">
        <f t="shared" si="7"/>
        <v>0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>
        <f>IF(O107+1&lt;=MIN('Données projet'!$E$9:$E$18),O107+1,"STOP")</f>
        <v>75</v>
      </c>
      <c r="P108" s="185">
        <f t="shared" si="7"/>
        <v>0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ht="30" x14ac:dyDescent="0.2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>
        <f>IF(O108+1&lt;=MIN('Données projet'!$E$9:$E$18),O108+1,"STOP")</f>
        <v>76</v>
      </c>
      <c r="P109" s="185">
        <f t="shared" si="7"/>
        <v>0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25">
      <c r="A110" s="49">
        <v>0</v>
      </c>
      <c r="B110" s="199" t="s">
        <v>132</v>
      </c>
      <c r="C110" s="198" t="s">
        <v>132</v>
      </c>
      <c r="D110" s="197" t="s">
        <v>132</v>
      </c>
      <c r="E110" s="193">
        <v>3120</v>
      </c>
      <c r="F110" s="231"/>
      <c r="G110" s="206"/>
      <c r="H110" s="190"/>
      <c r="I110" s="191"/>
      <c r="J110" s="4"/>
      <c r="K110" s="173"/>
      <c r="L110" s="4"/>
      <c r="M110" s="4"/>
      <c r="N110" s="4"/>
      <c r="O110" s="194">
        <f>IF(O109+1&lt;=MIN('Données projet'!$E$9:$E$18),O109+1,"STOP")</f>
        <v>77</v>
      </c>
      <c r="P110" s="185">
        <f t="shared" si="7"/>
        <v>0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2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>
        <f>IF(O110+1&lt;=MIN('Données projet'!$E$9:$E$18),O110+1,"STOP")</f>
        <v>78</v>
      </c>
      <c r="P111" s="185">
        <f t="shared" si="7"/>
        <v>0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2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>
        <f>IF(O111+1&lt;=MIN('Données projet'!$E$9:$E$18),O111+1,"STOP")</f>
        <v>79</v>
      </c>
      <c r="P112" s="185">
        <f t="shared" si="7"/>
        <v>0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2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>
        <f>IF(O112+1&lt;=MIN('Données projet'!$E$9:$E$18),O112+1,"STOP")</f>
        <v>80</v>
      </c>
      <c r="P113" s="185">
        <f t="shared" si="7"/>
        <v>0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2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str">
        <f>IF(O113+1&lt;=MIN('Données projet'!$E$9:$E$18),O113+1,"STOP")</f>
        <v>STOP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5">
      <c r="A116" s="180">
        <f>'Données projet'!A114</f>
        <v>20</v>
      </c>
      <c r="B116" s="181">
        <f>'Données projet'!D114</f>
        <v>6</v>
      </c>
      <c r="C116" s="191">
        <v>8</v>
      </c>
      <c r="D116" s="179">
        <f>B116*C116</f>
        <v>48</v>
      </c>
      <c r="E116" s="193">
        <v>2500</v>
      </c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5">
      <c r="A117" s="180">
        <f>'Données projet'!A115</f>
        <v>30</v>
      </c>
      <c r="B117" s="181">
        <f>'Données projet'!D115</f>
        <v>56</v>
      </c>
      <c r="C117" s="191">
        <v>12</v>
      </c>
      <c r="D117" s="179">
        <f t="shared" ref="D117:D135" si="8">B117*C117</f>
        <v>672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5">
      <c r="A118" s="180">
        <f>'Données projet'!A116</f>
        <v>40</v>
      </c>
      <c r="B118" s="181">
        <f>'Données projet'!D116</f>
        <v>56</v>
      </c>
      <c r="C118" s="191">
        <v>15</v>
      </c>
      <c r="D118" s="179">
        <f t="shared" si="8"/>
        <v>840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5">
      <c r="A119" s="180">
        <f>'Données projet'!A117</f>
        <v>50</v>
      </c>
      <c r="B119" s="181">
        <f>'Données projet'!D117</f>
        <v>56</v>
      </c>
      <c r="C119" s="191">
        <v>20</v>
      </c>
      <c r="D119" s="179">
        <f t="shared" si="8"/>
        <v>1120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5">
      <c r="A120" s="180">
        <f>'Données projet'!A118</f>
        <v>60</v>
      </c>
      <c r="B120" s="181">
        <f>'Données projet'!D118</f>
        <v>56</v>
      </c>
      <c r="C120" s="191">
        <v>25</v>
      </c>
      <c r="D120" s="179">
        <f t="shared" si="8"/>
        <v>1400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5">
      <c r="A121" s="180">
        <f>'Données projet'!A119</f>
        <v>70</v>
      </c>
      <c r="B121" s="181">
        <f>'Données projet'!D119</f>
        <v>56</v>
      </c>
      <c r="C121" s="191">
        <v>30</v>
      </c>
      <c r="D121" s="179">
        <f t="shared" si="8"/>
        <v>1680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5">
      <c r="A122" s="180">
        <f>'Données projet'!A120</f>
        <v>80</v>
      </c>
      <c r="B122" s="181">
        <f>'Données projet'!D120</f>
        <v>56</v>
      </c>
      <c r="C122" s="191">
        <v>35</v>
      </c>
      <c r="D122" s="179">
        <f t="shared" si="8"/>
        <v>1960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5">
      <c r="A123" s="180">
        <f>'Données projet'!A121</f>
        <v>90</v>
      </c>
      <c r="B123" s="181">
        <f>'Données projet'!D121</f>
        <v>56</v>
      </c>
      <c r="C123" s="191">
        <v>40</v>
      </c>
      <c r="D123" s="179">
        <f t="shared" si="8"/>
        <v>2240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5">
      <c r="A124" s="180">
        <f>'Données projet'!A122</f>
        <v>100</v>
      </c>
      <c r="B124" s="181">
        <f>'Données projet'!D122</f>
        <v>55</v>
      </c>
      <c r="C124" s="191">
        <v>50</v>
      </c>
      <c r="D124" s="179">
        <f t="shared" si="8"/>
        <v>2750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5">
      <c r="A125" s="180">
        <f>'Données projet'!A123</f>
        <v>110</v>
      </c>
      <c r="B125" s="181">
        <f>'Données projet'!D123</f>
        <v>51</v>
      </c>
      <c r="C125" s="191">
        <v>60</v>
      </c>
      <c r="D125" s="179">
        <f t="shared" si="8"/>
        <v>3060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5">
      <c r="A126" s="180">
        <f>'Données projet'!A124</f>
        <v>120</v>
      </c>
      <c r="B126" s="181">
        <f>'Données projet'!D124</f>
        <v>352</v>
      </c>
      <c r="C126" s="191">
        <v>180</v>
      </c>
      <c r="D126" s="179">
        <f t="shared" si="8"/>
        <v>63360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5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ht="30" x14ac:dyDescent="0.2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2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2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2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2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2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2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2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2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2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2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2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2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2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2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2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2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2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2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2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2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2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2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2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2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2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2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2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2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2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2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2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2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2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2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2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2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2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2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2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006D02EFB7524E92A31806A20933C4" ma:contentTypeVersion="16" ma:contentTypeDescription="Crée un document." ma:contentTypeScope="" ma:versionID="0e9e021c327d8551a1f55b1299a1ead0">
  <xsd:schema xmlns:xsd="http://www.w3.org/2001/XMLSchema" xmlns:xs="http://www.w3.org/2001/XMLSchema" xmlns:p="http://schemas.microsoft.com/office/2006/metadata/properties" xmlns:ns2="7f778677-e8d3-4866-966d-dd352b4d4b95" xmlns:ns3="655929c3-d7c5-4e51-b5f8-f25933e16e57" targetNamespace="http://schemas.microsoft.com/office/2006/metadata/properties" ma:root="true" ma:fieldsID="2136bc5999714f027c7596c726032f96" ns2:_="" ns3:_="">
    <xsd:import namespace="7f778677-e8d3-4866-966d-dd352b4d4b95"/>
    <xsd:import namespace="655929c3-d7c5-4e51-b5f8-f25933e16e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778677-e8d3-4866-966d-dd352b4d4b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alises d’images" ma:readOnly="false" ma:fieldId="{5cf76f15-5ced-4ddc-b409-7134ff3c332f}" ma:taxonomyMulti="true" ma:sspId="c31a7892-0253-4b23-af1e-d16b272054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5929c3-d7c5-4e51-b5f8-f25933e16e5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035bd7a-0690-4dae-a8f1-713ab1cfbd47}" ma:internalName="TaxCatchAll" ma:showField="CatchAllData" ma:web="655929c3-d7c5-4e51-b5f8-f25933e16e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025F396-F520-4214-B137-FFBC1F0B94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778677-e8d3-4866-966d-dd352b4d4b95"/>
    <ds:schemaRef ds:uri="655929c3-d7c5-4e51-b5f8-f25933e16e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6CB8604-1778-4425-9497-BFC15C0CA2D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Florent CORNIAUX</cp:lastModifiedBy>
  <dcterms:created xsi:type="dcterms:W3CDTF">2021-02-01T08:22:39Z</dcterms:created>
  <dcterms:modified xsi:type="dcterms:W3CDTF">2024-03-29T13:57:40Z</dcterms:modified>
</cp:coreProperties>
</file>