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A_Reboisement Naudet_Laurenty_Dainville Bertheléville 1 (55)\Dossier d_instruction\"/>
    </mc:Choice>
  </mc:AlternateContent>
  <xr:revisionPtr revIDLastSave="0" documentId="13_ncr:1_{7C96C7E3-25CA-4C66-8307-FBD2377D71F6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HJ154" i="2"/>
  <c r="DI154" i="2"/>
  <c r="ED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ED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EY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HG195" i="2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HG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HJ200" i="2"/>
  <c r="DI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EW202" i="2"/>
  <c r="EY201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5" i="2" a="1"/>
  <c r="GT115" i="2" s="1"/>
  <c r="GT68" i="2" a="1"/>
  <c r="GT68" i="2" s="1"/>
  <c r="GT51" i="2" a="1"/>
  <c r="GT51" i="2" s="1"/>
  <c r="GT122" i="2" a="1"/>
  <c r="GT122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129" i="2" a="1"/>
  <c r="CS129" i="2" s="1"/>
  <c r="DN137" i="2" a="1"/>
  <c r="DN137" i="2" s="1"/>
  <c r="DN29" i="2" a="1"/>
  <c r="DN29" i="2" s="1"/>
  <c r="DN113" i="2" a="1"/>
  <c r="DN113" i="2" s="1"/>
  <c r="DN153" i="2" a="1"/>
  <c r="DN153" i="2" s="1"/>
  <c r="DN188" i="2" a="1"/>
  <c r="DN188" i="2" s="1"/>
  <c r="EI195" i="2" a="1"/>
  <c r="EI195" i="2" s="1"/>
  <c r="CS137" i="2" a="1"/>
  <c r="CS137" i="2" s="1"/>
  <c r="DN103" i="2" a="1"/>
  <c r="DN103" i="2" s="1"/>
  <c r="AH62" i="2" a="1"/>
  <c r="AH62" i="2" s="1"/>
  <c r="BC55" i="2" a="1"/>
  <c r="BC55" i="2" s="1"/>
  <c r="BC32" i="2" a="1"/>
  <c r="BC32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38" i="2" a="1"/>
  <c r="DN38" i="2" s="1"/>
  <c r="DN162" i="2" a="1"/>
  <c r="DN162" i="2" s="1"/>
  <c r="DN110" i="2" a="1"/>
  <c r="DN110" i="2" s="1"/>
  <c r="DN55" i="2" a="1"/>
  <c r="DN55" i="2" s="1"/>
  <c r="DN133" i="2" a="1"/>
  <c r="DN133" i="2" s="1"/>
  <c r="DN190" i="2" a="1"/>
  <c r="DN190" i="2" s="1"/>
  <c r="DN6" i="2" a="1"/>
  <c r="DN6" i="2" s="1"/>
  <c r="DO6" i="2" s="1"/>
  <c r="DN46" i="2" a="1"/>
  <c r="DN46" i="2" s="1"/>
  <c r="DN30" i="2" a="1"/>
  <c r="DN30" i="2" s="1"/>
  <c r="CS24" i="2" a="1"/>
  <c r="CS24" i="2" s="1"/>
  <c r="DN45" i="2" a="1"/>
  <c r="DN45" i="2" s="1"/>
  <c r="DN187" i="2" a="1"/>
  <c r="DN187" i="2" s="1"/>
  <c r="AX200" i="2"/>
  <c r="FY86" i="2" l="1" a="1"/>
  <c r="FY86" i="2" s="1"/>
  <c r="CS72" i="2" a="1"/>
  <c r="CS72" i="2" s="1"/>
  <c r="CS38" i="2" a="1"/>
  <c r="CS38" i="2" s="1"/>
  <c r="AH19" i="2" a="1"/>
  <c r="AH19" i="2" s="1"/>
  <c r="CS52" i="2" a="1"/>
  <c r="CS52" i="2" s="1"/>
  <c r="CS114" i="2" a="1"/>
  <c r="CS114" i="2" s="1"/>
  <c r="CS105" i="2" a="1"/>
  <c r="CS105" i="2" s="1"/>
  <c r="CS77" i="2" a="1"/>
  <c r="CS77" i="2" s="1"/>
  <c r="CS116" i="2" a="1"/>
  <c r="CS116" i="2" s="1"/>
  <c r="CS66" i="2" a="1"/>
  <c r="CS66" i="2" s="1"/>
  <c r="CS134" i="2" a="1"/>
  <c r="CS134" i="2" s="1"/>
  <c r="CS56" i="2" a="1"/>
  <c r="CS56" i="2" s="1"/>
  <c r="FY196" i="2" a="1"/>
  <c r="FY196" i="2" s="1"/>
  <c r="CS161" i="2" a="1"/>
  <c r="CS161" i="2" s="1"/>
  <c r="FY35" i="2" a="1"/>
  <c r="FY35" i="2" s="1"/>
  <c r="GT121" i="2" a="1"/>
  <c r="GT121" i="2" s="1"/>
  <c r="GT181" i="2" a="1"/>
  <c r="GT181" i="2" s="1"/>
  <c r="GT184" i="2" a="1"/>
  <c r="GT184" i="2" s="1"/>
  <c r="GT133" i="2" a="1"/>
  <c r="GT133" i="2" s="1"/>
  <c r="FY142" i="2" a="1"/>
  <c r="FY142" i="2" s="1"/>
  <c r="FY172" i="2" a="1"/>
  <c r="FY172" i="2" s="1"/>
  <c r="FY149" i="2" a="1"/>
  <c r="FY149" i="2" s="1"/>
  <c r="FY62" i="2" a="1"/>
  <c r="FY62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80" i="2" a="1"/>
  <c r="FY80" i="2" s="1"/>
  <c r="FY82" i="2" a="1"/>
  <c r="FY82" i="2" s="1"/>
  <c r="FY58" i="2" a="1"/>
  <c r="FY58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30" i="2" a="1"/>
  <c r="FY30" i="2" s="1"/>
  <c r="FY182" i="2" a="1"/>
  <c r="FY182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121" i="2" a="1"/>
  <c r="FY121" i="2" s="1"/>
  <c r="FY167" i="2" a="1"/>
  <c r="FY167" i="2" s="1"/>
  <c r="FY42" i="2" a="1"/>
  <c r="FY42" i="2" s="1"/>
  <c r="FY115" i="2" a="1"/>
  <c r="FY115" i="2" s="1"/>
  <c r="FY164" i="2" a="1"/>
  <c r="FY164" i="2" s="1"/>
  <c r="FY169" i="2" a="1"/>
  <c r="FY169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47" i="2" a="1"/>
  <c r="FY47" i="2" s="1"/>
  <c r="FY32" i="2" a="1"/>
  <c r="FY32" i="2" s="1"/>
  <c r="FY50" i="2" a="1"/>
  <c r="FY50" i="2" s="1"/>
  <c r="FD82" i="2" a="1"/>
  <c r="FD82" i="2" s="1"/>
  <c r="FD187" i="2" a="1"/>
  <c r="FD187" i="2" s="1"/>
  <c r="FD160" i="2" a="1"/>
  <c r="FD160" i="2" s="1"/>
  <c r="FD137" i="2" a="1"/>
  <c r="FD137" i="2" s="1"/>
  <c r="FD159" i="2" a="1"/>
  <c r="FD159" i="2" s="1"/>
  <c r="FD44" i="2" a="1"/>
  <c r="FD44" i="2" s="1"/>
  <c r="FD107" i="2" a="1"/>
  <c r="FD107" i="2" s="1"/>
  <c r="FD189" i="2" a="1"/>
  <c r="FD189" i="2" s="1"/>
  <c r="AH163" i="2" a="1"/>
  <c r="AH163" i="2" s="1"/>
  <c r="DN65" i="2" a="1"/>
  <c r="DN65" i="2" s="1"/>
  <c r="DN31" i="2" a="1"/>
  <c r="DN31" i="2" s="1"/>
  <c r="DN49" i="2" a="1"/>
  <c r="DN49" i="2" s="1"/>
  <c r="DN168" i="2" a="1"/>
  <c r="DN168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56" i="2" a="1"/>
  <c r="DN56" i="2" s="1"/>
  <c r="DN16" i="2" a="1"/>
  <c r="DN16" i="2" s="1"/>
  <c r="DN135" i="2" a="1"/>
  <c r="DN135" i="2" s="1"/>
  <c r="DN80" i="2" a="1"/>
  <c r="DN80" i="2" s="1"/>
  <c r="DN114" i="2" a="1"/>
  <c r="DN114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HH203" i="2"/>
  <c r="EI153" i="2" a="1"/>
  <c r="EI153" i="2" s="1"/>
  <c r="EI166" i="2" a="1"/>
  <c r="EI166" i="2" s="1"/>
  <c r="EI198" i="2" a="1"/>
  <c r="EI198" i="2" s="1"/>
  <c r="EY202" i="2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FY54" i="2" a="1"/>
  <c r="FY54" i="2" s="1"/>
  <c r="FD167" i="2" a="1"/>
  <c r="FD167" i="2" s="1"/>
  <c r="FD188" i="2" a="1"/>
  <c r="FD188" i="2" s="1"/>
  <c r="FD131" i="2" a="1"/>
  <c r="FD131" i="2" s="1"/>
  <c r="FD60" i="2" a="1"/>
  <c r="FD60" i="2" s="1"/>
  <c r="FD194" i="2" a="1"/>
  <c r="FD194" i="2" s="1"/>
  <c r="FD43" i="2" a="1"/>
  <c r="FD43" i="2" s="1"/>
  <c r="FD19" i="2" a="1"/>
  <c r="FD19" i="2" s="1"/>
  <c r="FD64" i="2" a="1"/>
  <c r="FD64" i="2" s="1"/>
  <c r="FD59" i="2" a="1"/>
  <c r="FD59" i="2" s="1"/>
  <c r="FD14" i="2" a="1"/>
  <c r="FD14" i="2" s="1"/>
  <c r="FD144" i="2" a="1"/>
  <c r="FD144" i="2" s="1"/>
  <c r="FD48" i="2" a="1"/>
  <c r="FD48" i="2" s="1"/>
  <c r="FD21" i="2" a="1"/>
  <c r="FD21" i="2" s="1"/>
  <c r="HJ202" i="2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6" i="2" l="1"/>
  <c r="FJ122" i="2"/>
  <c r="FJ46" i="2"/>
  <c r="FJ197" i="2"/>
  <c r="FJ29" i="2"/>
  <c r="FJ38" i="2"/>
  <c r="FJ149" i="2"/>
  <c r="FJ44" i="2"/>
  <c r="FJ128" i="2"/>
  <c r="FJ171" i="2"/>
  <c r="FJ73" i="2"/>
  <c r="FJ195" i="2"/>
  <c r="FJ196" i="2"/>
  <c r="FJ52" i="2"/>
  <c r="FJ27" i="2"/>
  <c r="FJ123" i="2"/>
  <c r="FJ31" i="2"/>
  <c r="FJ189" i="2"/>
  <c r="FJ182" i="2"/>
  <c r="FJ143" i="2"/>
  <c r="FJ43" i="2"/>
  <c r="FJ173" i="2"/>
  <c r="FJ125" i="2"/>
  <c r="FJ48" i="2"/>
  <c r="FJ201" i="2"/>
  <c r="FJ175" i="2"/>
  <c r="FJ170" i="2"/>
  <c r="FJ37" i="2"/>
  <c r="FJ152" i="2"/>
  <c r="FJ202" i="2"/>
  <c r="FJ168" i="2"/>
  <c r="FJ57" i="2"/>
  <c r="FJ135" i="2"/>
  <c r="FJ158" i="2"/>
  <c r="FJ131" i="2"/>
  <c r="FJ138" i="2"/>
  <c r="FJ203" i="2"/>
  <c r="FJ78" i="2"/>
  <c r="FJ10" i="2"/>
  <c r="FJ180" i="2"/>
  <c r="FJ3" i="2"/>
  <c r="C13" i="4" s="1"/>
  <c r="E13" i="4" s="1"/>
  <c r="F13" i="4" s="1"/>
  <c r="G13" i="4" s="1"/>
  <c r="L13" i="4" s="1"/>
  <c r="FJ185" i="2"/>
  <c r="FJ103" i="2"/>
  <c r="FJ85" i="2"/>
  <c r="FJ65" i="2"/>
  <c r="FJ58" i="2"/>
  <c r="FJ79" i="2"/>
  <c r="FJ142" i="2"/>
  <c r="FJ91" i="2"/>
  <c r="FJ84" i="2"/>
  <c r="FJ106" i="2"/>
  <c r="FJ164" i="2"/>
  <c r="FJ199" i="2"/>
  <c r="FJ111" i="2"/>
  <c r="FJ102" i="2"/>
  <c r="FJ105" i="2"/>
  <c r="FJ75" i="2"/>
  <c r="FJ183" i="2"/>
  <c r="FJ179" i="2"/>
  <c r="FJ94" i="2"/>
  <c r="FJ113" i="2"/>
  <c r="FJ53" i="2"/>
  <c r="FJ34" i="2"/>
  <c r="FJ89" i="2"/>
  <c r="FJ76" i="2"/>
  <c r="FJ19" i="2"/>
  <c r="FJ163" i="2"/>
  <c r="FJ82" i="2"/>
  <c r="FJ72" i="2"/>
  <c r="FJ15" i="2"/>
  <c r="FJ50" i="2"/>
  <c r="FJ194" i="2"/>
  <c r="FJ110" i="2"/>
  <c r="FJ6" i="2"/>
  <c r="FJ181" i="2"/>
  <c r="GE111" i="2"/>
  <c r="GE91" i="2"/>
  <c r="GE135" i="2"/>
  <c r="GE18" i="2"/>
  <c r="GE99" i="2"/>
  <c r="GE73" i="2"/>
  <c r="GE89" i="2"/>
  <c r="GE147" i="2"/>
  <c r="GE151" i="2"/>
  <c r="GE52" i="2"/>
  <c r="GE71" i="2"/>
  <c r="GE33" i="2"/>
  <c r="GE76" i="2"/>
  <c r="GE156" i="2"/>
  <c r="GE72" i="2"/>
  <c r="GE114" i="2"/>
  <c r="GE27" i="2"/>
  <c r="GE188" i="2"/>
  <c r="GE116" i="2"/>
  <c r="GE56" i="2"/>
  <c r="GE104" i="2"/>
  <c r="GE140" i="2"/>
  <c r="GE129" i="2"/>
  <c r="GE149" i="2"/>
  <c r="GE77" i="2"/>
  <c r="GE200" i="2"/>
  <c r="GE201" i="2"/>
  <c r="GE43" i="2"/>
  <c r="GE131" i="2"/>
  <c r="GE93" i="2"/>
  <c r="GE166" i="2"/>
  <c r="GE110" i="2"/>
  <c r="GE80" i="2"/>
  <c r="GE173" i="2"/>
  <c r="GE113" i="2"/>
  <c r="GE97" i="2"/>
  <c r="GE75" i="2"/>
  <c r="GE170" i="2"/>
  <c r="GE51" i="2"/>
  <c r="GE79" i="2"/>
  <c r="GE69" i="2"/>
  <c r="GE44" i="2"/>
  <c r="GE145" i="2"/>
  <c r="GE8" i="2"/>
  <c r="GE160" i="2"/>
  <c r="GE148" i="2"/>
  <c r="GE13" i="2"/>
  <c r="GE123" i="2"/>
  <c r="GE21" i="2"/>
  <c r="GE22" i="2"/>
  <c r="GE132" i="2"/>
  <c r="GE23" i="2"/>
  <c r="GE192" i="2"/>
  <c r="GE102" i="2"/>
  <c r="GE168" i="2"/>
  <c r="GE24" i="2"/>
  <c r="GE153" i="2"/>
  <c r="GE144" i="2"/>
  <c r="GE26" i="2"/>
  <c r="GE127" i="2"/>
  <c r="GE40" i="2"/>
  <c r="GE167" i="2"/>
  <c r="GE78" i="2"/>
  <c r="GE203" i="2"/>
  <c r="GE25" i="2"/>
  <c r="GE199" i="2"/>
  <c r="GE15" i="2"/>
  <c r="GE98" i="2"/>
  <c r="GE187" i="2"/>
  <c r="GE182" i="2"/>
  <c r="GE60" i="2"/>
  <c r="GE6" i="2"/>
  <c r="GE14" i="2"/>
  <c r="GE86" i="2"/>
  <c r="GE121" i="2"/>
  <c r="GE164" i="2"/>
  <c r="GE185" i="2"/>
  <c r="GE63" i="2"/>
  <c r="GE117" i="2"/>
  <c r="GE12" i="2"/>
  <c r="GE177" i="2"/>
  <c r="GE186" i="2"/>
  <c r="GE3" i="2"/>
  <c r="C14" i="4" s="1"/>
  <c r="E14" i="4" s="1"/>
  <c r="F14" i="4" s="1"/>
  <c r="G14" i="4" s="1"/>
  <c r="L14" i="4" s="1"/>
  <c r="GE4" i="2"/>
  <c r="GE174" i="2"/>
  <c r="GE130" i="2"/>
  <c r="GE11" i="2"/>
  <c r="GE181" i="2"/>
  <c r="GE193" i="2"/>
  <c r="GE64" i="2"/>
  <c r="GE61" i="2"/>
  <c r="GE101" i="2"/>
  <c r="GE7" i="2"/>
  <c r="GE139" i="2"/>
  <c r="GE165" i="2"/>
  <c r="GE53" i="2"/>
  <c r="GE109" i="2"/>
  <c r="GE5" i="2"/>
  <c r="GE82" i="2"/>
  <c r="GE16" i="2"/>
  <c r="GE143" i="2"/>
  <c r="GE157" i="2"/>
  <c r="GE66" i="2"/>
  <c r="GE19" i="2"/>
  <c r="GE96" i="2"/>
  <c r="GE141" i="2"/>
  <c r="GE95" i="2"/>
  <c r="GE100" i="2"/>
  <c r="GE189" i="2"/>
  <c r="GE62" i="2"/>
  <c r="GE45" i="2"/>
  <c r="GE20" i="2"/>
  <c r="GE195" i="2"/>
  <c r="GE115" i="2"/>
  <c r="GE176" i="2"/>
  <c r="GE41" i="2"/>
  <c r="GE84" i="2"/>
  <c r="GE191" i="2"/>
  <c r="GE17" i="2"/>
  <c r="GE34" i="2"/>
  <c r="GE194" i="2"/>
  <c r="GE184" i="2"/>
  <c r="GE10" i="2"/>
  <c r="GE103" i="2"/>
  <c r="GE198" i="2"/>
  <c r="GE163" i="2"/>
  <c r="GE28" i="2"/>
  <c r="GE178" i="2"/>
  <c r="GE35" i="2"/>
  <c r="GE67" i="2"/>
  <c r="GE29" i="2"/>
  <c r="GE180" i="2"/>
  <c r="GE49" i="2"/>
  <c r="GE108" i="2"/>
  <c r="GE58" i="2"/>
  <c r="GE112" i="2"/>
  <c r="GE32" i="2"/>
  <c r="GE158" i="2"/>
  <c r="GE107" i="2"/>
  <c r="GE124" i="2"/>
  <c r="GE30" i="2"/>
  <c r="GE37" i="2"/>
  <c r="GE88" i="2"/>
  <c r="GE137" i="2"/>
  <c r="GE154" i="2"/>
  <c r="GE122" i="2"/>
  <c r="GE172" i="2"/>
  <c r="GE136" i="2"/>
  <c r="GE119" i="2"/>
  <c r="GE50" i="2"/>
  <c r="GE169" i="2"/>
  <c r="GE183" i="2"/>
  <c r="GE39" i="2"/>
  <c r="GE190" i="2"/>
  <c r="GE134" i="2"/>
  <c r="GE125" i="2"/>
  <c r="GE94" i="2"/>
  <c r="GE9" i="2"/>
  <c r="GE81" i="2"/>
  <c r="GE57" i="2"/>
  <c r="GE92" i="2"/>
  <c r="GE175" i="2"/>
  <c r="GE138" i="2"/>
  <c r="GE196" i="2"/>
  <c r="GE74" i="2"/>
  <c r="GE42" i="2"/>
  <c r="GE65" i="2"/>
  <c r="GE105" i="2"/>
  <c r="GE31" i="2"/>
  <c r="GE159" i="2"/>
  <c r="GE55" i="2"/>
  <c r="GE146" i="2"/>
  <c r="GE197" i="2"/>
  <c r="GE150" i="2"/>
  <c r="GE171" i="2"/>
  <c r="GE36" i="2"/>
  <c r="GE142" i="2"/>
  <c r="GE155" i="2"/>
  <c r="GE120" i="2"/>
  <c r="GE47" i="2"/>
  <c r="GE87" i="2"/>
  <c r="GE118" i="2"/>
  <c r="GE152" i="2"/>
  <c r="GE68" i="2"/>
  <c r="GE46" i="2"/>
  <c r="GE106" i="2"/>
  <c r="GE54" i="2"/>
  <c r="GE202" i="2"/>
  <c r="GE48" i="2"/>
  <c r="GE70" i="2"/>
  <c r="GE126" i="2"/>
  <c r="GE161" i="2"/>
  <c r="GE59" i="2"/>
  <c r="GE162" i="2"/>
  <c r="GE179" i="2"/>
  <c r="GE133" i="2"/>
  <c r="GE83" i="2"/>
  <c r="GE90" i="2"/>
  <c r="GE38" i="2"/>
  <c r="GE128" i="2"/>
  <c r="GE85" i="2"/>
  <c r="FJ129" i="2"/>
  <c r="FJ62" i="2"/>
  <c r="FJ59" i="2"/>
  <c r="FJ176" i="2"/>
  <c r="FJ77" i="2"/>
  <c r="FJ137" i="2"/>
  <c r="FJ144" i="2"/>
  <c r="FJ69" i="2"/>
  <c r="FJ66" i="2"/>
  <c r="FJ155" i="2"/>
  <c r="FJ100" i="2"/>
  <c r="FJ80" i="2"/>
  <c r="FJ162" i="2"/>
  <c r="FJ51" i="2"/>
  <c r="FJ68" i="2"/>
  <c r="FJ23" i="2"/>
  <c r="FJ120" i="2"/>
  <c r="FJ12" i="2"/>
  <c r="FJ86" i="2"/>
  <c r="FJ127" i="2"/>
  <c r="FJ99" i="2"/>
  <c r="FJ161" i="2"/>
  <c r="FJ174" i="2"/>
  <c r="FJ141" i="2"/>
  <c r="FJ17" i="2"/>
  <c r="FJ88" i="2"/>
  <c r="FJ112" i="2"/>
  <c r="FJ64" i="2"/>
  <c r="FJ145" i="2"/>
  <c r="FJ126" i="2"/>
  <c r="FJ8" i="2"/>
  <c r="FJ165" i="2"/>
  <c r="FJ97" i="2"/>
  <c r="FJ191" i="2"/>
  <c r="FJ71" i="2"/>
  <c r="FJ118" i="2"/>
  <c r="FJ160" i="2"/>
  <c r="FJ45" i="2"/>
  <c r="FJ95" i="2"/>
  <c r="FJ132" i="2"/>
  <c r="FJ159" i="2"/>
  <c r="FJ148" i="2"/>
  <c r="FJ104" i="2"/>
  <c r="FJ193" i="2"/>
  <c r="FJ101" i="2"/>
  <c r="FJ56" i="2"/>
  <c r="FJ33" i="2"/>
  <c r="FJ4" i="2"/>
  <c r="FJ36" i="2"/>
  <c r="FJ60" i="2"/>
  <c r="FJ169" i="2"/>
  <c r="FJ5" i="2"/>
  <c r="FJ146" i="2"/>
  <c r="FJ187" i="2"/>
  <c r="FJ63" i="2"/>
  <c r="FJ30" i="2"/>
  <c r="FJ40" i="2"/>
  <c r="FJ74" i="2"/>
  <c r="FJ130" i="2"/>
  <c r="FJ153" i="2"/>
  <c r="FJ7" i="2"/>
  <c r="FJ136" i="2"/>
  <c r="FJ13" i="2"/>
  <c r="FJ151" i="2"/>
  <c r="FJ55" i="2"/>
  <c r="FJ154" i="2"/>
  <c r="FJ116" i="2"/>
  <c r="FJ172" i="2"/>
  <c r="FJ24" i="2"/>
  <c r="FJ35" i="2"/>
  <c r="FJ81" i="2"/>
  <c r="FJ96" i="2"/>
  <c r="FJ42" i="2"/>
  <c r="FJ147" i="2"/>
  <c r="FJ22" i="2"/>
  <c r="FJ134" i="2"/>
  <c r="FJ47" i="2"/>
  <c r="FJ115" i="2"/>
  <c r="FJ177" i="2"/>
  <c r="FJ150" i="2"/>
  <c r="FJ167" i="2"/>
  <c r="FJ39" i="2"/>
  <c r="FJ119" i="2"/>
  <c r="FJ200" i="2"/>
  <c r="FJ90" i="2"/>
  <c r="FJ109" i="2"/>
  <c r="FJ121" i="2"/>
  <c r="FJ18" i="2"/>
  <c r="FJ92" i="2"/>
  <c r="FJ98" i="2"/>
  <c r="FJ198" i="2"/>
  <c r="FJ20" i="2"/>
  <c r="FJ61" i="2"/>
  <c r="FJ139" i="2"/>
  <c r="FJ140" i="2"/>
  <c r="FJ87" i="2"/>
  <c r="FJ28" i="2"/>
  <c r="FJ188" i="2"/>
  <c r="FJ9" i="2"/>
  <c r="FJ67" i="2"/>
  <c r="FJ70" i="2"/>
  <c r="FJ49" i="2"/>
  <c r="FJ41" i="2"/>
  <c r="FJ26" i="2"/>
  <c r="FJ54" i="2"/>
  <c r="FJ25" i="2"/>
  <c r="FJ21" i="2"/>
  <c r="FJ16" i="2"/>
  <c r="FJ114" i="2"/>
  <c r="FJ108" i="2"/>
  <c r="FJ157" i="2"/>
  <c r="FJ190" i="2"/>
  <c r="FJ133" i="2"/>
  <c r="FJ124" i="2"/>
  <c r="FJ93" i="2"/>
  <c r="FJ192" i="2"/>
  <c r="FJ166" i="2"/>
  <c r="FJ184" i="2"/>
  <c r="FJ11" i="2"/>
  <c r="FJ178" i="2"/>
  <c r="FJ32" i="2"/>
  <c r="FJ117" i="2"/>
  <c r="FJ14" i="2"/>
  <c r="FJ186" i="2"/>
  <c r="FJ10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Z171" i="2" l="1"/>
  <c r="GZ20" i="2"/>
  <c r="GZ80" i="2"/>
  <c r="GZ201" i="2"/>
  <c r="GZ115" i="2"/>
  <c r="GZ35" i="2"/>
  <c r="GZ130" i="2"/>
  <c r="GZ39" i="2"/>
  <c r="GZ165" i="2"/>
  <c r="GZ194" i="2"/>
  <c r="GZ183" i="2"/>
  <c r="GZ125" i="2"/>
  <c r="GZ45" i="2"/>
  <c r="GZ151" i="2"/>
  <c r="GZ166" i="2"/>
  <c r="GZ118" i="2"/>
  <c r="GZ106" i="2"/>
  <c r="GZ122" i="2"/>
  <c r="GZ109" i="2"/>
  <c r="GZ96" i="2"/>
  <c r="GZ25" i="2"/>
  <c r="GZ108" i="2"/>
  <c r="GZ147" i="2"/>
  <c r="GZ105" i="2"/>
  <c r="GZ63" i="2"/>
  <c r="GZ53" i="2"/>
  <c r="GZ181" i="2"/>
  <c r="GZ103" i="2"/>
  <c r="GZ121" i="2"/>
  <c r="GZ141" i="2"/>
  <c r="GZ42" i="2"/>
  <c r="GZ7" i="2"/>
  <c r="GZ66" i="2"/>
  <c r="GZ185" i="2"/>
  <c r="GZ26" i="2"/>
  <c r="GZ124" i="2"/>
  <c r="GZ61" i="2"/>
  <c r="GZ193" i="2"/>
  <c r="GZ111" i="2"/>
  <c r="GZ30" i="2"/>
  <c r="GZ88" i="2"/>
  <c r="GZ60" i="2"/>
  <c r="GZ3" i="2"/>
  <c r="C15" i="4" s="1"/>
  <c r="E15" i="4" s="1"/>
  <c r="F15" i="4" s="1"/>
  <c r="G15" i="4" s="1"/>
  <c r="L15" i="4" s="1"/>
  <c r="GZ123" i="2"/>
  <c r="GZ81" i="2"/>
  <c r="GZ13" i="2"/>
  <c r="GZ117" i="2"/>
  <c r="GZ38" i="2"/>
  <c r="GZ22" i="2"/>
  <c r="GZ179" i="2"/>
  <c r="GZ140" i="2"/>
  <c r="GZ49" i="2"/>
  <c r="GZ82" i="2"/>
  <c r="GZ43" i="2"/>
  <c r="GZ99" i="2"/>
  <c r="GZ182" i="2"/>
  <c r="GZ97" i="2"/>
  <c r="GZ56" i="2"/>
  <c r="GZ8" i="2"/>
  <c r="GZ173" i="2"/>
  <c r="GZ78" i="2"/>
  <c r="GZ83" i="2"/>
  <c r="GZ128" i="2"/>
  <c r="GZ59" i="2"/>
  <c r="GZ177" i="2"/>
  <c r="GZ126" i="2"/>
  <c r="GZ24" i="2"/>
  <c r="GZ4" i="2"/>
  <c r="GZ95" i="2"/>
  <c r="GZ62" i="2"/>
  <c r="GZ163" i="2"/>
  <c r="GZ138" i="2"/>
  <c r="GZ98" i="2"/>
  <c r="GZ64" i="2"/>
  <c r="GZ12" i="2"/>
  <c r="GZ188" i="2"/>
  <c r="GZ136" i="2"/>
  <c r="GZ27" i="2"/>
  <c r="GZ176" i="2"/>
  <c r="GZ36" i="2"/>
  <c r="GZ67" i="2"/>
  <c r="GZ189" i="2"/>
  <c r="GZ113" i="2"/>
  <c r="GZ84" i="2"/>
  <c r="GZ50" i="2"/>
  <c r="GZ65" i="2"/>
  <c r="GZ150" i="2"/>
  <c r="GZ15" i="2"/>
  <c r="GZ47" i="2"/>
  <c r="GZ127" i="2"/>
  <c r="GZ92" i="2"/>
  <c r="GZ33" i="2"/>
  <c r="GZ102" i="2"/>
  <c r="GZ5" i="2"/>
  <c r="GZ107" i="2"/>
  <c r="GZ192" i="2"/>
  <c r="GZ57" i="2"/>
  <c r="GZ52" i="2"/>
  <c r="GZ160" i="2"/>
  <c r="GZ114" i="2"/>
  <c r="GZ31" i="2"/>
  <c r="GZ132" i="2"/>
  <c r="GZ184" i="2"/>
  <c r="GZ10" i="2"/>
  <c r="GZ157" i="2"/>
  <c r="GZ119" i="2"/>
  <c r="GZ169" i="2"/>
  <c r="GZ154" i="2"/>
  <c r="GZ195" i="2"/>
  <c r="GZ133" i="2"/>
  <c r="GZ186" i="2"/>
  <c r="GZ73" i="2"/>
  <c r="GZ170" i="2"/>
  <c r="GZ156" i="2"/>
  <c r="GZ196" i="2"/>
  <c r="GZ110" i="2"/>
  <c r="GZ44" i="2"/>
  <c r="GZ167" i="2"/>
  <c r="GZ120" i="2"/>
  <c r="GZ190" i="2"/>
  <c r="GZ146" i="2"/>
  <c r="GZ93" i="2"/>
  <c r="GZ203" i="2"/>
  <c r="GZ40" i="2"/>
  <c r="GZ168" i="2"/>
  <c r="GZ86" i="2"/>
  <c r="GZ112" i="2"/>
  <c r="GZ28" i="2"/>
  <c r="GZ148" i="2"/>
  <c r="GZ11" i="2"/>
  <c r="GZ178" i="2"/>
  <c r="GZ180" i="2"/>
  <c r="GZ76" i="2"/>
  <c r="GZ155" i="2"/>
  <c r="GZ9" i="2"/>
  <c r="GZ85" i="2"/>
  <c r="GZ34" i="2"/>
  <c r="GZ134" i="2"/>
  <c r="GZ17" i="2"/>
  <c r="GZ74" i="2"/>
  <c r="GZ71" i="2"/>
  <c r="GZ87" i="2"/>
  <c r="GZ55" i="2"/>
  <c r="GZ139" i="2"/>
  <c r="GZ161" i="2"/>
  <c r="GZ129" i="2"/>
  <c r="GZ94" i="2"/>
  <c r="GZ32" i="2"/>
  <c r="GZ175" i="2"/>
  <c r="GZ174" i="2"/>
  <c r="GZ158" i="2"/>
  <c r="GZ143" i="2"/>
  <c r="GZ153" i="2"/>
  <c r="GZ162" i="2"/>
  <c r="GZ77" i="2"/>
  <c r="GZ58" i="2"/>
  <c r="GZ137" i="2"/>
  <c r="GZ149" i="2"/>
  <c r="GZ37" i="2"/>
  <c r="GZ89" i="2"/>
  <c r="GZ164" i="2"/>
  <c r="GZ202" i="2"/>
  <c r="GZ19" i="2"/>
  <c r="GZ142" i="2"/>
  <c r="GZ69" i="2"/>
  <c r="GZ172" i="2"/>
  <c r="GZ159" i="2"/>
  <c r="GZ68" i="2"/>
  <c r="GZ75" i="2"/>
  <c r="GZ116" i="2"/>
  <c r="GZ191" i="2"/>
  <c r="GZ6" i="2"/>
  <c r="GZ54" i="2"/>
  <c r="GZ16" i="2"/>
  <c r="GZ100" i="2"/>
  <c r="GZ145" i="2"/>
  <c r="GZ198" i="2"/>
  <c r="GZ131" i="2"/>
  <c r="GZ90" i="2"/>
  <c r="GZ91" i="2"/>
  <c r="GZ79" i="2"/>
  <c r="GZ152" i="2"/>
  <c r="GZ72" i="2"/>
  <c r="GZ14" i="2"/>
  <c r="GZ200" i="2"/>
  <c r="GZ23" i="2"/>
  <c r="GZ41" i="2"/>
  <c r="GZ197" i="2"/>
  <c r="GZ101" i="2"/>
  <c r="GZ70" i="2"/>
  <c r="GZ46" i="2"/>
  <c r="GZ48" i="2"/>
  <c r="GZ21" i="2"/>
  <c r="GZ29" i="2"/>
  <c r="GZ187" i="2"/>
  <c r="GZ51" i="2"/>
  <c r="GZ144" i="2"/>
  <c r="GZ135" i="2"/>
  <c r="GZ199" i="2"/>
  <c r="GZ104" i="2"/>
  <c r="GZ18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<sst xmlns="http://schemas.openxmlformats.org/spreadsheetml/2006/main" count="1189" uniqueCount="334">
  <si>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</si>
  <si>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</si>
  <si>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</si>
  <si>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</si>
  <si>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</si>
  <si>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</si>
  <si>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</si>
  <si>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</si>
  <si>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</si>
  <si>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</si>
  <si>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</si>
  <si>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</si>
  <si>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</si>
  <si>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</si>
  <si>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</si>
  <si>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</si>
  <si>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</si>
  <si>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</si>
  <si>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</si>
  <si>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</si>
  <si>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</si>
  <si>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</si>
  <si>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</si>
  <si>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</si>
  <si>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</si>
  <si>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</si>
  <si>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</si>
  <si>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</si>
  <si>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</si>
  <si>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</si>
  <si>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</si>
  <si>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</si>
  <si>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</si>
  <si>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</si>
  <si>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</si>
  <si>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</si>
  <si>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</si>
  <si>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</si>
  <si>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</si>
  <si>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</si>
  <si>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</si>
  <si>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</si>
  <si>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</si>
  <si>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</si>
  <si>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</si>
  <si>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</si>
  <si>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</si>
  <si>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</si>
  <si>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</si>
  <si>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</si>
  <si>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</si>
  <si>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</si>
  <si>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</si>
  <si>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</si>
  <si>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</si>
  <si>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</si>
  <si>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</si>
  <si>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</si>
  <si>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</si>
  <si>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</si>
  <si>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</si>
  <si>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</si>
  <si>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</si>
  <si>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</si>
  <si>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</si>
  <si>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</si>
  <si>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</si>
  <si>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</si>
  <si>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</si>
  <si>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</si>
  <si>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</si>
  <si>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</si>
  <si>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</si>
  <si>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</si>
  <si>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</si>
  <si>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</si>
  <si>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</si>
  <si>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</si>
  <si>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</si>
  <si>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</si>
  <si>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</si>
  <si>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</si>
  <si>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</si>
  <si>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</si>
  <si>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</si>
  <si>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</si>
  <si>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</si>
  <si>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</si>
  <si>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</si>
  <si>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</si>
  <si>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</si>
  <si>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</si>
  <si>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</si>
  <si>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</si>
  <si>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</si>
  <si>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</si>
  <si>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</si>
  <si>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</si>
  <si>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</si>
  <si>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</si>
  <si>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</si>
  <si>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</si>
  <si>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</si>
  <si>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</si>
  <si>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</si>
  <si>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</si>
  <si>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</si>
  <si>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</si>
  <si>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</si>
  <si>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</si>
  <si>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</si>
  <si>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</si>
  <si>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</si>
  <si>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</si>
  <si>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</si>
  <si>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</si>
  <si>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</si>
  <si>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</si>
  <si>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</si>
  <si>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</si>
  <si>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</si>
  <si>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</si>
  <si>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</si>
  <si>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</si>
  <si>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</si>
  <si>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</si>
  <si>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</si>
  <si>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</si>
  <si>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</si>
  <si>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</si>
  <si>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</si>
  <si>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</si>
  <si>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</si>
  <si>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</si>
  <si>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</si>
  <si>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</si>
  <si>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</si>
  <si>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</si>
  <si>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</si>
  <si>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</si>
  <si>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</si>
  <si>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</si>
  <si>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</si>
  <si>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</si>
  <si>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</si>
  <si>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</si>
  <si>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</si>
  <si>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</si>
  <si>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</si>
  <si>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</si>
  <si>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</si>
  <si>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</si>
  <si>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</si>
  <si>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</si>
  <si>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</si>
  <si>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</si>
  <si>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</si>
  <si>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</si>
  <si>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</si>
  <si>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</si>
  <si>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</si>
  <si>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</si>
  <si>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</si>
  <si>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</si>
  <si>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</si>
  <si>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</si>
  <si>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</si>
  <si>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</si>
  <si>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</si>
  <si>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</si>
  <si>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</si>
  <si>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</si>
  <si>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</si>
  <si>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</si>
  <si>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</si>
  <si>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</si>
  <si>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</si>
  <si>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</si>
  <si>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</si>
  <si>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</si>
  <si>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</si>
  <si>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</si>
  <si>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</si>
  <si>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</si>
  <si>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</si>
  <si>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</si>
  <si>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</si>
  <si>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</si>
  <si>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</si>
  <si>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</si>
  <si>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</si>
  <si>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</si>
  <si>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</si>
  <si>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</si>
  <si>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</si>
  <si>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</si>
  <si>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</si>
  <si>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</si>
  <si>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</si>
  <si>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</si>
  <si>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</si>
  <si>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</si>
  <si>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</si>
  <si>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</si>
  <si>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</si>
  <si>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</si>
  <si>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</si>
  <si>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</si>
  <si>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</si>
  <si>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</si>
  <si>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</si>
  <si>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</si>
  <si>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</si>
  <si>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</si>
  <si>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</si>
  <si>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</si>
  <si>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</si>
  <si>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</si>
  <si>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</si>
  <si>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</si>
  <si>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</si>
  <si>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</si>
  <si>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</si>
  <si>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</si>
  <si>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</si>
  <si>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</si>
  <si>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</si>
  <si>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</si>
  <si>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</si>
  <si>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</si>
  <si>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</si>
  <si>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</si>
  <si>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</si>
  <si>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</si>
  <si>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</si>
  <si>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</si>
  <si>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</si>
  <si>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</si>
  <si>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</si>
  <si>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</si>
  <si>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</si>
  <si>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</si>
  <si>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</si>
  <si>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</si>
  <si>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</si>
  <si>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</si>
  <si>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</si>
  <si>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</si>
  <si>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</si>
  <si>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</si>
  <si>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</si>
  <si>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</si>
  <si>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</si>
  <si>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</si>
  <si>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</si>
  <si>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</si>
  <si>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</si>
  <si>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</si>
  <si>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</si>
  <si>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</si>
  <si>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</si>
  <si>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</si>
  <si>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</si>
  <si>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</si>
  <si>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</si>
  <si>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</si>
  <si>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</si>
  <si>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</si>
  <si>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</si>
  <si>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</si>
  <si>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</si>
  <si>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</si>
  <si>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</si>
  <si>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</si>
  <si>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</si>
  <si>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</si>
  <si>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</si>
  <si>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</si>
  <si>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</si>
  <si>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</si>
  <si>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</si>
  <si>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</si>
  <si>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</si>
  <si>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</si>
  <si>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</si>
  <si>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</si>
  <si>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</si>
  <si>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</si>
  <si>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</si>
  <si>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</si>
  <si>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</si>
  <si>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</si>
  <si>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</si>
  <si>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</si>
  <si>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</si>
  <si>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</si>
  <si>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</si>
  <si>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</si>
  <si>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</si>
  <si>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</si>
  <si>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</si>
  <si>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</si>
  <si>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</si>
  <si>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</si>
  <si>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</si>
  <si>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</si>
  <si>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</si>
  <si>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</si>
  <si>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</si>
  <si>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</si>
  <si>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</si>
  <si>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</si>
  <si>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</si>
  <si>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</si>
  <si>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</si>
  <si>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</si>
  <si>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</si>
  <si>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</si>
  <si>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</si>
  <si>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</si>
  <si>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</si>
  <si>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</si>
  <si>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</si>
  <si>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</si>
  <si>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classe 4/5 avec table 3/3</t>
  </si>
  <si>
    <t>érable plane et tilleul à grandes feuilles classe 3/5 avec table 3/5</t>
  </si>
  <si>
    <t>cormier, érable plane, tilleul à grandes feuilles classe 4/5 avec table 4/5</t>
  </si>
  <si>
    <t>cèdre de l'atlas et calocèdre classe 4/5 avec table 5/7</t>
  </si>
  <si>
    <t>pin laricio classe 4/5 avec table 5/8</t>
  </si>
  <si>
    <t>séquoia géant classe 4/5 avec table 6/9</t>
  </si>
  <si>
    <t>sapin de bornmuller classe 4/5 avec table 4/6</t>
  </si>
  <si>
    <t>chêne sessile classe 2/5 avec table 1/3</t>
  </si>
  <si>
    <t>chêne pubescent classe 3/5 avec table 2/3</t>
  </si>
  <si>
    <t>érable plane et robinier faux acacia classe 2/5 avec table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</si>
</sst>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584.7539010360191</c:v>
                </c:pt>
                <c:pt idx="117">
                  <c:v>584.7539010360191</c:v>
                </c:pt>
                <c:pt idx="118">
                  <c:v>584.7539010360191</c:v>
                </c:pt>
                <c:pt idx="119">
                  <c:v>584.7539010360191</c:v>
                </c:pt>
                <c:pt idx="120">
                  <c:v>584.7539010360191</c:v>
                </c:pt>
                <c:pt idx="121">
                  <c:v>584.7539010360191</c:v>
                </c:pt>
                <c:pt idx="122">
                  <c:v>584.7539010360191</c:v>
                </c:pt>
                <c:pt idx="123">
                  <c:v>584.7539010360191</c:v>
                </c:pt>
                <c:pt idx="124">
                  <c:v>584.7539010360191</c:v>
                </c:pt>
                <c:pt idx="125">
                  <c:v>584.7539010360191</c:v>
                </c:pt>
                <c:pt idx="126">
                  <c:v>584.7539010360191</c:v>
                </c:pt>
                <c:pt idx="127">
                  <c:v>584.7539010360191</c:v>
                </c:pt>
                <c:pt idx="128">
                  <c:v>584.7539010360191</c:v>
                </c:pt>
                <c:pt idx="129">
                  <c:v>584.7539010360191</c:v>
                </c:pt>
                <c:pt idx="130">
                  <c:v>584.7539010360191</c:v>
                </c:pt>
                <c:pt idx="131">
                  <c:v>584.7539010360191</c:v>
                </c:pt>
                <c:pt idx="132">
                  <c:v>584.7539010360191</c:v>
                </c:pt>
                <c:pt idx="133">
                  <c:v>584.7539010360191</c:v>
                </c:pt>
                <c:pt idx="134">
                  <c:v>584.7539010360191</c:v>
                </c:pt>
                <c:pt idx="135">
                  <c:v>584.7539010360191</c:v>
                </c:pt>
                <c:pt idx="136">
                  <c:v>584.7539010360191</c:v>
                </c:pt>
                <c:pt idx="137">
                  <c:v>584.7539010360191</c:v>
                </c:pt>
                <c:pt idx="138">
                  <c:v>584.7539010360191</c:v>
                </c:pt>
                <c:pt idx="139">
                  <c:v>584.7539010360191</c:v>
                </c:pt>
                <c:pt idx="140">
                  <c:v>584.7539010360191</c:v>
                </c:pt>
                <c:pt idx="141">
                  <c:v>584.7539010360191</c:v>
                </c:pt>
                <c:pt idx="142">
                  <c:v>584.7539010360191</c:v>
                </c:pt>
                <c:pt idx="143">
                  <c:v>584.7539010360191</c:v>
                </c:pt>
                <c:pt idx="144">
                  <c:v>584.7539010360191</c:v>
                </c:pt>
                <c:pt idx="145">
                  <c:v>584.7539010360191</c:v>
                </c:pt>
                <c:pt idx="146">
                  <c:v>584.7539010360191</c:v>
                </c:pt>
                <c:pt idx="147">
                  <c:v>584.7539010360191</c:v>
                </c:pt>
                <c:pt idx="148">
                  <c:v>584.7539010360191</c:v>
                </c:pt>
                <c:pt idx="149">
                  <c:v>584.7539010360191</c:v>
                </c:pt>
                <c:pt idx="150">
                  <c:v>584.7539010360191</c:v>
                </c:pt>
                <c:pt idx="151">
                  <c:v>584.7539010360191</c:v>
                </c:pt>
                <c:pt idx="152">
                  <c:v>584.7539010360191</c:v>
                </c:pt>
                <c:pt idx="153">
                  <c:v>584.7539010360191</c:v>
                </c:pt>
                <c:pt idx="154">
                  <c:v>584.7539010360191</c:v>
                </c:pt>
                <c:pt idx="155">
                  <c:v>584.7539010360191</c:v>
                </c:pt>
                <c:pt idx="156">
                  <c:v>584.7539010360191</c:v>
                </c:pt>
                <c:pt idx="157">
                  <c:v>584.7539010360191</c:v>
                </c:pt>
                <c:pt idx="158">
                  <c:v>584.7539010360191</c:v>
                </c:pt>
                <c:pt idx="159">
                  <c:v>584.7539010360191</c:v>
                </c:pt>
                <c:pt idx="160">
                  <c:v>584.7539010360191</c:v>
                </c:pt>
                <c:pt idx="161">
                  <c:v>584.7539010360191</c:v>
                </c:pt>
                <c:pt idx="162">
                  <c:v>584.7539010360191</c:v>
                </c:pt>
                <c:pt idx="163">
                  <c:v>584.7539010360191</c:v>
                </c:pt>
                <c:pt idx="164">
                  <c:v>584.7539010360191</c:v>
                </c:pt>
                <c:pt idx="165">
                  <c:v>584.7539010360191</c:v>
                </c:pt>
                <c:pt idx="166">
                  <c:v>584.7539010360191</c:v>
                </c:pt>
                <c:pt idx="167">
                  <c:v>584.7539010360191</c:v>
                </c:pt>
                <c:pt idx="168">
                  <c:v>584.7539010360191</c:v>
                </c:pt>
                <c:pt idx="169">
                  <c:v>584.7539010360191</c:v>
                </c:pt>
                <c:pt idx="170">
                  <c:v>584.7539010360191</c:v>
                </c:pt>
                <c:pt idx="171">
                  <c:v>584.7539010360191</c:v>
                </c:pt>
                <c:pt idx="172">
                  <c:v>584.7539010360191</c:v>
                </c:pt>
                <c:pt idx="173">
                  <c:v>584.7539010360191</c:v>
                </c:pt>
                <c:pt idx="174">
                  <c:v>584.7539010360191</c:v>
                </c:pt>
                <c:pt idx="175">
                  <c:v>584.7539010360191</c:v>
                </c:pt>
                <c:pt idx="176">
                  <c:v>584.7539010360191</c:v>
                </c:pt>
                <c:pt idx="177">
                  <c:v>584.7539010360191</c:v>
                </c:pt>
                <c:pt idx="178">
                  <c:v>584.7539010360191</c:v>
                </c:pt>
                <c:pt idx="179">
                  <c:v>584.7539010360191</c:v>
                </c:pt>
                <c:pt idx="180">
                  <c:v>584.7539010360191</c:v>
                </c:pt>
                <c:pt idx="181">
                  <c:v>584.7539010360191</c:v>
                </c:pt>
                <c:pt idx="182">
                  <c:v>584.7539010360191</c:v>
                </c:pt>
                <c:pt idx="183">
                  <c:v>584.7539010360191</c:v>
                </c:pt>
                <c:pt idx="184">
                  <c:v>584.7539010360191</c:v>
                </c:pt>
                <c:pt idx="185">
                  <c:v>584.7539010360191</c:v>
                </c:pt>
                <c:pt idx="186">
                  <c:v>584.7539010360191</c:v>
                </c:pt>
                <c:pt idx="187">
                  <c:v>584.7539010360191</c:v>
                </c:pt>
                <c:pt idx="188">
                  <c:v>584.7539010360191</c:v>
                </c:pt>
                <c:pt idx="189">
                  <c:v>584.7539010360191</c:v>
                </c:pt>
                <c:pt idx="190">
                  <c:v>584.7539010360191</c:v>
                </c:pt>
                <c:pt idx="191">
                  <c:v>584.7539010360191</c:v>
                </c:pt>
                <c:pt idx="192">
                  <c:v>584.7539010360191</c:v>
                </c:pt>
                <c:pt idx="193">
                  <c:v>584.7539010360191</c:v>
                </c:pt>
                <c:pt idx="194">
                  <c:v>584.7539010360191</c:v>
                </c:pt>
                <c:pt idx="195">
                  <c:v>584.7539010360191</c:v>
                </c:pt>
                <c:pt idx="196">
                  <c:v>584.7539010360191</c:v>
                </c:pt>
                <c:pt idx="197">
                  <c:v>584.7539010360191</c:v>
                </c:pt>
                <c:pt idx="198">
                  <c:v>584.7539010360191</c:v>
                </c:pt>
                <c:pt idx="199">
                  <c:v>584.7539010360191</c:v>
                </c:pt>
                <c:pt idx="200">
                  <c:v>584.7539010360191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388.31498751962249</c:v>
                </c:pt>
                <c:pt idx="92">
                  <c:v>395.63572388568315</c:v>
                </c:pt>
                <c:pt idx="93">
                  <c:v>402.95352523018437</c:v>
                </c:pt>
                <c:pt idx="94">
                  <c:v>410.2684524106769</c:v>
                </c:pt>
                <c:pt idx="95">
                  <c:v>417.58056393601947</c:v>
                </c:pt>
                <c:pt idx="96">
                  <c:v>397.56174311317301</c:v>
                </c:pt>
                <c:pt idx="97">
                  <c:v>404.49374675366954</c:v>
                </c:pt>
                <c:pt idx="98">
                  <c:v>411.42318205612014</c:v>
                </c:pt>
                <c:pt idx="99">
                  <c:v>418.35009841196273</c:v>
                </c:pt>
                <c:pt idx="100">
                  <c:v>425.27454344239959</c:v>
                </c:pt>
                <c:pt idx="101">
                  <c:v>404.49374675366954</c:v>
                </c:pt>
                <c:pt idx="102">
                  <c:v>410.65337008044474</c:v>
                </c:pt>
                <c:pt idx="103">
                  <c:v>416.81099888731961</c:v>
                </c:pt>
                <c:pt idx="104">
                  <c:v>422.96666682108594</c:v>
                </c:pt>
                <c:pt idx="105">
                  <c:v>429.12040646848044</c:v>
                </c:pt>
                <c:pt idx="106">
                  <c:v>407.95878231757428</c:v>
                </c:pt>
                <c:pt idx="107">
                  <c:v>413.73243167051163</c:v>
                </c:pt>
                <c:pt idx="108">
                  <c:v>419.50434294248186</c:v>
                </c:pt>
                <c:pt idx="109">
                  <c:v>425.27454344239953</c:v>
                </c:pt>
                <c:pt idx="110">
                  <c:v>431.04305967701981</c:v>
                </c:pt>
                <c:pt idx="111">
                  <c:v>411.80807637868742</c:v>
                </c:pt>
                <c:pt idx="112">
                  <c:v>417.58056393601925</c:v>
                </c:pt>
                <c:pt idx="113">
                  <c:v>423.35133170920312</c:v>
                </c:pt>
                <c:pt idx="114">
                  <c:v>429.12040646848044</c:v>
                </c:pt>
                <c:pt idx="115">
                  <c:v>434.88781420496622</c:v>
                </c:pt>
                <c:pt idx="116">
                  <c:v>414.88695208566054</c:v>
                </c:pt>
                <c:pt idx="117">
                  <c:v>419.88907590240768</c:v>
                </c:pt>
                <c:pt idx="118">
                  <c:v>424.88991609746768</c:v>
                </c:pt>
                <c:pt idx="119">
                  <c:v>429.88948992506386</c:v>
                </c:pt>
                <c:pt idx="120">
                  <c:v>434.88781420496616</c:v>
                </c:pt>
                <c:pt idx="121">
                  <c:v>411.80807637868742</c:v>
                </c:pt>
                <c:pt idx="122">
                  <c:v>411.80807637868742</c:v>
                </c:pt>
                <c:pt idx="123">
                  <c:v>411.80807637868742</c:v>
                </c:pt>
                <c:pt idx="124">
                  <c:v>411.80807637868742</c:v>
                </c:pt>
                <c:pt idx="125">
                  <c:v>411.80807637868742</c:v>
                </c:pt>
                <c:pt idx="126">
                  <c:v>411.80807637868742</c:v>
                </c:pt>
                <c:pt idx="127">
                  <c:v>411.80807637868742</c:v>
                </c:pt>
                <c:pt idx="128">
                  <c:v>411.80807637868742</c:v>
                </c:pt>
                <c:pt idx="129">
                  <c:v>411.80807637868742</c:v>
                </c:pt>
                <c:pt idx="130">
                  <c:v>411.80807637868742</c:v>
                </c:pt>
                <c:pt idx="131">
                  <c:v>411.80807637868742</c:v>
                </c:pt>
                <c:pt idx="132">
                  <c:v>411.80807637868742</c:v>
                </c:pt>
                <c:pt idx="133">
                  <c:v>411.80807637868742</c:v>
                </c:pt>
                <c:pt idx="134">
                  <c:v>411.80807637868742</c:v>
                </c:pt>
                <c:pt idx="135">
                  <c:v>411.80807637868742</c:v>
                </c:pt>
                <c:pt idx="136">
                  <c:v>411.80807637868742</c:v>
                </c:pt>
                <c:pt idx="137">
                  <c:v>411.80807637868742</c:v>
                </c:pt>
                <c:pt idx="138">
                  <c:v>411.80807637868742</c:v>
                </c:pt>
                <c:pt idx="139">
                  <c:v>411.80807637868742</c:v>
                </c:pt>
                <c:pt idx="140">
                  <c:v>411.80807637868742</c:v>
                </c:pt>
                <c:pt idx="141">
                  <c:v>411.80807637868742</c:v>
                </c:pt>
                <c:pt idx="142">
                  <c:v>411.80807637868742</c:v>
                </c:pt>
                <c:pt idx="143">
                  <c:v>411.80807637868742</c:v>
                </c:pt>
                <c:pt idx="144">
                  <c:v>411.80807637868742</c:v>
                </c:pt>
                <c:pt idx="145">
                  <c:v>411.80807637868742</c:v>
                </c:pt>
                <c:pt idx="146">
                  <c:v>411.80807637868742</c:v>
                </c:pt>
                <c:pt idx="147">
                  <c:v>411.80807637868742</c:v>
                </c:pt>
                <c:pt idx="148">
                  <c:v>411.80807637868742</c:v>
                </c:pt>
                <c:pt idx="149">
                  <c:v>411.80807637868742</c:v>
                </c:pt>
                <c:pt idx="150">
                  <c:v>411.80807637868742</c:v>
                </c:pt>
                <c:pt idx="151">
                  <c:v>411.80807637868742</c:v>
                </c:pt>
                <c:pt idx="152">
                  <c:v>411.80807637868742</c:v>
                </c:pt>
                <c:pt idx="153">
                  <c:v>411.80807637868742</c:v>
                </c:pt>
                <c:pt idx="154">
                  <c:v>411.80807637868742</c:v>
                </c:pt>
                <c:pt idx="155">
                  <c:v>411.80807637868742</c:v>
                </c:pt>
                <c:pt idx="156">
                  <c:v>411.80807637868742</c:v>
                </c:pt>
                <c:pt idx="157">
                  <c:v>411.80807637868742</c:v>
                </c:pt>
                <c:pt idx="158">
                  <c:v>411.80807637868742</c:v>
                </c:pt>
                <c:pt idx="159">
                  <c:v>411.80807637868742</c:v>
                </c:pt>
                <c:pt idx="160">
                  <c:v>411.80807637868742</c:v>
                </c:pt>
                <c:pt idx="161">
                  <c:v>411.80807637868742</c:v>
                </c:pt>
                <c:pt idx="162">
                  <c:v>411.80807637868742</c:v>
                </c:pt>
                <c:pt idx="163">
                  <c:v>411.80807637868742</c:v>
                </c:pt>
                <c:pt idx="164">
                  <c:v>411.80807637868742</c:v>
                </c:pt>
                <c:pt idx="165">
                  <c:v>411.80807637868742</c:v>
                </c:pt>
                <c:pt idx="166">
                  <c:v>411.80807637868742</c:v>
                </c:pt>
                <c:pt idx="167">
                  <c:v>411.80807637868742</c:v>
                </c:pt>
                <c:pt idx="168">
                  <c:v>411.80807637868742</c:v>
                </c:pt>
                <c:pt idx="169">
                  <c:v>411.80807637868742</c:v>
                </c:pt>
                <c:pt idx="170">
                  <c:v>411.80807637868742</c:v>
                </c:pt>
                <c:pt idx="171">
                  <c:v>411.80807637868742</c:v>
                </c:pt>
                <c:pt idx="172">
                  <c:v>411.80807637868742</c:v>
                </c:pt>
                <c:pt idx="173">
                  <c:v>411.80807637868742</c:v>
                </c:pt>
                <c:pt idx="174">
                  <c:v>411.80807637868742</c:v>
                </c:pt>
                <c:pt idx="175">
                  <c:v>411.80807637868742</c:v>
                </c:pt>
                <c:pt idx="176">
                  <c:v>411.80807637868742</c:v>
                </c:pt>
                <c:pt idx="177">
                  <c:v>411.80807637868742</c:v>
                </c:pt>
                <c:pt idx="178">
                  <c:v>411.80807637868742</c:v>
                </c:pt>
                <c:pt idx="179">
                  <c:v>411.80807637868742</c:v>
                </c:pt>
                <c:pt idx="180">
                  <c:v>411.80807637868742</c:v>
                </c:pt>
                <c:pt idx="181">
                  <c:v>411.80807637868742</c:v>
                </c:pt>
                <c:pt idx="182">
                  <c:v>411.80807637868742</c:v>
                </c:pt>
                <c:pt idx="183">
                  <c:v>411.80807637868742</c:v>
                </c:pt>
                <c:pt idx="184">
                  <c:v>411.80807637868742</c:v>
                </c:pt>
                <c:pt idx="185">
                  <c:v>411.80807637868742</c:v>
                </c:pt>
                <c:pt idx="186">
                  <c:v>411.80807637868742</c:v>
                </c:pt>
                <c:pt idx="187">
                  <c:v>411.80807637868742</c:v>
                </c:pt>
                <c:pt idx="188">
                  <c:v>411.80807637868742</c:v>
                </c:pt>
                <c:pt idx="189">
                  <c:v>411.80807637868742</c:v>
                </c:pt>
                <c:pt idx="190">
                  <c:v>411.80807637868742</c:v>
                </c:pt>
                <c:pt idx="191">
                  <c:v>411.80807637868742</c:v>
                </c:pt>
                <c:pt idx="192">
                  <c:v>411.80807637868742</c:v>
                </c:pt>
                <c:pt idx="193">
                  <c:v>411.80807637868742</c:v>
                </c:pt>
                <c:pt idx="194">
                  <c:v>411.80807637868742</c:v>
                </c:pt>
                <c:pt idx="195">
                  <c:v>411.80807637868742</c:v>
                </c:pt>
                <c:pt idx="196">
                  <c:v>411.80807637868742</c:v>
                </c:pt>
                <c:pt idx="197">
                  <c:v>411.80807637868742</c:v>
                </c:pt>
                <c:pt idx="198">
                  <c:v>411.80807637868742</c:v>
                </c:pt>
                <c:pt idx="199">
                  <c:v>411.80807637868742</c:v>
                </c:pt>
                <c:pt idx="200">
                  <c:v>411.80807637868742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3.1454209593374802</c:v>
                </c:pt>
                <c:pt idx="2">
                  <c:v>3.6225401599219018</c:v>
                </c:pt>
                <c:pt idx="3">
                  <c:v>4.1722898309829031</c:v>
                </c:pt>
                <c:pt idx="4">
                  <c:v>4.8057633359836789</c:v>
                </c:pt>
                <c:pt idx="5">
                  <c:v>5.5357537096685929</c:v>
                </c:pt>
                <c:pt idx="6">
                  <c:v>6.3770148303869973</c:v>
                </c:pt>
                <c:pt idx="7">
                  <c:v>7.3465628319779723</c:v>
                </c:pt>
                <c:pt idx="8">
                  <c:v>8.4640239703168252</c:v>
                </c:pt>
                <c:pt idx="9">
                  <c:v>9.7520361217236395</c:v>
                </c:pt>
                <c:pt idx="10">
                  <c:v>11.236712201771768</c:v>
                </c:pt>
                <c:pt idx="11">
                  <c:v>12.948175076802679</c:v>
                </c:pt>
                <c:pt idx="12">
                  <c:v>14.921175023455312</c:v>
                </c:pt>
                <c:pt idx="13">
                  <c:v>17.19580250472919</c:v>
                </c:pt>
                <c:pt idx="14">
                  <c:v>19.818311010320141</c:v>
                </c:pt>
                <c:pt idx="15">
                  <c:v>22.842066995571802</c:v>
                </c:pt>
                <c:pt idx="16">
                  <c:v>46.20730554948593</c:v>
                </c:pt>
                <c:pt idx="17">
                  <c:v>69.243436492605255</c:v>
                </c:pt>
                <c:pt idx="18">
                  <c:v>92.079685303063741</c:v>
                </c:pt>
                <c:pt idx="19">
                  <c:v>114.77335861397853</c:v>
                </c:pt>
                <c:pt idx="20">
                  <c:v>137.35681781065568</c:v>
                </c:pt>
                <c:pt idx="21">
                  <c:v>111.47133468645548</c:v>
                </c:pt>
                <c:pt idx="22">
                  <c:v>135.00884169160113</c:v>
                </c:pt>
                <c:pt idx="23">
                  <c:v>158.44725261766806</c:v>
                </c:pt>
                <c:pt idx="24">
                  <c:v>181.80332238755173</c:v>
                </c:pt>
                <c:pt idx="25">
                  <c:v>205.08912920241872</c:v>
                </c:pt>
                <c:pt idx="26">
                  <c:v>179.00450954681364</c:v>
                </c:pt>
                <c:pt idx="27">
                  <c:v>201.83298159430865</c:v>
                </c:pt>
                <c:pt idx="28">
                  <c:v>224.60163091968559</c:v>
                </c:pt>
                <c:pt idx="29">
                  <c:v>247.31737533025003</c:v>
                </c:pt>
                <c:pt idx="30">
                  <c:v>269.98575654902885</c:v>
                </c:pt>
                <c:pt idx="31">
                  <c:v>241.29557265534103</c:v>
                </c:pt>
                <c:pt idx="32">
                  <c:v>261.20128985354512</c:v>
                </c:pt>
                <c:pt idx="33">
                  <c:v>281.07276143896291</c:v>
                </c:pt>
                <c:pt idx="34">
                  <c:v>300.91274840428326</c:v>
                </c:pt>
                <c:pt idx="35">
                  <c:v>320.7236178929042</c:v>
                </c:pt>
                <c:pt idx="36">
                  <c:v>289.84300127315146</c:v>
                </c:pt>
                <c:pt idx="37">
                  <c:v>307.36589042386942</c:v>
                </c:pt>
                <c:pt idx="38">
                  <c:v>324.86659020772595</c:v>
                </c:pt>
                <c:pt idx="39">
                  <c:v>342.34646391464611</c:v>
                </c:pt>
                <c:pt idx="40">
                  <c:v>359.80672426785844</c:v>
                </c:pt>
                <c:pt idx="41">
                  <c:v>326.24732068247283</c:v>
                </c:pt>
                <c:pt idx="42">
                  <c:v>340.96720197828137</c:v>
                </c:pt>
                <c:pt idx="43">
                  <c:v>355.67311242421243</c:v>
                </c:pt>
                <c:pt idx="44">
                  <c:v>370.36571099090082</c:v>
                </c:pt>
                <c:pt idx="45">
                  <c:v>385.0456000996482</c:v>
                </c:pt>
                <c:pt idx="46">
                  <c:v>356.59178331162116</c:v>
                </c:pt>
                <c:pt idx="47">
                  <c:v>369.44780191584027</c:v>
                </c:pt>
                <c:pt idx="48">
                  <c:v>382.2940629261123</c:v>
                </c:pt>
                <c:pt idx="49">
                  <c:v>395.13094045399617</c:v>
                </c:pt>
                <c:pt idx="50">
                  <c:v>407.95878231757428</c:v>
                </c:pt>
                <c:pt idx="51">
                  <c:v>389.17210583018436</c:v>
                </c:pt>
                <c:pt idx="52">
                  <c:v>400.17150890331277</c:v>
                </c:pt>
                <c:pt idx="53">
                  <c:v>411.16436943406637</c:v>
                </c:pt>
                <c:pt idx="54">
                  <c:v>422.1508870388829</c:v>
                </c:pt>
                <c:pt idx="55">
                  <c:v>433.13125009429899</c:v>
                </c:pt>
                <c:pt idx="56">
                  <c:v>417.1161748963454</c:v>
                </c:pt>
                <c:pt idx="57">
                  <c:v>426.26923464137008</c:v>
                </c:pt>
                <c:pt idx="58">
                  <c:v>435.41806774560104</c:v>
                </c:pt>
                <c:pt idx="59">
                  <c:v>444.56277557365314</c:v>
                </c:pt>
                <c:pt idx="60">
                  <c:v>453.70345497828936</c:v>
                </c:pt>
                <c:pt idx="61">
                  <c:v>440.90538117942316</c:v>
                </c:pt>
                <c:pt idx="62">
                  <c:v>448.67657418793857</c:v>
                </c:pt>
                <c:pt idx="63">
                  <c:v>456.44488721114999</c:v>
                </c:pt>
                <c:pt idx="64">
                  <c:v>464.21037620075805</c:v>
                </c:pt>
                <c:pt idx="65">
                  <c:v>471.97309508291988</c:v>
                </c:pt>
                <c:pt idx="66">
                  <c:v>460.55637675309475</c:v>
                </c:pt>
                <c:pt idx="67">
                  <c:v>467.40712233198587</c:v>
                </c:pt>
                <c:pt idx="68">
                  <c:v>474.25572812849356</c:v>
                </c:pt>
                <c:pt idx="69">
                  <c:v>481.10222941810292</c:v>
                </c:pt>
                <c:pt idx="70">
                  <c:v>487.94666038986719</c:v>
                </c:pt>
                <c:pt idx="71">
                  <c:v>475.62519563758929</c:v>
                </c:pt>
                <c:pt idx="72">
                  <c:v>481.55858885395452</c:v>
                </c:pt>
                <c:pt idx="73">
                  <c:v>487.4904287315747</c:v>
                </c:pt>
                <c:pt idx="74">
                  <c:v>493.42073684971859</c:v>
                </c:pt>
                <c:pt idx="75">
                  <c:v>499.34953422631753</c:v>
                </c:pt>
                <c:pt idx="76">
                  <c:v>488.85909655498972</c:v>
                </c:pt>
                <c:pt idx="77">
                  <c:v>494.3329573365491</c:v>
                </c:pt>
                <c:pt idx="78">
                  <c:v>499.80553357858736</c:v>
                </c:pt>
                <c:pt idx="79">
                  <c:v>505.2768413392044</c:v>
                </c:pt>
                <c:pt idx="80">
                  <c:v>510.7468963001516</c:v>
                </c:pt>
                <c:pt idx="81">
                  <c:v>497.06940501240177</c:v>
                </c:pt>
                <c:pt idx="82">
                  <c:v>497.06940501240177</c:v>
                </c:pt>
                <c:pt idx="83">
                  <c:v>497.06940501240177</c:v>
                </c:pt>
                <c:pt idx="84">
                  <c:v>497.06940501240177</c:v>
                </c:pt>
                <c:pt idx="85">
                  <c:v>497.06940501240177</c:v>
                </c:pt>
                <c:pt idx="86">
                  <c:v>497.06940501240177</c:v>
                </c:pt>
                <c:pt idx="87">
                  <c:v>497.06940501240177</c:v>
                </c:pt>
                <c:pt idx="88">
                  <c:v>497.06940501240177</c:v>
                </c:pt>
                <c:pt idx="89">
                  <c:v>497.06940501240177</c:v>
                </c:pt>
                <c:pt idx="90">
                  <c:v>497.06940501240177</c:v>
                </c:pt>
                <c:pt idx="91">
                  <c:v>497.06940501240177</c:v>
                </c:pt>
                <c:pt idx="92">
                  <c:v>497.06940501240177</c:v>
                </c:pt>
                <c:pt idx="93">
                  <c:v>497.06940501240177</c:v>
                </c:pt>
                <c:pt idx="94">
                  <c:v>497.06940501240177</c:v>
                </c:pt>
                <c:pt idx="95">
                  <c:v>497.06940501240177</c:v>
                </c:pt>
                <c:pt idx="96">
                  <c:v>497.06940501240177</c:v>
                </c:pt>
                <c:pt idx="97">
                  <c:v>497.06940501240177</c:v>
                </c:pt>
                <c:pt idx="98">
                  <c:v>497.06940501240177</c:v>
                </c:pt>
                <c:pt idx="99">
                  <c:v>497.06940501240177</c:v>
                </c:pt>
                <c:pt idx="100">
                  <c:v>497.06940501240177</c:v>
                </c:pt>
                <c:pt idx="101">
                  <c:v>497.06940501240177</c:v>
                </c:pt>
                <c:pt idx="102">
                  <c:v>497.06940501240177</c:v>
                </c:pt>
                <c:pt idx="103">
                  <c:v>497.06940501240177</c:v>
                </c:pt>
                <c:pt idx="104">
                  <c:v>497.06940501240177</c:v>
                </c:pt>
                <c:pt idx="105">
                  <c:v>497.06940501240177</c:v>
                </c:pt>
                <c:pt idx="106">
                  <c:v>497.06940501240177</c:v>
                </c:pt>
                <c:pt idx="107">
                  <c:v>497.06940501240177</c:v>
                </c:pt>
                <c:pt idx="108">
                  <c:v>497.06940501240177</c:v>
                </c:pt>
                <c:pt idx="109">
                  <c:v>497.06940501240177</c:v>
                </c:pt>
                <c:pt idx="110">
                  <c:v>497.06940501240177</c:v>
                </c:pt>
                <c:pt idx="111">
                  <c:v>497.06940501240177</c:v>
                </c:pt>
                <c:pt idx="112">
                  <c:v>497.06940501240177</c:v>
                </c:pt>
                <c:pt idx="113">
                  <c:v>497.06940501240177</c:v>
                </c:pt>
                <c:pt idx="114">
                  <c:v>497.06940501240177</c:v>
                </c:pt>
                <c:pt idx="115">
                  <c:v>497.06940501240177</c:v>
                </c:pt>
                <c:pt idx="116">
                  <c:v>497.06940501240177</c:v>
                </c:pt>
                <c:pt idx="117">
                  <c:v>497.06940501240177</c:v>
                </c:pt>
                <c:pt idx="118">
                  <c:v>497.06940501240177</c:v>
                </c:pt>
                <c:pt idx="119">
                  <c:v>497.06940501240177</c:v>
                </c:pt>
                <c:pt idx="120">
                  <c:v>497.06940501240177</c:v>
                </c:pt>
                <c:pt idx="121">
                  <c:v>497.06940501240177</c:v>
                </c:pt>
                <c:pt idx="122">
                  <c:v>497.06940501240177</c:v>
                </c:pt>
                <c:pt idx="123">
                  <c:v>497.06940501240177</c:v>
                </c:pt>
                <c:pt idx="124">
                  <c:v>497.06940501240177</c:v>
                </c:pt>
                <c:pt idx="125">
                  <c:v>497.06940501240177</c:v>
                </c:pt>
                <c:pt idx="126">
                  <c:v>497.06940501240177</c:v>
                </c:pt>
                <c:pt idx="127">
                  <c:v>497.06940501240177</c:v>
                </c:pt>
                <c:pt idx="128">
                  <c:v>497.06940501240177</c:v>
                </c:pt>
                <c:pt idx="129">
                  <c:v>497.06940501240177</c:v>
                </c:pt>
                <c:pt idx="130">
                  <c:v>497.06940501240177</c:v>
                </c:pt>
                <c:pt idx="131">
                  <c:v>497.06940501240177</c:v>
                </c:pt>
                <c:pt idx="132">
                  <c:v>497.06940501240177</c:v>
                </c:pt>
                <c:pt idx="133">
                  <c:v>497.06940501240177</c:v>
                </c:pt>
                <c:pt idx="134">
                  <c:v>497.06940501240177</c:v>
                </c:pt>
                <c:pt idx="135">
                  <c:v>497.06940501240177</c:v>
                </c:pt>
                <c:pt idx="136">
                  <c:v>497.06940501240177</c:v>
                </c:pt>
                <c:pt idx="137">
                  <c:v>497.06940501240177</c:v>
                </c:pt>
                <c:pt idx="138">
                  <c:v>497.06940501240177</c:v>
                </c:pt>
                <c:pt idx="139">
                  <c:v>497.06940501240177</c:v>
                </c:pt>
                <c:pt idx="140">
                  <c:v>497.06940501240177</c:v>
                </c:pt>
                <c:pt idx="141">
                  <c:v>497.06940501240177</c:v>
                </c:pt>
                <c:pt idx="142">
                  <c:v>497.06940501240177</c:v>
                </c:pt>
                <c:pt idx="143">
                  <c:v>497.06940501240177</c:v>
                </c:pt>
                <c:pt idx="144">
                  <c:v>497.06940501240177</c:v>
                </c:pt>
                <c:pt idx="145">
                  <c:v>497.06940501240177</c:v>
                </c:pt>
                <c:pt idx="146">
                  <c:v>497.06940501240177</c:v>
                </c:pt>
                <c:pt idx="147">
                  <c:v>497.06940501240177</c:v>
                </c:pt>
                <c:pt idx="148">
                  <c:v>497.06940501240177</c:v>
                </c:pt>
                <c:pt idx="149">
                  <c:v>497.06940501240177</c:v>
                </c:pt>
                <c:pt idx="150">
                  <c:v>497.06940501240177</c:v>
                </c:pt>
                <c:pt idx="151">
                  <c:v>497.06940501240177</c:v>
                </c:pt>
                <c:pt idx="152">
                  <c:v>497.06940501240177</c:v>
                </c:pt>
                <c:pt idx="153">
                  <c:v>497.06940501240177</c:v>
                </c:pt>
                <c:pt idx="154">
                  <c:v>497.06940501240177</c:v>
                </c:pt>
                <c:pt idx="155">
                  <c:v>497.06940501240177</c:v>
                </c:pt>
                <c:pt idx="156">
                  <c:v>497.06940501240177</c:v>
                </c:pt>
                <c:pt idx="157">
                  <c:v>497.06940501240177</c:v>
                </c:pt>
                <c:pt idx="158">
                  <c:v>497.06940501240177</c:v>
                </c:pt>
                <c:pt idx="159">
                  <c:v>497.06940501240177</c:v>
                </c:pt>
                <c:pt idx="160">
                  <c:v>497.06940501240177</c:v>
                </c:pt>
                <c:pt idx="161">
                  <c:v>497.06940501240177</c:v>
                </c:pt>
                <c:pt idx="162">
                  <c:v>497.06940501240177</c:v>
                </c:pt>
                <c:pt idx="163">
                  <c:v>497.06940501240177</c:v>
                </c:pt>
                <c:pt idx="164">
                  <c:v>497.06940501240177</c:v>
                </c:pt>
                <c:pt idx="165">
                  <c:v>497.06940501240177</c:v>
                </c:pt>
                <c:pt idx="166">
                  <c:v>497.06940501240177</c:v>
                </c:pt>
                <c:pt idx="167">
                  <c:v>497.06940501240177</c:v>
                </c:pt>
                <c:pt idx="168">
                  <c:v>497.06940501240177</c:v>
                </c:pt>
                <c:pt idx="169">
                  <c:v>497.06940501240177</c:v>
                </c:pt>
                <c:pt idx="170">
                  <c:v>497.06940501240177</c:v>
                </c:pt>
                <c:pt idx="171">
                  <c:v>497.06940501240177</c:v>
                </c:pt>
                <c:pt idx="172">
                  <c:v>497.06940501240177</c:v>
                </c:pt>
                <c:pt idx="173">
                  <c:v>497.06940501240177</c:v>
                </c:pt>
                <c:pt idx="174">
                  <c:v>497.06940501240177</c:v>
                </c:pt>
                <c:pt idx="175">
                  <c:v>497.06940501240177</c:v>
                </c:pt>
                <c:pt idx="176">
                  <c:v>497.06940501240177</c:v>
                </c:pt>
                <c:pt idx="177">
                  <c:v>497.06940501240177</c:v>
                </c:pt>
                <c:pt idx="178">
                  <c:v>497.06940501240177</c:v>
                </c:pt>
                <c:pt idx="179">
                  <c:v>497.06940501240177</c:v>
                </c:pt>
                <c:pt idx="180">
                  <c:v>497.06940501240177</c:v>
                </c:pt>
                <c:pt idx="181">
                  <c:v>497.06940501240177</c:v>
                </c:pt>
                <c:pt idx="182">
                  <c:v>497.06940501240177</c:v>
                </c:pt>
                <c:pt idx="183">
                  <c:v>497.06940501240177</c:v>
                </c:pt>
                <c:pt idx="184">
                  <c:v>497.06940501240177</c:v>
                </c:pt>
                <c:pt idx="185">
                  <c:v>497.06940501240177</c:v>
                </c:pt>
                <c:pt idx="186">
                  <c:v>497.06940501240177</c:v>
                </c:pt>
                <c:pt idx="187">
                  <c:v>497.06940501240177</c:v>
                </c:pt>
                <c:pt idx="188">
                  <c:v>497.06940501240177</c:v>
                </c:pt>
                <c:pt idx="189">
                  <c:v>497.06940501240177</c:v>
                </c:pt>
                <c:pt idx="190">
                  <c:v>497.06940501240177</c:v>
                </c:pt>
                <c:pt idx="191">
                  <c:v>497.06940501240177</c:v>
                </c:pt>
                <c:pt idx="192">
                  <c:v>497.06940501240177</c:v>
                </c:pt>
                <c:pt idx="193">
                  <c:v>497.06940501240177</c:v>
                </c:pt>
                <c:pt idx="194">
                  <c:v>497.06940501240177</c:v>
                </c:pt>
                <c:pt idx="195">
                  <c:v>497.06940501240177</c:v>
                </c:pt>
                <c:pt idx="196">
                  <c:v>497.06940501240177</c:v>
                </c:pt>
                <c:pt idx="197">
                  <c:v>497.06940501240177</c:v>
                </c:pt>
                <c:pt idx="198">
                  <c:v>497.06940501240177</c:v>
                </c:pt>
                <c:pt idx="199">
                  <c:v>497.06940501240177</c:v>
                </c:pt>
                <c:pt idx="200">
                  <c:v>497.06940501240177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1.5302416901697804</c:v>
                </c:pt>
                <c:pt idx="2">
                  <c:v>1.9111576219833919</c:v>
                </c:pt>
                <c:pt idx="3">
                  <c:v>2.3872707110648093</c:v>
                </c:pt>
                <c:pt idx="4">
                  <c:v>2.9824615760243756</c:v>
                </c:pt>
                <c:pt idx="5">
                  <c:v>3.7266224229919445</c:v>
                </c:pt>
                <c:pt idx="6">
                  <c:v>4.6571753080478384</c:v>
                </c:pt>
                <c:pt idx="7">
                  <c:v>5.8209750000940756</c:v>
                </c:pt>
                <c:pt idx="8">
                  <c:v>7.2766941387096589</c:v>
                </c:pt>
                <c:pt idx="9">
                  <c:v>9.0978132600006472</c:v>
                </c:pt>
                <c:pt idx="10">
                  <c:v>11.376369491854106</c:v>
                </c:pt>
                <c:pt idx="11">
                  <c:v>14.227656922428466</c:v>
                </c:pt>
                <c:pt idx="12">
                  <c:v>17.7961208624147</c:v>
                </c:pt>
                <c:pt idx="13">
                  <c:v>22.26275001581109</c:v>
                </c:pt>
                <c:pt idx="14">
                  <c:v>27.854348166144757</c:v>
                </c:pt>
                <c:pt idx="15">
                  <c:v>34.855164421762773</c:v>
                </c:pt>
                <c:pt idx="16">
                  <c:v>49.792178795908704</c:v>
                </c:pt>
                <c:pt idx="17">
                  <c:v>64.609003364942211</c:v>
                </c:pt>
                <c:pt idx="18">
                  <c:v>79.337439203330334</c:v>
                </c:pt>
                <c:pt idx="19">
                  <c:v>93.996317854425982</c:v>
                </c:pt>
                <c:pt idx="20">
                  <c:v>108.59805801791741</c:v>
                </c:pt>
                <c:pt idx="21">
                  <c:v>128.67455288049243</c:v>
                </c:pt>
                <c:pt idx="22">
                  <c:v>148.67510600285965</c:v>
                </c:pt>
                <c:pt idx="23">
                  <c:v>168.61138963249601</c:v>
                </c:pt>
                <c:pt idx="24">
                  <c:v>188.49207970481424</c:v>
                </c:pt>
                <c:pt idx="25">
                  <c:v>208.32386777264207</c:v>
                </c:pt>
                <c:pt idx="26">
                  <c:v>188.6946818025452</c:v>
                </c:pt>
                <c:pt idx="27">
                  <c:v>211.55744652823816</c:v>
                </c:pt>
                <c:pt idx="28">
                  <c:v>234.36323716840596</c:v>
                </c:pt>
                <c:pt idx="29">
                  <c:v>257.1183772918742</c:v>
                </c:pt>
                <c:pt idx="30">
                  <c:v>279.82797869837384</c:v>
                </c:pt>
                <c:pt idx="31">
                  <c:v>247.05562770340683</c:v>
                </c:pt>
                <c:pt idx="32">
                  <c:v>270.58857054436709</c:v>
                </c:pt>
                <c:pt idx="33">
                  <c:v>294.07546687495886</c:v>
                </c:pt>
                <c:pt idx="34">
                  <c:v>317.5205095246979</c:v>
                </c:pt>
                <c:pt idx="35">
                  <c:v>340.92722154371273</c:v>
                </c:pt>
                <c:pt idx="36">
                  <c:v>308.3075552041783</c:v>
                </c:pt>
                <c:pt idx="37">
                  <c:v>331.7289532710866</c:v>
                </c:pt>
                <c:pt idx="38">
                  <c:v>355.11389600890419</c:v>
                </c:pt>
                <c:pt idx="39">
                  <c:v>378.46511991321842</c:v>
                </c:pt>
                <c:pt idx="40">
                  <c:v>401.78499637625873</c:v>
                </c:pt>
                <c:pt idx="41">
                  <c:v>368.290367341391</c:v>
                </c:pt>
                <c:pt idx="42">
                  <c:v>390.62711987431976</c:v>
                </c:pt>
                <c:pt idx="43">
                  <c:v>412.936170202489</c:v>
                </c:pt>
                <c:pt idx="44">
                  <c:v>435.21922429338809</c:v>
                </c:pt>
                <c:pt idx="45">
                  <c:v>457.47779928386564</c:v>
                </c:pt>
                <c:pt idx="46">
                  <c:v>422.68811168338442</c:v>
                </c:pt>
                <c:pt idx="47">
                  <c:v>443.56898242812036</c:v>
                </c:pt>
                <c:pt idx="48">
                  <c:v>464.42880233299792</c:v>
                </c:pt>
                <c:pt idx="49">
                  <c:v>485.26864921222426</c:v>
                </c:pt>
                <c:pt idx="50">
                  <c:v>506.0895008217455</c:v>
                </c:pt>
                <c:pt idx="51">
                  <c:v>470.1865226735988</c:v>
                </c:pt>
                <c:pt idx="52">
                  <c:v>489.8309996786877</c:v>
                </c:pt>
                <c:pt idx="53">
                  <c:v>509.45877068114305</c:v>
                </c:pt>
                <c:pt idx="54">
                  <c:v>529.07056941939629</c:v>
                </c:pt>
                <c:pt idx="55">
                  <c:v>548.66707083863787</c:v>
                </c:pt>
                <c:pt idx="56">
                  <c:v>511.24231094449215</c:v>
                </c:pt>
                <c:pt idx="57">
                  <c:v>529.26858926696434</c:v>
                </c:pt>
                <c:pt idx="58">
                  <c:v>547.28194876789519</c:v>
                </c:pt>
                <c:pt idx="59">
                  <c:v>565.28287423778181</c:v>
                </c:pt>
                <c:pt idx="60">
                  <c:v>583.27181709550712</c:v>
                </c:pt>
                <c:pt idx="61">
                  <c:v>550.44783432867155</c:v>
                </c:pt>
                <c:pt idx="62">
                  <c:v>567.06252729720734</c:v>
                </c:pt>
                <c:pt idx="63">
                  <c:v>583.66704714741729</c:v>
                </c:pt>
                <c:pt idx="64">
                  <c:v>600.26172386523854</c:v>
                </c:pt>
                <c:pt idx="65">
                  <c:v>616.84686771553936</c:v>
                </c:pt>
                <c:pt idx="66">
                  <c:v>589.19968402429151</c:v>
                </c:pt>
                <c:pt idx="67">
                  <c:v>605.00129603122593</c:v>
                </c:pt>
                <c:pt idx="68">
                  <c:v>620.79433890850112</c:v>
                </c:pt>
                <c:pt idx="69">
                  <c:v>636.57906122293855</c:v>
                </c:pt>
                <c:pt idx="70">
                  <c:v>652.35569821746719</c:v>
                </c:pt>
                <c:pt idx="71">
                  <c:v>626.71457192765092</c:v>
                </c:pt>
                <c:pt idx="72">
                  <c:v>641.51011811123226</c:v>
                </c:pt>
                <c:pt idx="73">
                  <c:v>656.29862051784335</c:v>
                </c:pt>
                <c:pt idx="74">
                  <c:v>671.08026012770165</c:v>
                </c:pt>
                <c:pt idx="75">
                  <c:v>685.85520930340863</c:v>
                </c:pt>
                <c:pt idx="76">
                  <c:v>660.43816381137265</c:v>
                </c:pt>
                <c:pt idx="77">
                  <c:v>673.44469722984729</c:v>
                </c:pt>
                <c:pt idx="78">
                  <c:v>686.44607045987686</c:v>
                </c:pt>
                <c:pt idx="79">
                  <c:v>699.44239495532008</c:v>
                </c:pt>
                <c:pt idx="80">
                  <c:v>712.4337776928495</c:v>
                </c:pt>
                <c:pt idx="81">
                  <c:v>676.00597829271317</c:v>
                </c:pt>
                <c:pt idx="82">
                  <c:v>676.00597829271317</c:v>
                </c:pt>
                <c:pt idx="83">
                  <c:v>676.00597829271317</c:v>
                </c:pt>
                <c:pt idx="84">
                  <c:v>676.00597829271317</c:v>
                </c:pt>
                <c:pt idx="85">
                  <c:v>676.00597829271317</c:v>
                </c:pt>
                <c:pt idx="86">
                  <c:v>676.00597829271317</c:v>
                </c:pt>
                <c:pt idx="87">
                  <c:v>676.00597829271317</c:v>
                </c:pt>
                <c:pt idx="88">
                  <c:v>676.00597829271317</c:v>
                </c:pt>
                <c:pt idx="89">
                  <c:v>676.00597829271317</c:v>
                </c:pt>
                <c:pt idx="90">
                  <c:v>676.00597829271317</c:v>
                </c:pt>
                <c:pt idx="91">
                  <c:v>676.00597829271317</c:v>
                </c:pt>
                <c:pt idx="92">
                  <c:v>676.00597829271317</c:v>
                </c:pt>
                <c:pt idx="93">
                  <c:v>676.00597829271317</c:v>
                </c:pt>
                <c:pt idx="94">
                  <c:v>676.00597829271317</c:v>
                </c:pt>
                <c:pt idx="95">
                  <c:v>676.00597829271317</c:v>
                </c:pt>
                <c:pt idx="96">
                  <c:v>676.00597829271317</c:v>
                </c:pt>
                <c:pt idx="97">
                  <c:v>676.00597829271317</c:v>
                </c:pt>
                <c:pt idx="98">
                  <c:v>676.00597829271317</c:v>
                </c:pt>
                <c:pt idx="99">
                  <c:v>676.00597829271317</c:v>
                </c:pt>
                <c:pt idx="100">
                  <c:v>676.00597829271317</c:v>
                </c:pt>
                <c:pt idx="101">
                  <c:v>676.00597829271317</c:v>
                </c:pt>
                <c:pt idx="102">
                  <c:v>676.00597829271317</c:v>
                </c:pt>
                <c:pt idx="103">
                  <c:v>676.00597829271317</c:v>
                </c:pt>
                <c:pt idx="104">
                  <c:v>676.00597829271317</c:v>
                </c:pt>
                <c:pt idx="105">
                  <c:v>676.00597829271317</c:v>
                </c:pt>
                <c:pt idx="106">
                  <c:v>676.00597829271317</c:v>
                </c:pt>
                <c:pt idx="107">
                  <c:v>676.00597829271317</c:v>
                </c:pt>
                <c:pt idx="108">
                  <c:v>676.00597829271317</c:v>
                </c:pt>
                <c:pt idx="109">
                  <c:v>676.00597829271317</c:v>
                </c:pt>
                <c:pt idx="110">
                  <c:v>676.00597829271317</c:v>
                </c:pt>
                <c:pt idx="111">
                  <c:v>676.00597829271317</c:v>
                </c:pt>
                <c:pt idx="112">
                  <c:v>676.00597829271317</c:v>
                </c:pt>
                <c:pt idx="113">
                  <c:v>676.00597829271317</c:v>
                </c:pt>
                <c:pt idx="114">
                  <c:v>676.00597829271317</c:v>
                </c:pt>
                <c:pt idx="115">
                  <c:v>676.00597829271317</c:v>
                </c:pt>
                <c:pt idx="116">
                  <c:v>676.00597829271317</c:v>
                </c:pt>
                <c:pt idx="117">
                  <c:v>676.00597829271317</c:v>
                </c:pt>
                <c:pt idx="118">
                  <c:v>676.00597829271317</c:v>
                </c:pt>
                <c:pt idx="119">
                  <c:v>676.00597829271317</c:v>
                </c:pt>
                <c:pt idx="120">
                  <c:v>676.00597829271317</c:v>
                </c:pt>
                <c:pt idx="121">
                  <c:v>676.00597829271317</c:v>
                </c:pt>
                <c:pt idx="122">
                  <c:v>676.00597829271317</c:v>
                </c:pt>
                <c:pt idx="123">
                  <c:v>676.00597829271317</c:v>
                </c:pt>
                <c:pt idx="124">
                  <c:v>676.00597829271317</c:v>
                </c:pt>
                <c:pt idx="125">
                  <c:v>676.00597829271317</c:v>
                </c:pt>
                <c:pt idx="126">
                  <c:v>676.00597829271317</c:v>
                </c:pt>
                <c:pt idx="127">
                  <c:v>676.00597829271317</c:v>
                </c:pt>
                <c:pt idx="128">
                  <c:v>676.00597829271317</c:v>
                </c:pt>
                <c:pt idx="129">
                  <c:v>676.00597829271317</c:v>
                </c:pt>
                <c:pt idx="130">
                  <c:v>676.00597829271317</c:v>
                </c:pt>
                <c:pt idx="131">
                  <c:v>676.00597829271317</c:v>
                </c:pt>
                <c:pt idx="132">
                  <c:v>676.00597829271317</c:v>
                </c:pt>
                <c:pt idx="133">
                  <c:v>676.00597829271317</c:v>
                </c:pt>
                <c:pt idx="134">
                  <c:v>676.00597829271317</c:v>
                </c:pt>
                <c:pt idx="135">
                  <c:v>676.00597829271317</c:v>
                </c:pt>
                <c:pt idx="136">
                  <c:v>676.00597829271317</c:v>
                </c:pt>
                <c:pt idx="137">
                  <c:v>676.00597829271317</c:v>
                </c:pt>
                <c:pt idx="138">
                  <c:v>676.00597829271317</c:v>
                </c:pt>
                <c:pt idx="139">
                  <c:v>676.00597829271317</c:v>
                </c:pt>
                <c:pt idx="140">
                  <c:v>676.00597829271317</c:v>
                </c:pt>
                <c:pt idx="141">
                  <c:v>676.00597829271317</c:v>
                </c:pt>
                <c:pt idx="142">
                  <c:v>676.00597829271317</c:v>
                </c:pt>
                <c:pt idx="143">
                  <c:v>676.00597829271317</c:v>
                </c:pt>
                <c:pt idx="144">
                  <c:v>676.00597829271317</c:v>
                </c:pt>
                <c:pt idx="145">
                  <c:v>676.00597829271317</c:v>
                </c:pt>
                <c:pt idx="146">
                  <c:v>676.00597829271317</c:v>
                </c:pt>
                <c:pt idx="147">
                  <c:v>676.00597829271317</c:v>
                </c:pt>
                <c:pt idx="148">
                  <c:v>676.00597829271317</c:v>
                </c:pt>
                <c:pt idx="149">
                  <c:v>676.00597829271317</c:v>
                </c:pt>
                <c:pt idx="150">
                  <c:v>676.00597829271317</c:v>
                </c:pt>
                <c:pt idx="151">
                  <c:v>676.00597829271317</c:v>
                </c:pt>
                <c:pt idx="152">
                  <c:v>676.00597829271317</c:v>
                </c:pt>
                <c:pt idx="153">
                  <c:v>676.00597829271317</c:v>
                </c:pt>
                <c:pt idx="154">
                  <c:v>676.00597829271317</c:v>
                </c:pt>
                <c:pt idx="155">
                  <c:v>676.00597829271317</c:v>
                </c:pt>
                <c:pt idx="156">
                  <c:v>676.00597829271317</c:v>
                </c:pt>
                <c:pt idx="157">
                  <c:v>676.00597829271317</c:v>
                </c:pt>
                <c:pt idx="158">
                  <c:v>676.00597829271317</c:v>
                </c:pt>
                <c:pt idx="159">
                  <c:v>676.00597829271317</c:v>
                </c:pt>
                <c:pt idx="160">
                  <c:v>676.00597829271317</c:v>
                </c:pt>
                <c:pt idx="161">
                  <c:v>676.00597829271317</c:v>
                </c:pt>
                <c:pt idx="162">
                  <c:v>676.00597829271317</c:v>
                </c:pt>
                <c:pt idx="163">
                  <c:v>676.00597829271317</c:v>
                </c:pt>
                <c:pt idx="164">
                  <c:v>676.00597829271317</c:v>
                </c:pt>
                <c:pt idx="165">
                  <c:v>676.00597829271317</c:v>
                </c:pt>
                <c:pt idx="166">
                  <c:v>676.00597829271317</c:v>
                </c:pt>
                <c:pt idx="167">
                  <c:v>676.00597829271317</c:v>
                </c:pt>
                <c:pt idx="168">
                  <c:v>676.00597829271317</c:v>
                </c:pt>
                <c:pt idx="169">
                  <c:v>676.00597829271317</c:v>
                </c:pt>
                <c:pt idx="170">
                  <c:v>676.00597829271317</c:v>
                </c:pt>
                <c:pt idx="171">
                  <c:v>676.00597829271317</c:v>
                </c:pt>
                <c:pt idx="172">
                  <c:v>676.00597829271317</c:v>
                </c:pt>
                <c:pt idx="173">
                  <c:v>676.00597829271317</c:v>
                </c:pt>
                <c:pt idx="174">
                  <c:v>676.00597829271317</c:v>
                </c:pt>
                <c:pt idx="175">
                  <c:v>676.00597829271317</c:v>
                </c:pt>
                <c:pt idx="176">
                  <c:v>676.00597829271317</c:v>
                </c:pt>
                <c:pt idx="177">
                  <c:v>676.00597829271317</c:v>
                </c:pt>
                <c:pt idx="178">
                  <c:v>676.00597829271317</c:v>
                </c:pt>
                <c:pt idx="179">
                  <c:v>676.00597829271317</c:v>
                </c:pt>
                <c:pt idx="180">
                  <c:v>676.00597829271317</c:v>
                </c:pt>
                <c:pt idx="181">
                  <c:v>676.00597829271317</c:v>
                </c:pt>
                <c:pt idx="182">
                  <c:v>676.00597829271317</c:v>
                </c:pt>
                <c:pt idx="183">
                  <c:v>676.00597829271317</c:v>
                </c:pt>
                <c:pt idx="184">
                  <c:v>676.00597829271317</c:v>
                </c:pt>
                <c:pt idx="185">
                  <c:v>676.00597829271317</c:v>
                </c:pt>
                <c:pt idx="186">
                  <c:v>676.00597829271317</c:v>
                </c:pt>
                <c:pt idx="187">
                  <c:v>676.00597829271317</c:v>
                </c:pt>
                <c:pt idx="188">
                  <c:v>676.00597829271317</c:v>
                </c:pt>
                <c:pt idx="189">
                  <c:v>676.00597829271317</c:v>
                </c:pt>
                <c:pt idx="190">
                  <c:v>676.00597829271317</c:v>
                </c:pt>
                <c:pt idx="191">
                  <c:v>676.00597829271317</c:v>
                </c:pt>
                <c:pt idx="192">
                  <c:v>676.00597829271317</c:v>
                </c:pt>
                <c:pt idx="193">
                  <c:v>676.00597829271317</c:v>
                </c:pt>
                <c:pt idx="194">
                  <c:v>676.00597829271317</c:v>
                </c:pt>
                <c:pt idx="195">
                  <c:v>676.00597829271317</c:v>
                </c:pt>
                <c:pt idx="196">
                  <c:v>676.00597829271317</c:v>
                </c:pt>
                <c:pt idx="197">
                  <c:v>676.00597829271317</c:v>
                </c:pt>
                <c:pt idx="198">
                  <c:v>676.00597829271317</c:v>
                </c:pt>
                <c:pt idx="199">
                  <c:v>676.00597829271317</c:v>
                </c:pt>
                <c:pt idx="200">
                  <c:v>676.00597829271317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432.11480353422752</c:v>
                </c:pt>
                <c:pt idx="52">
                  <c:v>448.87970375338074</c:v>
                </c:pt>
                <c:pt idx="53">
                  <c:v>465.63121002118237</c:v>
                </c:pt>
                <c:pt idx="54">
                  <c:v>482.36987183006198</c:v>
                </c:pt>
                <c:pt idx="55">
                  <c:v>499.09619744323066</c:v>
                </c:pt>
                <c:pt idx="56">
                  <c:v>471.71945469929392</c:v>
                </c:pt>
                <c:pt idx="57">
                  <c:v>487.43973576580606</c:v>
                </c:pt>
                <c:pt idx="58">
                  <c:v>503.14926026454168</c:v>
                </c:pt>
                <c:pt idx="59">
                  <c:v>518.84841119879445</c:v>
                </c:pt>
                <c:pt idx="60">
                  <c:v>534.5375465142705</c:v>
                </c:pt>
                <c:pt idx="61">
                  <c:v>511.00010949725942</c:v>
                </c:pt>
                <c:pt idx="62">
                  <c:v>525.42892558905544</c:v>
                </c:pt>
                <c:pt idx="63">
                  <c:v>539.84939763658917</c:v>
                </c:pt>
                <c:pt idx="64">
                  <c:v>554.26177984010576</c:v>
                </c:pt>
                <c:pt idx="65">
                  <c:v>568.66631210732578</c:v>
                </c:pt>
                <c:pt idx="66">
                  <c:v>548.44721509505109</c:v>
                </c:pt>
                <c:pt idx="67">
                  <c:v>561.0859436787116</c:v>
                </c:pt>
                <c:pt idx="68">
                  <c:v>573.71871604099454</c:v>
                </c:pt>
                <c:pt idx="69">
                  <c:v>586.34568177540336</c:v>
                </c:pt>
                <c:pt idx="70">
                  <c:v>598.96698350911936</c:v>
                </c:pt>
                <c:pt idx="71">
                  <c:v>579.527832684494</c:v>
                </c:pt>
                <c:pt idx="72">
                  <c:v>590.38510793020839</c:v>
                </c:pt>
                <c:pt idx="73">
                  <c:v>601.23822690801114</c:v>
                </c:pt>
                <c:pt idx="74">
                  <c:v>612.08727520445041</c:v>
                </c:pt>
                <c:pt idx="75">
                  <c:v>622.93233512534732</c:v>
                </c:pt>
                <c:pt idx="76">
                  <c:v>605.0232366963636</c:v>
                </c:pt>
                <c:pt idx="77">
                  <c:v>614.86196928997185</c:v>
                </c:pt>
                <c:pt idx="78">
                  <c:v>624.69743796060413</c:v>
                </c:pt>
                <c:pt idx="79">
                  <c:v>634.52970133301915</c:v>
                </c:pt>
                <c:pt idx="80">
                  <c:v>644.35881606732357</c:v>
                </c:pt>
                <c:pt idx="81">
                  <c:v>616.62754843820551</c:v>
                </c:pt>
                <c:pt idx="82">
                  <c:v>616.62754843820551</c:v>
                </c:pt>
                <c:pt idx="83">
                  <c:v>616.62754843820551</c:v>
                </c:pt>
                <c:pt idx="84">
                  <c:v>616.62754843820551</c:v>
                </c:pt>
                <c:pt idx="85">
                  <c:v>616.62754843820551</c:v>
                </c:pt>
                <c:pt idx="86">
                  <c:v>616.62754843820551</c:v>
                </c:pt>
                <c:pt idx="87">
                  <c:v>616.62754843820551</c:v>
                </c:pt>
                <c:pt idx="88">
                  <c:v>616.62754843820551</c:v>
                </c:pt>
                <c:pt idx="89">
                  <c:v>616.62754843820551</c:v>
                </c:pt>
                <c:pt idx="90">
                  <c:v>616.62754843820551</c:v>
                </c:pt>
                <c:pt idx="91">
                  <c:v>616.62754843820551</c:v>
                </c:pt>
                <c:pt idx="92">
                  <c:v>616.62754843820551</c:v>
                </c:pt>
                <c:pt idx="93">
                  <c:v>616.62754843820551</c:v>
                </c:pt>
                <c:pt idx="94">
                  <c:v>616.62754843820551</c:v>
                </c:pt>
                <c:pt idx="95">
                  <c:v>616.62754843820551</c:v>
                </c:pt>
                <c:pt idx="96">
                  <c:v>616.62754843820551</c:v>
                </c:pt>
                <c:pt idx="97">
                  <c:v>616.62754843820551</c:v>
                </c:pt>
                <c:pt idx="98">
                  <c:v>616.62754843820551</c:v>
                </c:pt>
                <c:pt idx="99">
                  <c:v>616.62754843820551</c:v>
                </c:pt>
                <c:pt idx="100">
                  <c:v>616.62754843820551</c:v>
                </c:pt>
                <c:pt idx="101">
                  <c:v>616.62754843820551</c:v>
                </c:pt>
                <c:pt idx="102">
                  <c:v>616.62754843820551</c:v>
                </c:pt>
                <c:pt idx="103">
                  <c:v>616.62754843820551</c:v>
                </c:pt>
                <c:pt idx="104">
                  <c:v>616.62754843820551</c:v>
                </c:pt>
                <c:pt idx="105">
                  <c:v>616.62754843820551</c:v>
                </c:pt>
                <c:pt idx="106">
                  <c:v>616.62754843820551</c:v>
                </c:pt>
                <c:pt idx="107">
                  <c:v>616.62754843820551</c:v>
                </c:pt>
                <c:pt idx="108">
                  <c:v>616.62754843820551</c:v>
                </c:pt>
                <c:pt idx="109">
                  <c:v>616.62754843820551</c:v>
                </c:pt>
                <c:pt idx="110">
                  <c:v>616.62754843820551</c:v>
                </c:pt>
                <c:pt idx="111">
                  <c:v>616.62754843820551</c:v>
                </c:pt>
                <c:pt idx="112">
                  <c:v>616.62754843820551</c:v>
                </c:pt>
                <c:pt idx="113">
                  <c:v>616.62754843820551</c:v>
                </c:pt>
                <c:pt idx="114">
                  <c:v>616.62754843820551</c:v>
                </c:pt>
                <c:pt idx="115">
                  <c:v>616.62754843820551</c:v>
                </c:pt>
                <c:pt idx="116">
                  <c:v>616.62754843820551</c:v>
                </c:pt>
                <c:pt idx="117">
                  <c:v>616.62754843820551</c:v>
                </c:pt>
                <c:pt idx="118">
                  <c:v>616.62754843820551</c:v>
                </c:pt>
                <c:pt idx="119">
                  <c:v>616.62754843820551</c:v>
                </c:pt>
                <c:pt idx="120">
                  <c:v>616.62754843820551</c:v>
                </c:pt>
                <c:pt idx="121">
                  <c:v>616.62754843820551</c:v>
                </c:pt>
                <c:pt idx="122">
                  <c:v>616.62754843820551</c:v>
                </c:pt>
                <c:pt idx="123">
                  <c:v>616.62754843820551</c:v>
                </c:pt>
                <c:pt idx="124">
                  <c:v>616.62754843820551</c:v>
                </c:pt>
                <c:pt idx="125">
                  <c:v>616.62754843820551</c:v>
                </c:pt>
                <c:pt idx="126">
                  <c:v>616.62754843820551</c:v>
                </c:pt>
                <c:pt idx="127">
                  <c:v>616.62754843820551</c:v>
                </c:pt>
                <c:pt idx="128">
                  <c:v>616.62754843820551</c:v>
                </c:pt>
                <c:pt idx="129">
                  <c:v>616.62754843820551</c:v>
                </c:pt>
                <c:pt idx="130">
                  <c:v>616.62754843820551</c:v>
                </c:pt>
                <c:pt idx="131">
                  <c:v>616.62754843820551</c:v>
                </c:pt>
                <c:pt idx="132">
                  <c:v>616.62754843820551</c:v>
                </c:pt>
                <c:pt idx="133">
                  <c:v>616.62754843820551</c:v>
                </c:pt>
                <c:pt idx="134">
                  <c:v>616.62754843820551</c:v>
                </c:pt>
                <c:pt idx="135">
                  <c:v>616.62754843820551</c:v>
                </c:pt>
                <c:pt idx="136">
                  <c:v>616.62754843820551</c:v>
                </c:pt>
                <c:pt idx="137">
                  <c:v>616.62754843820551</c:v>
                </c:pt>
                <c:pt idx="138">
                  <c:v>616.62754843820551</c:v>
                </c:pt>
                <c:pt idx="139">
                  <c:v>616.62754843820551</c:v>
                </c:pt>
                <c:pt idx="140">
                  <c:v>616.62754843820551</c:v>
                </c:pt>
                <c:pt idx="141">
                  <c:v>616.62754843820551</c:v>
                </c:pt>
                <c:pt idx="142">
                  <c:v>616.62754843820551</c:v>
                </c:pt>
                <c:pt idx="143">
                  <c:v>616.62754843820551</c:v>
                </c:pt>
                <c:pt idx="144">
                  <c:v>616.62754843820551</c:v>
                </c:pt>
                <c:pt idx="145">
                  <c:v>616.62754843820551</c:v>
                </c:pt>
                <c:pt idx="146">
                  <c:v>616.62754843820551</c:v>
                </c:pt>
                <c:pt idx="147">
                  <c:v>616.62754843820551</c:v>
                </c:pt>
                <c:pt idx="148">
                  <c:v>616.62754843820551</c:v>
                </c:pt>
                <c:pt idx="149">
                  <c:v>616.62754843820551</c:v>
                </c:pt>
                <c:pt idx="150">
                  <c:v>616.62754843820551</c:v>
                </c:pt>
                <c:pt idx="151">
                  <c:v>616.62754843820551</c:v>
                </c:pt>
                <c:pt idx="152">
                  <c:v>616.62754843820551</c:v>
                </c:pt>
                <c:pt idx="153">
                  <c:v>616.62754843820551</c:v>
                </c:pt>
                <c:pt idx="154">
                  <c:v>616.62754843820551</c:v>
                </c:pt>
                <c:pt idx="155">
                  <c:v>616.62754843820551</c:v>
                </c:pt>
                <c:pt idx="156">
                  <c:v>616.62754843820551</c:v>
                </c:pt>
                <c:pt idx="157">
                  <c:v>616.62754843820551</c:v>
                </c:pt>
                <c:pt idx="158">
                  <c:v>616.62754843820551</c:v>
                </c:pt>
                <c:pt idx="159">
                  <c:v>616.62754843820551</c:v>
                </c:pt>
                <c:pt idx="160">
                  <c:v>616.62754843820551</c:v>
                </c:pt>
                <c:pt idx="161">
                  <c:v>616.62754843820551</c:v>
                </c:pt>
                <c:pt idx="162">
                  <c:v>616.62754843820551</c:v>
                </c:pt>
                <c:pt idx="163">
                  <c:v>616.62754843820551</c:v>
                </c:pt>
                <c:pt idx="164">
                  <c:v>616.62754843820551</c:v>
                </c:pt>
                <c:pt idx="165">
                  <c:v>616.62754843820551</c:v>
                </c:pt>
                <c:pt idx="166">
                  <c:v>616.62754843820551</c:v>
                </c:pt>
                <c:pt idx="167">
                  <c:v>616.62754843820551</c:v>
                </c:pt>
                <c:pt idx="168">
                  <c:v>616.62754843820551</c:v>
                </c:pt>
                <c:pt idx="169">
                  <c:v>616.62754843820551</c:v>
                </c:pt>
                <c:pt idx="170">
                  <c:v>616.62754843820551</c:v>
                </c:pt>
                <c:pt idx="171">
                  <c:v>616.62754843820551</c:v>
                </c:pt>
                <c:pt idx="172">
                  <c:v>616.62754843820551</c:v>
                </c:pt>
                <c:pt idx="173">
                  <c:v>616.62754843820551</c:v>
                </c:pt>
                <c:pt idx="174">
                  <c:v>616.62754843820551</c:v>
                </c:pt>
                <c:pt idx="175">
                  <c:v>616.62754843820551</c:v>
                </c:pt>
                <c:pt idx="176">
                  <c:v>616.62754843820551</c:v>
                </c:pt>
                <c:pt idx="177">
                  <c:v>616.62754843820551</c:v>
                </c:pt>
                <c:pt idx="178">
                  <c:v>616.62754843820551</c:v>
                </c:pt>
                <c:pt idx="179">
                  <c:v>616.62754843820551</c:v>
                </c:pt>
                <c:pt idx="180">
                  <c:v>616.62754843820551</c:v>
                </c:pt>
                <c:pt idx="181">
                  <c:v>616.62754843820551</c:v>
                </c:pt>
                <c:pt idx="182">
                  <c:v>616.62754843820551</c:v>
                </c:pt>
                <c:pt idx="183">
                  <c:v>616.62754843820551</c:v>
                </c:pt>
                <c:pt idx="184">
                  <c:v>616.62754843820551</c:v>
                </c:pt>
                <c:pt idx="185">
                  <c:v>616.62754843820551</c:v>
                </c:pt>
                <c:pt idx="186">
                  <c:v>616.62754843820551</c:v>
                </c:pt>
                <c:pt idx="187">
                  <c:v>616.62754843820551</c:v>
                </c:pt>
                <c:pt idx="188">
                  <c:v>616.62754843820551</c:v>
                </c:pt>
                <c:pt idx="189">
                  <c:v>616.62754843820551</c:v>
                </c:pt>
                <c:pt idx="190">
                  <c:v>616.62754843820551</c:v>
                </c:pt>
                <c:pt idx="191">
                  <c:v>616.62754843820551</c:v>
                </c:pt>
                <c:pt idx="192">
                  <c:v>616.62754843820551</c:v>
                </c:pt>
                <c:pt idx="193">
                  <c:v>616.62754843820551</c:v>
                </c:pt>
                <c:pt idx="194">
                  <c:v>616.62754843820551</c:v>
                </c:pt>
                <c:pt idx="195">
                  <c:v>616.62754843820551</c:v>
                </c:pt>
                <c:pt idx="196">
                  <c:v>616.62754843820551</c:v>
                </c:pt>
                <c:pt idx="197">
                  <c:v>616.62754843820551</c:v>
                </c:pt>
                <c:pt idx="198">
                  <c:v>616.62754843820551</c:v>
                </c:pt>
                <c:pt idx="199">
                  <c:v>616.62754843820551</c:v>
                </c:pt>
                <c:pt idx="200">
                  <c:v>616.62754843820551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1.510801446535077</c:v>
                </c:pt>
                <c:pt idx="2">
                  <c:v>1.9140688869411477</c:v>
                </c:pt>
                <c:pt idx="3">
                  <c:v>2.4254121344881789</c:v>
                </c:pt>
                <c:pt idx="4">
                  <c:v>3.0739056979884913</c:v>
                </c:pt>
                <c:pt idx="5">
                  <c:v>3.8964735132436386</c:v>
                </c:pt>
                <c:pt idx="6">
                  <c:v>4.9400150985641487</c:v>
                </c:pt>
                <c:pt idx="7">
                  <c:v>6.2641093706737232</c:v>
                </c:pt>
                <c:pt idx="8">
                  <c:v>7.944453505087103</c:v>
                </c:pt>
                <c:pt idx="9">
                  <c:v>10.077237213611538</c:v>
                </c:pt>
                <c:pt idx="10">
                  <c:v>12.78470756936491</c:v>
                </c:pt>
                <c:pt idx="11">
                  <c:v>16.222249265449303</c:v>
                </c:pt>
                <c:pt idx="12">
                  <c:v>20.587394063458188</c:v>
                </c:pt>
                <c:pt idx="13">
                  <c:v>26.13128642043003</c:v>
                </c:pt>
                <c:pt idx="14">
                  <c:v>33.173276569315547</c:v>
                </c:pt>
                <c:pt idx="15">
                  <c:v>42.119496201330342</c:v>
                </c:pt>
                <c:pt idx="16">
                  <c:v>63.875080708783024</c:v>
                </c:pt>
                <c:pt idx="17">
                  <c:v>85.435729375828089</c:v>
                </c:pt>
                <c:pt idx="18">
                  <c:v>106.85836339454885</c:v>
                </c:pt>
                <c:pt idx="19">
                  <c:v>128.17475875194447</c:v>
                </c:pt>
                <c:pt idx="20">
                  <c:v>149.40514060588049</c:v>
                </c:pt>
                <c:pt idx="21">
                  <c:v>132.54637916925714</c:v>
                </c:pt>
                <c:pt idx="22">
                  <c:v>160.28920765022801</c:v>
                </c:pt>
                <c:pt idx="23">
                  <c:v>187.9180128193459</c:v>
                </c:pt>
                <c:pt idx="24">
                  <c:v>215.4519479871287</c:v>
                </c:pt>
                <c:pt idx="25">
                  <c:v>242.90485069874987</c:v>
                </c:pt>
                <c:pt idx="26">
                  <c:v>204.84198284284165</c:v>
                </c:pt>
                <c:pt idx="27">
                  <c:v>235.46071716859072</c:v>
                </c:pt>
                <c:pt idx="28">
                  <c:v>265.98855291397246</c:v>
                </c:pt>
                <c:pt idx="29">
                  <c:v>296.43738794697032</c:v>
                </c:pt>
                <c:pt idx="30">
                  <c:v>326.81647308656369</c:v>
                </c:pt>
                <c:pt idx="31">
                  <c:v>289.22216856082139</c:v>
                </c:pt>
                <c:pt idx="32">
                  <c:v>319.81169419328768</c:v>
                </c:pt>
                <c:pt idx="33">
                  <c:v>350.3364659517394</c:v>
                </c:pt>
                <c:pt idx="34">
                  <c:v>380.8029133763801</c:v>
                </c:pt>
                <c:pt idx="35">
                  <c:v>411.2163534480656</c:v>
                </c:pt>
                <c:pt idx="36">
                  <c:v>371.68816666409953</c:v>
                </c:pt>
                <c:pt idx="37">
                  <c:v>399.98669031710602</c:v>
                </c:pt>
                <c:pt idx="38">
                  <c:v>428.24189125907293</c:v>
                </c:pt>
                <c:pt idx="39">
                  <c:v>456.45702642486339</c:v>
                </c:pt>
                <c:pt idx="40">
                  <c:v>484.6349175892633</c:v>
                </c:pt>
                <c:pt idx="41">
                  <c:v>442.35428155420988</c:v>
                </c:pt>
                <c:pt idx="42">
                  <c:v>467.65529736679628</c:v>
                </c:pt>
                <c:pt idx="43">
                  <c:v>492.92715337500204</c:v>
                </c:pt>
                <c:pt idx="44">
                  <c:v>518.17155317586207</c:v>
                </c:pt>
                <c:pt idx="45">
                  <c:v>543.39002099916308</c:v>
                </c:pt>
                <c:pt idx="46">
                  <c:v>508.34674364398978</c:v>
                </c:pt>
                <c:pt idx="47">
                  <c:v>531.07269834154397</c:v>
                </c:pt>
                <c:pt idx="48">
                  <c:v>553.7781976844484</c:v>
                </c:pt>
                <c:pt idx="49">
                  <c:v>576.464197512228</c:v>
                </c:pt>
                <c:pt idx="50">
                  <c:v>599.13157237326948</c:v>
                </c:pt>
                <c:pt idx="51">
                  <c:v>570.31393777778305</c:v>
                </c:pt>
                <c:pt idx="52">
                  <c:v>590.48937895624522</c:v>
                </c:pt>
                <c:pt idx="53">
                  <c:v>610.65047342747937</c:v>
                </c:pt>
                <c:pt idx="54">
                  <c:v>630.79776109423301</c:v>
                </c:pt>
                <c:pt idx="55">
                  <c:v>650.93174459168677</c:v>
                </c:pt>
                <c:pt idx="56">
                  <c:v>626.19385729530552</c:v>
                </c:pt>
                <c:pt idx="57">
                  <c:v>643.64666599719328</c:v>
                </c:pt>
                <c:pt idx="58">
                  <c:v>661.08970983505003</c:v>
                </c:pt>
                <c:pt idx="59">
                  <c:v>678.52328253057669</c:v>
                </c:pt>
                <c:pt idx="60">
                  <c:v>695.94766149433656</c:v>
                </c:pt>
                <c:pt idx="61">
                  <c:v>673.1600981038672</c:v>
                </c:pt>
                <c:pt idx="62">
                  <c:v>687.71529250309334</c:v>
                </c:pt>
                <c:pt idx="63">
                  <c:v>702.26417231534151</c:v>
                </c:pt>
                <c:pt idx="64">
                  <c:v>716.80688670193967</c:v>
                </c:pt>
                <c:pt idx="65">
                  <c:v>731.34357828265445</c:v>
                </c:pt>
                <c:pt idx="66">
                  <c:v>710.49303508059711</c:v>
                </c:pt>
                <c:pt idx="67">
                  <c:v>722.16320325804963</c:v>
                </c:pt>
                <c:pt idx="68">
                  <c:v>733.82952439438111</c:v>
                </c:pt>
                <c:pt idx="69">
                  <c:v>745.49206823661734</c:v>
                </c:pt>
                <c:pt idx="70">
                  <c:v>757.15090217280738</c:v>
                </c:pt>
                <c:pt idx="71">
                  <c:v>739.37447928381607</c:v>
                </c:pt>
                <c:pt idx="72">
                  <c:v>749.31504229606844</c:v>
                </c:pt>
                <c:pt idx="73">
                  <c:v>759.25292510358202</c:v>
                </c:pt>
                <c:pt idx="74">
                  <c:v>769.18816771706508</c:v>
                </c:pt>
                <c:pt idx="75">
                  <c:v>779.12080902983428</c:v>
                </c:pt>
                <c:pt idx="76">
                  <c:v>762.31020220768062</c:v>
                </c:pt>
                <c:pt idx="77">
                  <c:v>769.37920445865018</c:v>
                </c:pt>
                <c:pt idx="78">
                  <c:v>776.446890100524</c:v>
                </c:pt>
                <c:pt idx="79">
                  <c:v>783.51327280459066</c:v>
                </c:pt>
                <c:pt idx="80">
                  <c:v>790.57836597549715</c:v>
                </c:pt>
                <c:pt idx="81">
                  <c:v>770.52540472170313</c:v>
                </c:pt>
                <c:pt idx="82">
                  <c:v>770.52540472170313</c:v>
                </c:pt>
                <c:pt idx="83">
                  <c:v>770.52540472170313</c:v>
                </c:pt>
                <c:pt idx="84">
                  <c:v>770.52540472170313</c:v>
                </c:pt>
                <c:pt idx="85">
                  <c:v>770.52540472170313</c:v>
                </c:pt>
                <c:pt idx="86">
                  <c:v>770.52540472170313</c:v>
                </c:pt>
                <c:pt idx="87">
                  <c:v>770.52540472170313</c:v>
                </c:pt>
                <c:pt idx="88">
                  <c:v>770.52540472170313</c:v>
                </c:pt>
                <c:pt idx="89">
                  <c:v>770.52540472170313</c:v>
                </c:pt>
                <c:pt idx="90">
                  <c:v>770.52540472170313</c:v>
                </c:pt>
                <c:pt idx="91">
                  <c:v>770.52540472170313</c:v>
                </c:pt>
                <c:pt idx="92">
                  <c:v>770.52540472170313</c:v>
                </c:pt>
                <c:pt idx="93">
                  <c:v>770.52540472170313</c:v>
                </c:pt>
                <c:pt idx="94">
                  <c:v>770.52540472170313</c:v>
                </c:pt>
                <c:pt idx="95">
                  <c:v>770.52540472170313</c:v>
                </c:pt>
                <c:pt idx="96">
                  <c:v>770.52540472170313</c:v>
                </c:pt>
                <c:pt idx="97">
                  <c:v>770.52540472170313</c:v>
                </c:pt>
                <c:pt idx="98">
                  <c:v>770.52540472170313</c:v>
                </c:pt>
                <c:pt idx="99">
                  <c:v>770.52540472170313</c:v>
                </c:pt>
                <c:pt idx="100">
                  <c:v>770.52540472170313</c:v>
                </c:pt>
                <c:pt idx="101">
                  <c:v>770.52540472170313</c:v>
                </c:pt>
                <c:pt idx="102">
                  <c:v>770.52540472170313</c:v>
                </c:pt>
                <c:pt idx="103">
                  <c:v>770.52540472170313</c:v>
                </c:pt>
                <c:pt idx="104">
                  <c:v>770.52540472170313</c:v>
                </c:pt>
                <c:pt idx="105">
                  <c:v>770.52540472170313</c:v>
                </c:pt>
                <c:pt idx="106">
                  <c:v>770.52540472170313</c:v>
                </c:pt>
                <c:pt idx="107">
                  <c:v>770.52540472170313</c:v>
                </c:pt>
                <c:pt idx="108">
                  <c:v>770.52540472170313</c:v>
                </c:pt>
                <c:pt idx="109">
                  <c:v>770.52540472170313</c:v>
                </c:pt>
                <c:pt idx="110">
                  <c:v>770.52540472170313</c:v>
                </c:pt>
                <c:pt idx="111">
                  <c:v>770.52540472170313</c:v>
                </c:pt>
                <c:pt idx="112">
                  <c:v>770.52540472170313</c:v>
                </c:pt>
                <c:pt idx="113">
                  <c:v>770.52540472170313</c:v>
                </c:pt>
                <c:pt idx="114">
                  <c:v>770.52540472170313</c:v>
                </c:pt>
                <c:pt idx="115">
                  <c:v>770.52540472170313</c:v>
                </c:pt>
                <c:pt idx="116">
                  <c:v>770.52540472170313</c:v>
                </c:pt>
                <c:pt idx="117">
                  <c:v>770.52540472170313</c:v>
                </c:pt>
                <c:pt idx="118">
                  <c:v>770.52540472170313</c:v>
                </c:pt>
                <c:pt idx="119">
                  <c:v>770.52540472170313</c:v>
                </c:pt>
                <c:pt idx="120">
                  <c:v>770.52540472170313</c:v>
                </c:pt>
                <c:pt idx="121">
                  <c:v>770.52540472170313</c:v>
                </c:pt>
                <c:pt idx="122">
                  <c:v>770.52540472170313</c:v>
                </c:pt>
                <c:pt idx="123">
                  <c:v>770.52540472170313</c:v>
                </c:pt>
                <c:pt idx="124">
                  <c:v>770.52540472170313</c:v>
                </c:pt>
                <c:pt idx="125">
                  <c:v>770.52540472170313</c:v>
                </c:pt>
                <c:pt idx="126">
                  <c:v>770.52540472170313</c:v>
                </c:pt>
                <c:pt idx="127">
                  <c:v>770.52540472170313</c:v>
                </c:pt>
                <c:pt idx="128">
                  <c:v>770.52540472170313</c:v>
                </c:pt>
                <c:pt idx="129">
                  <c:v>770.52540472170313</c:v>
                </c:pt>
                <c:pt idx="130">
                  <c:v>770.52540472170313</c:v>
                </c:pt>
                <c:pt idx="131">
                  <c:v>770.52540472170313</c:v>
                </c:pt>
                <c:pt idx="132">
                  <c:v>770.52540472170313</c:v>
                </c:pt>
                <c:pt idx="133">
                  <c:v>770.52540472170313</c:v>
                </c:pt>
                <c:pt idx="134">
                  <c:v>770.52540472170313</c:v>
                </c:pt>
                <c:pt idx="135">
                  <c:v>770.52540472170313</c:v>
                </c:pt>
                <c:pt idx="136">
                  <c:v>770.52540472170313</c:v>
                </c:pt>
                <c:pt idx="137">
                  <c:v>770.52540472170313</c:v>
                </c:pt>
                <c:pt idx="138">
                  <c:v>770.52540472170313</c:v>
                </c:pt>
                <c:pt idx="139">
                  <c:v>770.52540472170313</c:v>
                </c:pt>
                <c:pt idx="140">
                  <c:v>770.52540472170313</c:v>
                </c:pt>
                <c:pt idx="141">
                  <c:v>770.52540472170313</c:v>
                </c:pt>
                <c:pt idx="142">
                  <c:v>770.52540472170313</c:v>
                </c:pt>
                <c:pt idx="143">
                  <c:v>770.52540472170313</c:v>
                </c:pt>
                <c:pt idx="144">
                  <c:v>770.52540472170313</c:v>
                </c:pt>
                <c:pt idx="145">
                  <c:v>770.52540472170313</c:v>
                </c:pt>
                <c:pt idx="146">
                  <c:v>770.52540472170313</c:v>
                </c:pt>
                <c:pt idx="147">
                  <c:v>770.52540472170313</c:v>
                </c:pt>
                <c:pt idx="148">
                  <c:v>770.52540472170313</c:v>
                </c:pt>
                <c:pt idx="149">
                  <c:v>770.52540472170313</c:v>
                </c:pt>
                <c:pt idx="150">
                  <c:v>770.52540472170313</c:v>
                </c:pt>
                <c:pt idx="151">
                  <c:v>770.52540472170313</c:v>
                </c:pt>
                <c:pt idx="152">
                  <c:v>770.52540472170313</c:v>
                </c:pt>
                <c:pt idx="153">
                  <c:v>770.52540472170313</c:v>
                </c:pt>
                <c:pt idx="154">
                  <c:v>770.52540472170313</c:v>
                </c:pt>
                <c:pt idx="155">
                  <c:v>770.52540472170313</c:v>
                </c:pt>
                <c:pt idx="156">
                  <c:v>770.52540472170313</c:v>
                </c:pt>
                <c:pt idx="157">
                  <c:v>770.52540472170313</c:v>
                </c:pt>
                <c:pt idx="158">
                  <c:v>770.52540472170313</c:v>
                </c:pt>
                <c:pt idx="159">
                  <c:v>770.52540472170313</c:v>
                </c:pt>
                <c:pt idx="160">
                  <c:v>770.52540472170313</c:v>
                </c:pt>
                <c:pt idx="161">
                  <c:v>770.52540472170313</c:v>
                </c:pt>
                <c:pt idx="162">
                  <c:v>770.52540472170313</c:v>
                </c:pt>
                <c:pt idx="163">
                  <c:v>770.52540472170313</c:v>
                </c:pt>
                <c:pt idx="164">
                  <c:v>770.52540472170313</c:v>
                </c:pt>
                <c:pt idx="165">
                  <c:v>770.52540472170313</c:v>
                </c:pt>
                <c:pt idx="166">
                  <c:v>770.52540472170313</c:v>
                </c:pt>
                <c:pt idx="167">
                  <c:v>770.52540472170313</c:v>
                </c:pt>
                <c:pt idx="168">
                  <c:v>770.52540472170313</c:v>
                </c:pt>
                <c:pt idx="169">
                  <c:v>770.52540472170313</c:v>
                </c:pt>
                <c:pt idx="170">
                  <c:v>770.52540472170313</c:v>
                </c:pt>
                <c:pt idx="171">
                  <c:v>770.52540472170313</c:v>
                </c:pt>
                <c:pt idx="172">
                  <c:v>770.52540472170313</c:v>
                </c:pt>
                <c:pt idx="173">
                  <c:v>770.52540472170313</c:v>
                </c:pt>
                <c:pt idx="174">
                  <c:v>770.52540472170313</c:v>
                </c:pt>
                <c:pt idx="175">
                  <c:v>770.52540472170313</c:v>
                </c:pt>
                <c:pt idx="176">
                  <c:v>770.52540472170313</c:v>
                </c:pt>
                <c:pt idx="177">
                  <c:v>770.52540472170313</c:v>
                </c:pt>
                <c:pt idx="178">
                  <c:v>770.52540472170313</c:v>
                </c:pt>
                <c:pt idx="179">
                  <c:v>770.52540472170313</c:v>
                </c:pt>
                <c:pt idx="180">
                  <c:v>770.52540472170313</c:v>
                </c:pt>
                <c:pt idx="181">
                  <c:v>770.52540472170313</c:v>
                </c:pt>
                <c:pt idx="182">
                  <c:v>770.52540472170313</c:v>
                </c:pt>
                <c:pt idx="183">
                  <c:v>770.52540472170313</c:v>
                </c:pt>
                <c:pt idx="184">
                  <c:v>770.52540472170313</c:v>
                </c:pt>
                <c:pt idx="185">
                  <c:v>770.52540472170313</c:v>
                </c:pt>
                <c:pt idx="186">
                  <c:v>770.52540472170313</c:v>
                </c:pt>
                <c:pt idx="187">
                  <c:v>770.52540472170313</c:v>
                </c:pt>
                <c:pt idx="188">
                  <c:v>770.52540472170313</c:v>
                </c:pt>
                <c:pt idx="189">
                  <c:v>770.52540472170313</c:v>
                </c:pt>
                <c:pt idx="190">
                  <c:v>770.52540472170313</c:v>
                </c:pt>
                <c:pt idx="191">
                  <c:v>770.52540472170313</c:v>
                </c:pt>
                <c:pt idx="192">
                  <c:v>770.52540472170313</c:v>
                </c:pt>
                <c:pt idx="193">
                  <c:v>770.52540472170313</c:v>
                </c:pt>
                <c:pt idx="194">
                  <c:v>770.52540472170313</c:v>
                </c:pt>
                <c:pt idx="195">
                  <c:v>770.52540472170313</c:v>
                </c:pt>
                <c:pt idx="196">
                  <c:v>770.52540472170313</c:v>
                </c:pt>
                <c:pt idx="197">
                  <c:v>770.52540472170313</c:v>
                </c:pt>
                <c:pt idx="198">
                  <c:v>770.52540472170313</c:v>
                </c:pt>
                <c:pt idx="199">
                  <c:v>770.52540472170313</c:v>
                </c:pt>
                <c:pt idx="200">
                  <c:v>770.52540472170313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127.11253918063214</c:v>
                </c:pt>
                <c:pt idx="22">
                  <c:v>149.97665864664586</c:v>
                </c:pt>
                <c:pt idx="23">
                  <c:v>172.75753768358138</c:v>
                </c:pt>
                <c:pt idx="24">
                  <c:v>195.46771204542458</c:v>
                </c:pt>
                <c:pt idx="25">
                  <c:v>218.11655701113489</c:v>
                </c:pt>
                <c:pt idx="26">
                  <c:v>200.04371845798326</c:v>
                </c:pt>
                <c:pt idx="27">
                  <c:v>223.51080986258512</c:v>
                </c:pt>
                <c:pt idx="28">
                  <c:v>246.92139570839663</c:v>
                </c:pt>
                <c:pt idx="29">
                  <c:v>270.28158571749628</c:v>
                </c:pt>
                <c:pt idx="30">
                  <c:v>293.59634643573321</c:v>
                </c:pt>
                <c:pt idx="31">
                  <c:v>259.33097340507084</c:v>
                </c:pt>
                <c:pt idx="32">
                  <c:v>282.87279326057325</c:v>
                </c:pt>
                <c:pt idx="33">
                  <c:v>306.37072816439314</c:v>
                </c:pt>
                <c:pt idx="34">
                  <c:v>329.82861536294081</c:v>
                </c:pt>
                <c:pt idx="35">
                  <c:v>353.24970174806907</c:v>
                </c:pt>
                <c:pt idx="36">
                  <c:v>318.72175863019015</c:v>
                </c:pt>
                <c:pt idx="37">
                  <c:v>341.74902087812717</c:v>
                </c:pt>
                <c:pt idx="38">
                  <c:v>364.74217919503576</c:v>
                </c:pt>
                <c:pt idx="39">
                  <c:v>387.70368425262313</c:v>
                </c:pt>
                <c:pt idx="40">
                  <c:v>410.63567288724431</c:v>
                </c:pt>
                <c:pt idx="41">
                  <c:v>375.81671803823662</c:v>
                </c:pt>
                <c:pt idx="42">
                  <c:v>398.35423019530703</c:v>
                </c:pt>
                <c:pt idx="43">
                  <c:v>420.86414095510594</c:v>
                </c:pt>
                <c:pt idx="44">
                  <c:v>443.34813303170972</c:v>
                </c:pt>
                <c:pt idx="45">
                  <c:v>465.80770465502854</c:v>
                </c:pt>
                <c:pt idx="46">
                  <c:v>429.8607603280729</c:v>
                </c:pt>
                <c:pt idx="47">
                  <c:v>451.10958398301227</c:v>
                </c:pt>
                <c:pt idx="48">
                  <c:v>472.33700882458015</c:v>
                </c:pt>
                <c:pt idx="49">
                  <c:v>493.54413108237253</c:v>
                </c:pt>
                <c:pt idx="50">
                  <c:v>514.7319451649156</c:v>
                </c:pt>
                <c:pt idx="51">
                  <c:v>477.84461345904657</c:v>
                </c:pt>
                <c:pt idx="52">
                  <c:v>498.02774711878288</c:v>
                </c:pt>
                <c:pt idx="53">
                  <c:v>518.19356511217518</c:v>
                </c:pt>
                <c:pt idx="54">
                  <c:v>538.34283558995924</c:v>
                </c:pt>
                <c:pt idx="55">
                  <c:v>558.47626455761349</c:v>
                </c:pt>
                <c:pt idx="56">
                  <c:v>520.43317668284192</c:v>
                </c:pt>
                <c:pt idx="57">
                  <c:v>539.36004959113382</c:v>
                </c:pt>
                <c:pt idx="58">
                  <c:v>558.27297358605381</c:v>
                </c:pt>
                <c:pt idx="59">
                  <c:v>577.17248738598266</c:v>
                </c:pt>
                <c:pt idx="60">
                  <c:v>596.05909157925146</c:v>
                </c:pt>
                <c:pt idx="61">
                  <c:v>563.15153054519317</c:v>
                </c:pt>
                <c:pt idx="62">
                  <c:v>581.03207454331687</c:v>
                </c:pt>
                <c:pt idx="63">
                  <c:v>598.90114770016919</c:v>
                </c:pt>
                <c:pt idx="64">
                  <c:v>616.75914019863114</c:v>
                </c:pt>
                <c:pt idx="65">
                  <c:v>634.6064178016826</c:v>
                </c:pt>
                <c:pt idx="66">
                  <c:v>605.59917324731964</c:v>
                </c:pt>
                <c:pt idx="67">
                  <c:v>622.2361325587384</c:v>
                </c:pt>
                <c:pt idx="68">
                  <c:v>638.86388198088457</c:v>
                </c:pt>
                <c:pt idx="69">
                  <c:v>655.48269480622912</c:v>
                </c:pt>
                <c:pt idx="70">
                  <c:v>672.09282935000272</c:v>
                </c:pt>
                <c:pt idx="71">
                  <c:v>643.7288379888613</c:v>
                </c:pt>
                <c:pt idx="72">
                  <c:v>658.92696408207837</c:v>
                </c:pt>
                <c:pt idx="73">
                  <c:v>674.11787378938334</c:v>
                </c:pt>
                <c:pt idx="74">
                  <c:v>689.30175252594472</c:v>
                </c:pt>
                <c:pt idx="75">
                  <c:v>704.47877687813843</c:v>
                </c:pt>
                <c:pt idx="76">
                  <c:v>676.5477621777851</c:v>
                </c:pt>
                <c:pt idx="77">
                  <c:v>691.12335396700757</c:v>
                </c:pt>
                <c:pt idx="78">
                  <c:v>705.69264781395941</c:v>
                </c:pt>
                <c:pt idx="79">
                  <c:v>720.25579197078662</c:v>
                </c:pt>
                <c:pt idx="80">
                  <c:v>734.81292821003478</c:v>
                </c:pt>
                <c:pt idx="81">
                  <c:v>693.34962213319261</c:v>
                </c:pt>
                <c:pt idx="82">
                  <c:v>693.34962213319261</c:v>
                </c:pt>
                <c:pt idx="83">
                  <c:v>693.34962213319261</c:v>
                </c:pt>
                <c:pt idx="84">
                  <c:v>693.34962213319261</c:v>
                </c:pt>
                <c:pt idx="85">
                  <c:v>693.34962213319261</c:v>
                </c:pt>
                <c:pt idx="86">
                  <c:v>693.34962213319261</c:v>
                </c:pt>
                <c:pt idx="87">
                  <c:v>693.34962213319261</c:v>
                </c:pt>
                <c:pt idx="88">
                  <c:v>693.34962213319261</c:v>
                </c:pt>
                <c:pt idx="89">
                  <c:v>693.34962213319261</c:v>
                </c:pt>
                <c:pt idx="90">
                  <c:v>693.34962213319261</c:v>
                </c:pt>
                <c:pt idx="91">
                  <c:v>693.34962213319261</c:v>
                </c:pt>
                <c:pt idx="92">
                  <c:v>693.34962213319261</c:v>
                </c:pt>
                <c:pt idx="93">
                  <c:v>693.34962213319261</c:v>
                </c:pt>
                <c:pt idx="94">
                  <c:v>693.34962213319261</c:v>
                </c:pt>
                <c:pt idx="95">
                  <c:v>693.34962213319261</c:v>
                </c:pt>
                <c:pt idx="96">
                  <c:v>693.34962213319261</c:v>
                </c:pt>
                <c:pt idx="97">
                  <c:v>693.34962213319261</c:v>
                </c:pt>
                <c:pt idx="98">
                  <c:v>693.34962213319261</c:v>
                </c:pt>
                <c:pt idx="99">
                  <c:v>693.34962213319261</c:v>
                </c:pt>
                <c:pt idx="100">
                  <c:v>693.34962213319261</c:v>
                </c:pt>
                <c:pt idx="101">
                  <c:v>693.34962213319261</c:v>
                </c:pt>
                <c:pt idx="102">
                  <c:v>693.34962213319261</c:v>
                </c:pt>
                <c:pt idx="103">
                  <c:v>693.34962213319261</c:v>
                </c:pt>
                <c:pt idx="104">
                  <c:v>693.34962213319261</c:v>
                </c:pt>
                <c:pt idx="105">
                  <c:v>693.34962213319261</c:v>
                </c:pt>
                <c:pt idx="106">
                  <c:v>693.34962213319261</c:v>
                </c:pt>
                <c:pt idx="107">
                  <c:v>693.34962213319261</c:v>
                </c:pt>
                <c:pt idx="108">
                  <c:v>693.34962213319261</c:v>
                </c:pt>
                <c:pt idx="109">
                  <c:v>693.34962213319261</c:v>
                </c:pt>
                <c:pt idx="110">
                  <c:v>693.34962213319261</c:v>
                </c:pt>
                <c:pt idx="111">
                  <c:v>693.34962213319261</c:v>
                </c:pt>
                <c:pt idx="112">
                  <c:v>693.34962213319261</c:v>
                </c:pt>
                <c:pt idx="113">
                  <c:v>693.34962213319261</c:v>
                </c:pt>
                <c:pt idx="114">
                  <c:v>693.34962213319261</c:v>
                </c:pt>
                <c:pt idx="115">
                  <c:v>693.34962213319261</c:v>
                </c:pt>
                <c:pt idx="116">
                  <c:v>693.34962213319261</c:v>
                </c:pt>
                <c:pt idx="117">
                  <c:v>693.34962213319261</c:v>
                </c:pt>
                <c:pt idx="118">
                  <c:v>693.34962213319261</c:v>
                </c:pt>
                <c:pt idx="119">
                  <c:v>693.34962213319261</c:v>
                </c:pt>
                <c:pt idx="120">
                  <c:v>693.34962213319261</c:v>
                </c:pt>
                <c:pt idx="121">
                  <c:v>693.34962213319261</c:v>
                </c:pt>
                <c:pt idx="122">
                  <c:v>693.34962213319261</c:v>
                </c:pt>
                <c:pt idx="123">
                  <c:v>693.34962213319261</c:v>
                </c:pt>
                <c:pt idx="124">
                  <c:v>693.34962213319261</c:v>
                </c:pt>
                <c:pt idx="125">
                  <c:v>693.34962213319261</c:v>
                </c:pt>
                <c:pt idx="126">
                  <c:v>693.34962213319261</c:v>
                </c:pt>
                <c:pt idx="127">
                  <c:v>693.34962213319261</c:v>
                </c:pt>
                <c:pt idx="128">
                  <c:v>693.34962213319261</c:v>
                </c:pt>
                <c:pt idx="129">
                  <c:v>693.34962213319261</c:v>
                </c:pt>
                <c:pt idx="130">
                  <c:v>693.34962213319261</c:v>
                </c:pt>
                <c:pt idx="131">
                  <c:v>693.34962213319261</c:v>
                </c:pt>
                <c:pt idx="132">
                  <c:v>693.34962213319261</c:v>
                </c:pt>
                <c:pt idx="133">
                  <c:v>693.34962213319261</c:v>
                </c:pt>
                <c:pt idx="134">
                  <c:v>693.34962213319261</c:v>
                </c:pt>
                <c:pt idx="135">
                  <c:v>693.34962213319261</c:v>
                </c:pt>
                <c:pt idx="136">
                  <c:v>693.34962213319261</c:v>
                </c:pt>
                <c:pt idx="137">
                  <c:v>693.34962213319261</c:v>
                </c:pt>
                <c:pt idx="138">
                  <c:v>693.34962213319261</c:v>
                </c:pt>
                <c:pt idx="139">
                  <c:v>693.34962213319261</c:v>
                </c:pt>
                <c:pt idx="140">
                  <c:v>693.34962213319261</c:v>
                </c:pt>
                <c:pt idx="141">
                  <c:v>693.34962213319261</c:v>
                </c:pt>
                <c:pt idx="142">
                  <c:v>693.34962213319261</c:v>
                </c:pt>
                <c:pt idx="143">
                  <c:v>693.34962213319261</c:v>
                </c:pt>
                <c:pt idx="144">
                  <c:v>693.34962213319261</c:v>
                </c:pt>
                <c:pt idx="145">
                  <c:v>693.34962213319261</c:v>
                </c:pt>
                <c:pt idx="146">
                  <c:v>693.34962213319261</c:v>
                </c:pt>
                <c:pt idx="147">
                  <c:v>693.34962213319261</c:v>
                </c:pt>
                <c:pt idx="148">
                  <c:v>693.34962213319261</c:v>
                </c:pt>
                <c:pt idx="149">
                  <c:v>693.34962213319261</c:v>
                </c:pt>
                <c:pt idx="150">
                  <c:v>693.34962213319261</c:v>
                </c:pt>
                <c:pt idx="151">
                  <c:v>693.34962213319261</c:v>
                </c:pt>
                <c:pt idx="152">
                  <c:v>693.34962213319261</c:v>
                </c:pt>
                <c:pt idx="153">
                  <c:v>693.34962213319261</c:v>
                </c:pt>
                <c:pt idx="154">
                  <c:v>693.34962213319261</c:v>
                </c:pt>
                <c:pt idx="155">
                  <c:v>693.34962213319261</c:v>
                </c:pt>
                <c:pt idx="156">
                  <c:v>693.34962213319261</c:v>
                </c:pt>
                <c:pt idx="157">
                  <c:v>693.34962213319261</c:v>
                </c:pt>
                <c:pt idx="158">
                  <c:v>693.34962213319261</c:v>
                </c:pt>
                <c:pt idx="159">
                  <c:v>693.34962213319261</c:v>
                </c:pt>
                <c:pt idx="160">
                  <c:v>693.34962213319261</c:v>
                </c:pt>
                <c:pt idx="161">
                  <c:v>693.34962213319261</c:v>
                </c:pt>
                <c:pt idx="162">
                  <c:v>693.34962213319261</c:v>
                </c:pt>
                <c:pt idx="163">
                  <c:v>693.34962213319261</c:v>
                </c:pt>
                <c:pt idx="164">
                  <c:v>693.34962213319261</c:v>
                </c:pt>
                <c:pt idx="165">
                  <c:v>693.34962213319261</c:v>
                </c:pt>
                <c:pt idx="166">
                  <c:v>693.34962213319261</c:v>
                </c:pt>
                <c:pt idx="167">
                  <c:v>693.34962213319261</c:v>
                </c:pt>
                <c:pt idx="168">
                  <c:v>693.34962213319261</c:v>
                </c:pt>
                <c:pt idx="169">
                  <c:v>693.34962213319261</c:v>
                </c:pt>
                <c:pt idx="170">
                  <c:v>693.34962213319261</c:v>
                </c:pt>
                <c:pt idx="171">
                  <c:v>693.34962213319261</c:v>
                </c:pt>
                <c:pt idx="172">
                  <c:v>693.34962213319261</c:v>
                </c:pt>
                <c:pt idx="173">
                  <c:v>693.34962213319261</c:v>
                </c:pt>
                <c:pt idx="174">
                  <c:v>693.34962213319261</c:v>
                </c:pt>
                <c:pt idx="175">
                  <c:v>693.34962213319261</c:v>
                </c:pt>
                <c:pt idx="176">
                  <c:v>693.34962213319261</c:v>
                </c:pt>
                <c:pt idx="177">
                  <c:v>693.34962213319261</c:v>
                </c:pt>
                <c:pt idx="178">
                  <c:v>693.34962213319261</c:v>
                </c:pt>
                <c:pt idx="179">
                  <c:v>693.34962213319261</c:v>
                </c:pt>
                <c:pt idx="180">
                  <c:v>693.34962213319261</c:v>
                </c:pt>
                <c:pt idx="181">
                  <c:v>693.34962213319261</c:v>
                </c:pt>
                <c:pt idx="182">
                  <c:v>693.34962213319261</c:v>
                </c:pt>
                <c:pt idx="183">
                  <c:v>693.34962213319261</c:v>
                </c:pt>
                <c:pt idx="184">
                  <c:v>693.34962213319261</c:v>
                </c:pt>
                <c:pt idx="185">
                  <c:v>693.34962213319261</c:v>
                </c:pt>
                <c:pt idx="186">
                  <c:v>693.34962213319261</c:v>
                </c:pt>
                <c:pt idx="187">
                  <c:v>693.34962213319261</c:v>
                </c:pt>
                <c:pt idx="188">
                  <c:v>693.34962213319261</c:v>
                </c:pt>
                <c:pt idx="189">
                  <c:v>693.34962213319261</c:v>
                </c:pt>
                <c:pt idx="190">
                  <c:v>693.34962213319261</c:v>
                </c:pt>
                <c:pt idx="191">
                  <c:v>693.34962213319261</c:v>
                </c:pt>
                <c:pt idx="192">
                  <c:v>693.34962213319261</c:v>
                </c:pt>
                <c:pt idx="193">
                  <c:v>693.34962213319261</c:v>
                </c:pt>
                <c:pt idx="194">
                  <c:v>693.34962213319261</c:v>
                </c:pt>
                <c:pt idx="195">
                  <c:v>693.34962213319261</c:v>
                </c:pt>
                <c:pt idx="196">
                  <c:v>693.34962213319261</c:v>
                </c:pt>
                <c:pt idx="197">
                  <c:v>693.34962213319261</c:v>
                </c:pt>
                <c:pt idx="198">
                  <c:v>693.34962213319261</c:v>
                </c:pt>
                <c:pt idx="199">
                  <c:v>693.34962213319261</c:v>
                </c:pt>
                <c:pt idx="200">
                  <c:v>693.34962213319261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22" sqref="F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35.9</v>
      </c>
      <c r="D5" s="277" t="s">
        <v>229</v>
      </c>
      <c r="E5" s="27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64" t="s">
        <v>331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14</v>
      </c>
      <c r="C9" s="262">
        <v>7.5208913649025072E-2</v>
      </c>
      <c r="D9" s="33">
        <f t="shared" ref="D9:D18" si="0">C9*$C$5</f>
        <v>2.7</v>
      </c>
      <c r="E9" s="263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14</v>
      </c>
      <c r="C10" s="262">
        <v>8.3565459610027856E-2</v>
      </c>
      <c r="D10" s="33">
        <f t="shared" si="0"/>
        <v>3</v>
      </c>
      <c r="E10" s="263">
        <v>120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 t="s">
        <v>22</v>
      </c>
      <c r="C11" s="262">
        <v>5.0139275766016719E-2</v>
      </c>
      <c r="D11" s="33">
        <f t="shared" si="0"/>
        <v>1.8</v>
      </c>
      <c r="E11" s="263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333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 t="s">
        <v>22</v>
      </c>
      <c r="C12" s="262">
        <v>4.4568245125348196E-2</v>
      </c>
      <c r="D12" s="33">
        <f t="shared" si="0"/>
        <v>1.6</v>
      </c>
      <c r="E12" s="263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52</v>
      </c>
      <c r="C13" s="32">
        <v>5.5710306406685242E-2</v>
      </c>
      <c r="D13" s="33">
        <f t="shared" si="0"/>
        <v>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164</v>
      </c>
      <c r="C14" s="32">
        <v>0.33983286908077992</v>
      </c>
      <c r="D14" s="33">
        <f t="shared" si="0"/>
        <v>12.2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327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35</v>
      </c>
      <c r="C15" s="32">
        <v>0.12813370473537605</v>
      </c>
      <c r="D15" s="33">
        <f t="shared" si="0"/>
        <v>4.6000000000000005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328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158</v>
      </c>
      <c r="C16" s="32">
        <v>0.12813370473537605</v>
      </c>
      <c r="D16" s="33">
        <f t="shared" si="0"/>
        <v>4.6000000000000005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329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47</v>
      </c>
      <c r="C17" s="32">
        <v>8.3565459610027856E-2</v>
      </c>
      <c r="D17" s="33">
        <f t="shared" si="0"/>
        <v>3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330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12</v>
      </c>
      <c r="C18" s="32">
        <v>1.1142061281337049E-2</v>
      </c>
      <c r="D18" s="33">
        <f t="shared" si="0"/>
        <v>0.4</v>
      </c>
      <c r="E18" s="34">
        <v>115</v>
      </c>
      <c r="F18" s="35" t="str">
        <f t="array" ref="F18">IF(E18="","",IF(INDEX(A:A,MAX(IF(ISNUMBER($A$270:$A$289),ROW($A$270:$A$289),"")))&lt;&gt;E18,"Corrigez : révolution incorrecte","OK"))</f>
        <v>OK</v>
      </c>
      <c r="G18" s="264" t="s">
        <v>332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35.9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>
        <v>1</v>
      </c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>
        <v>1</v>
      </c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>
        <v>1</v>
      </c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>
        <v>1</v>
      </c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>
        <v>1</v>
      </c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>
        <v>1</v>
      </c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>
        <v>1</v>
      </c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>
        <v>1</v>
      </c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>
        <v>1</v>
      </c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>
        <v>1</v>
      </c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>
        <v>1</v>
      </c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60">
        <v>15</v>
      </c>
      <c r="D50" s="60">
        <v>28</v>
      </c>
      <c r="E50" s="51">
        <v>1</v>
      </c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60">
        <v>16</v>
      </c>
      <c r="D51" s="60">
        <v>28</v>
      </c>
      <c r="E51" s="51">
        <v>1</v>
      </c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60">
        <v>17</v>
      </c>
      <c r="D52" s="60">
        <v>27</v>
      </c>
      <c r="E52" s="51">
        <v>1</v>
      </c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333</v>
      </c>
      <c r="C53" s="60">
        <v>18</v>
      </c>
      <c r="D53" s="60">
        <v>26</v>
      </c>
      <c r="E53" s="51">
        <v>1</v>
      </c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v>332</v>
      </c>
      <c r="C54" s="60">
        <v>19</v>
      </c>
      <c r="D54" s="60">
        <v>25</v>
      </c>
      <c r="E54" s="51">
        <v>1</v>
      </c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v>331</v>
      </c>
      <c r="C55" s="60">
        <v>20</v>
      </c>
      <c r="D55" s="60">
        <v>24</v>
      </c>
      <c r="E55" s="51">
        <v>1</v>
      </c>
      <c r="F55" s="51"/>
      <c r="G55" s="51"/>
      <c r="H55" s="51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0">
        <v>25</v>
      </c>
      <c r="B62" s="260">
        <v>30</v>
      </c>
      <c r="C62" s="260"/>
      <c r="D62" s="260">
        <v>0</v>
      </c>
      <c r="E62" s="259"/>
      <c r="F62" s="259"/>
      <c r="G62" s="259"/>
      <c r="H62" s="259">
        <v>1</v>
      </c>
      <c r="I62" s="53">
        <f>IFERROR(B62/A62,"")</f>
        <v>1.2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0">
        <v>30</v>
      </c>
      <c r="B63" s="260">
        <v>54</v>
      </c>
      <c r="C63" s="260"/>
      <c r="D63" s="260">
        <v>0</v>
      </c>
      <c r="E63" s="259"/>
      <c r="F63" s="259"/>
      <c r="G63" s="259"/>
      <c r="H63" s="259">
        <v>1</v>
      </c>
      <c r="I63" s="49">
        <f>IF(A63&lt;&gt;0,(B63-(B62-D62))/(A63-A62),"")</f>
        <v>4.8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0">
        <v>35</v>
      </c>
      <c r="B64" s="260">
        <v>79</v>
      </c>
      <c r="C64" s="260">
        <v>1</v>
      </c>
      <c r="D64" s="260">
        <v>13</v>
      </c>
      <c r="E64" s="259">
        <v>1</v>
      </c>
      <c r="F64" s="259"/>
      <c r="G64" s="259"/>
      <c r="H64" s="259"/>
      <c r="I64" s="49">
        <f>IF(A64&lt;&gt;0,(B64-(B63-D63))/(A64-A63),"")</f>
        <v>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0">
        <v>40</v>
      </c>
      <c r="B65" s="260">
        <v>93</v>
      </c>
      <c r="C65" s="260">
        <v>2</v>
      </c>
      <c r="D65" s="260">
        <v>14</v>
      </c>
      <c r="E65" s="259">
        <v>1</v>
      </c>
      <c r="F65" s="259"/>
      <c r="G65" s="259"/>
      <c r="H65" s="259"/>
      <c r="I65" s="49">
        <f>IF(A65&lt;&gt;0,(B65-(B64-D64))/(A65-A64),"")</f>
        <v>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0">
        <v>45</v>
      </c>
      <c r="B66" s="260">
        <v>107</v>
      </c>
      <c r="C66" s="260">
        <v>3</v>
      </c>
      <c r="D66" s="260">
        <v>14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0">
        <v>50</v>
      </c>
      <c r="B67" s="260">
        <v>121</v>
      </c>
      <c r="C67" s="260">
        <v>4</v>
      </c>
      <c r="D67" s="260">
        <v>14</v>
      </c>
      <c r="E67" s="259">
        <v>1</v>
      </c>
      <c r="F67" s="259"/>
      <c r="G67" s="259"/>
      <c r="H67" s="259"/>
      <c r="I67" s="49">
        <f t="shared" si="2"/>
        <v>5.6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0">
        <v>55</v>
      </c>
      <c r="B68" s="260">
        <v>135</v>
      </c>
      <c r="C68" s="260">
        <v>5</v>
      </c>
      <c r="D68" s="260">
        <v>14</v>
      </c>
      <c r="E68" s="259">
        <v>1</v>
      </c>
      <c r="F68" s="259"/>
      <c r="G68" s="259"/>
      <c r="H68" s="259"/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0">
        <v>60</v>
      </c>
      <c r="B69" s="260">
        <v>148</v>
      </c>
      <c r="C69" s="260">
        <v>6</v>
      </c>
      <c r="D69" s="260">
        <v>14</v>
      </c>
      <c r="E69" s="259">
        <v>1</v>
      </c>
      <c r="F69" s="259"/>
      <c r="G69" s="259"/>
      <c r="H69" s="259"/>
      <c r="I69" s="49">
        <f t="shared" si="2"/>
        <v>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0">
        <v>65</v>
      </c>
      <c r="B70" s="260">
        <v>161</v>
      </c>
      <c r="C70" s="260">
        <v>7</v>
      </c>
      <c r="D70" s="260">
        <v>14</v>
      </c>
      <c r="E70" s="259">
        <v>1</v>
      </c>
      <c r="F70" s="259"/>
      <c r="G70" s="259"/>
      <c r="H70" s="259"/>
      <c r="I70" s="49">
        <f t="shared" si="2"/>
        <v>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0">
        <v>70</v>
      </c>
      <c r="B71" s="260">
        <v>172</v>
      </c>
      <c r="C71" s="260">
        <v>8</v>
      </c>
      <c r="D71" s="260">
        <v>14</v>
      </c>
      <c r="E71" s="259">
        <v>1</v>
      </c>
      <c r="F71" s="259"/>
      <c r="G71" s="259"/>
      <c r="H71" s="259"/>
      <c r="I71" s="49">
        <f t="shared" si="2"/>
        <v>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0">
        <v>75</v>
      </c>
      <c r="B72" s="260">
        <v>183</v>
      </c>
      <c r="C72" s="260">
        <v>9</v>
      </c>
      <c r="D72" s="260">
        <v>14</v>
      </c>
      <c r="E72" s="259">
        <v>1</v>
      </c>
      <c r="F72" s="259"/>
      <c r="G72" s="259"/>
      <c r="H72" s="259"/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80</v>
      </c>
      <c r="B73" s="260">
        <v>192</v>
      </c>
      <c r="C73" s="260">
        <v>10</v>
      </c>
      <c r="D73" s="260">
        <v>14</v>
      </c>
      <c r="E73" s="259">
        <v>1</v>
      </c>
      <c r="F73" s="259"/>
      <c r="G73" s="259"/>
      <c r="H73" s="259"/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85</v>
      </c>
      <c r="B74" s="260">
        <v>200</v>
      </c>
      <c r="C74" s="260">
        <v>11</v>
      </c>
      <c r="D74" s="260">
        <v>14</v>
      </c>
      <c r="E74" s="259">
        <v>1</v>
      </c>
      <c r="F74" s="259"/>
      <c r="G74" s="259"/>
      <c r="H74" s="259"/>
      <c r="I74" s="49">
        <f t="shared" si="2"/>
        <v>4.4000000000000004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90</v>
      </c>
      <c r="B75" s="260">
        <v>207</v>
      </c>
      <c r="C75" s="260">
        <v>12</v>
      </c>
      <c r="D75" s="260">
        <v>14</v>
      </c>
      <c r="E75" s="259">
        <v>1</v>
      </c>
      <c r="F75" s="259"/>
      <c r="G75" s="259"/>
      <c r="H75" s="259"/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95</v>
      </c>
      <c r="B76" s="260">
        <v>212</v>
      </c>
      <c r="C76" s="260">
        <v>13</v>
      </c>
      <c r="D76" s="260">
        <v>14</v>
      </c>
      <c r="E76" s="259">
        <v>1</v>
      </c>
      <c r="F76" s="259"/>
      <c r="G76" s="259"/>
      <c r="H76" s="259"/>
      <c r="I76" s="49">
        <f t="shared" si="2"/>
        <v>3.8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100</v>
      </c>
      <c r="B77" s="257">
        <v>216</v>
      </c>
      <c r="C77" s="256">
        <v>14</v>
      </c>
      <c r="D77" s="256">
        <v>14</v>
      </c>
      <c r="E77" s="255">
        <v>1</v>
      </c>
      <c r="F77" s="255"/>
      <c r="G77" s="255"/>
      <c r="H77" s="255"/>
      <c r="I77" s="49">
        <f t="shared" si="2"/>
        <v>3.6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105</v>
      </c>
      <c r="B78" s="257">
        <v>218</v>
      </c>
      <c r="C78" s="256">
        <v>15</v>
      </c>
      <c r="D78" s="256">
        <v>14</v>
      </c>
      <c r="E78" s="255">
        <v>1</v>
      </c>
      <c r="F78" s="255"/>
      <c r="G78" s="255"/>
      <c r="H78" s="255"/>
      <c r="I78" s="49">
        <f t="shared" si="2"/>
        <v>3.2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110</v>
      </c>
      <c r="B79" s="257">
        <v>219</v>
      </c>
      <c r="C79" s="256">
        <v>16</v>
      </c>
      <c r="D79" s="256">
        <v>13</v>
      </c>
      <c r="E79" s="255">
        <v>1</v>
      </c>
      <c r="F79" s="255"/>
      <c r="G79" s="255"/>
      <c r="H79" s="255"/>
      <c r="I79" s="49">
        <f t="shared" si="2"/>
        <v>3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115</v>
      </c>
      <c r="B80" s="257">
        <v>221</v>
      </c>
      <c r="C80" s="256">
        <v>17</v>
      </c>
      <c r="D80" s="256">
        <v>13</v>
      </c>
      <c r="E80" s="255">
        <v>1</v>
      </c>
      <c r="F80" s="255"/>
      <c r="G80" s="255"/>
      <c r="H80" s="255"/>
      <c r="I80" s="49">
        <f t="shared" si="2"/>
        <v>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120</v>
      </c>
      <c r="B81" s="257">
        <v>221</v>
      </c>
      <c r="C81" s="256">
        <v>18</v>
      </c>
      <c r="D81" s="258">
        <v>12</v>
      </c>
      <c r="E81" s="255">
        <v>1</v>
      </c>
      <c r="F81" s="255"/>
      <c r="G81" s="255"/>
      <c r="H81" s="255"/>
      <c r="I81" s="49">
        <f t="shared" si="2"/>
        <v>2.6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plane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>
        <v>10</v>
      </c>
      <c r="B88" s="260">
        <v>11</v>
      </c>
      <c r="C88" s="260"/>
      <c r="D88" s="260">
        <v>0</v>
      </c>
      <c r="E88" s="259"/>
      <c r="F88" s="259"/>
      <c r="G88" s="259"/>
      <c r="H88" s="259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>
        <v>15</v>
      </c>
      <c r="B89" s="260">
        <v>65</v>
      </c>
      <c r="C89" s="260">
        <v>1</v>
      </c>
      <c r="D89" s="260">
        <v>32</v>
      </c>
      <c r="E89" s="259"/>
      <c r="F89" s="259"/>
      <c r="G89" s="259"/>
      <c r="H89" s="259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>
        <v>20</v>
      </c>
      <c r="B90" s="260">
        <v>102</v>
      </c>
      <c r="C90" s="260">
        <v>2</v>
      </c>
      <c r="D90" s="260">
        <v>35</v>
      </c>
      <c r="E90" s="259"/>
      <c r="F90" s="259"/>
      <c r="G90" s="259"/>
      <c r="H90" s="259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>
        <v>25</v>
      </c>
      <c r="B91" s="260">
        <v>141</v>
      </c>
      <c r="C91" s="260">
        <v>3</v>
      </c>
      <c r="D91" s="260">
        <v>35</v>
      </c>
      <c r="E91" s="259"/>
      <c r="F91" s="259"/>
      <c r="G91" s="259"/>
      <c r="H91" s="259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>
        <v>30</v>
      </c>
      <c r="B92" s="260">
        <v>177</v>
      </c>
      <c r="C92" s="260">
        <v>4</v>
      </c>
      <c r="D92" s="260">
        <v>35</v>
      </c>
      <c r="E92" s="259"/>
      <c r="F92" s="259"/>
      <c r="G92" s="259"/>
      <c r="H92" s="259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>
        <v>35</v>
      </c>
      <c r="B93" s="260">
        <v>206</v>
      </c>
      <c r="C93" s="260">
        <v>5</v>
      </c>
      <c r="D93" s="260">
        <v>35</v>
      </c>
      <c r="E93" s="259">
        <v>1</v>
      </c>
      <c r="F93" s="259"/>
      <c r="G93" s="259"/>
      <c r="H93" s="259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>
        <v>40</v>
      </c>
      <c r="B94" s="260">
        <v>228</v>
      </c>
      <c r="C94" s="260">
        <v>6</v>
      </c>
      <c r="D94" s="260">
        <v>35</v>
      </c>
      <c r="E94" s="259">
        <v>1</v>
      </c>
      <c r="F94" s="259"/>
      <c r="G94" s="259"/>
      <c r="H94" s="259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>
        <v>45</v>
      </c>
      <c r="B95" s="260">
        <v>242</v>
      </c>
      <c r="C95" s="260">
        <v>7</v>
      </c>
      <c r="D95" s="260">
        <v>24</v>
      </c>
      <c r="E95" s="259">
        <v>1</v>
      </c>
      <c r="F95" s="259"/>
      <c r="G95" s="259"/>
      <c r="H95" s="259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>
        <v>50</v>
      </c>
      <c r="B96" s="260">
        <v>261</v>
      </c>
      <c r="C96" s="260">
        <v>8</v>
      </c>
      <c r="D96" s="260">
        <v>19</v>
      </c>
      <c r="E96" s="259">
        <v>1</v>
      </c>
      <c r="F96" s="259"/>
      <c r="G96" s="259"/>
      <c r="H96" s="259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>
        <v>55</v>
      </c>
      <c r="B97" s="260">
        <v>279</v>
      </c>
      <c r="C97" s="260">
        <v>9</v>
      </c>
      <c r="D97" s="260">
        <v>16</v>
      </c>
      <c r="E97" s="259">
        <v>1</v>
      </c>
      <c r="F97" s="259"/>
      <c r="G97" s="259"/>
      <c r="H97" s="259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>
        <v>60</v>
      </c>
      <c r="B98" s="260">
        <v>294</v>
      </c>
      <c r="C98" s="260">
        <v>10</v>
      </c>
      <c r="D98" s="260">
        <v>14</v>
      </c>
      <c r="E98" s="259">
        <v>1</v>
      </c>
      <c r="F98" s="259"/>
      <c r="G98" s="259"/>
      <c r="H98" s="259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>
        <v>65</v>
      </c>
      <c r="B99" s="260">
        <v>306</v>
      </c>
      <c r="C99" s="260">
        <v>11</v>
      </c>
      <c r="D99" s="260">
        <v>13</v>
      </c>
      <c r="E99" s="259">
        <v>1</v>
      </c>
      <c r="F99" s="259"/>
      <c r="G99" s="259"/>
      <c r="H99" s="259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>
        <v>70</v>
      </c>
      <c r="B100" s="260">
        <v>316</v>
      </c>
      <c r="C100" s="260">
        <v>12</v>
      </c>
      <c r="D100" s="260">
        <v>13</v>
      </c>
      <c r="E100" s="259">
        <v>1</v>
      </c>
      <c r="F100" s="259"/>
      <c r="G100" s="259"/>
      <c r="H100" s="259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>
        <v>75</v>
      </c>
      <c r="B101" s="260">
        <v>324</v>
      </c>
      <c r="C101" s="260">
        <v>13</v>
      </c>
      <c r="D101" s="260">
        <v>12</v>
      </c>
      <c r="E101" s="259">
        <v>1</v>
      </c>
      <c r="F101" s="259"/>
      <c r="G101" s="259"/>
      <c r="H101" s="259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>
        <v>80</v>
      </c>
      <c r="B102" s="260">
        <v>330</v>
      </c>
      <c r="C102" s="260">
        <v>14</v>
      </c>
      <c r="D102" s="260">
        <v>11</v>
      </c>
      <c r="E102" s="259">
        <v>1</v>
      </c>
      <c r="F102" s="259"/>
      <c r="G102" s="259"/>
      <c r="H102" s="259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>
        <v>15</v>
      </c>
      <c r="B114" s="260">
        <v>37</v>
      </c>
      <c r="C114" s="260">
        <v>1</v>
      </c>
      <c r="D114" s="260">
        <v>15</v>
      </c>
      <c r="E114" s="259"/>
      <c r="F114" s="259"/>
      <c r="G114" s="259"/>
      <c r="H114" s="259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>
        <v>20</v>
      </c>
      <c r="B115" s="260">
        <v>80</v>
      </c>
      <c r="C115" s="260">
        <v>2</v>
      </c>
      <c r="D115" s="260">
        <v>28</v>
      </c>
      <c r="E115" s="259"/>
      <c r="F115" s="259"/>
      <c r="G115" s="259"/>
      <c r="H115" s="259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>
        <v>25</v>
      </c>
      <c r="B116" s="260">
        <v>115</v>
      </c>
      <c r="C116" s="260">
        <v>3</v>
      </c>
      <c r="D116" s="260">
        <v>28</v>
      </c>
      <c r="E116" s="259"/>
      <c r="F116" s="259"/>
      <c r="G116" s="259"/>
      <c r="H116" s="259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>
        <v>30</v>
      </c>
      <c r="B117" s="260">
        <v>146</v>
      </c>
      <c r="C117" s="260">
        <v>4</v>
      </c>
      <c r="D117" s="260">
        <v>28</v>
      </c>
      <c r="E117" s="259"/>
      <c r="F117" s="259"/>
      <c r="G117" s="259"/>
      <c r="H117" s="259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>
        <v>35</v>
      </c>
      <c r="B118" s="260">
        <v>172</v>
      </c>
      <c r="C118" s="260">
        <v>5</v>
      </c>
      <c r="D118" s="260">
        <v>28</v>
      </c>
      <c r="E118" s="259">
        <v>1</v>
      </c>
      <c r="F118" s="259"/>
      <c r="G118" s="259"/>
      <c r="H118" s="259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>
        <v>40</v>
      </c>
      <c r="B119" s="260">
        <v>192</v>
      </c>
      <c r="C119" s="260">
        <v>6</v>
      </c>
      <c r="D119" s="260">
        <v>28</v>
      </c>
      <c r="E119" s="259">
        <v>1</v>
      </c>
      <c r="F119" s="259"/>
      <c r="G119" s="259"/>
      <c r="H119" s="259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>
        <v>45</v>
      </c>
      <c r="B120" s="260">
        <v>205</v>
      </c>
      <c r="C120" s="260">
        <v>7</v>
      </c>
      <c r="D120" s="260">
        <v>22</v>
      </c>
      <c r="E120" s="259">
        <v>1</v>
      </c>
      <c r="F120" s="259"/>
      <c r="G120" s="259"/>
      <c r="H120" s="259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>
        <v>50</v>
      </c>
      <c r="B121" s="260">
        <v>219</v>
      </c>
      <c r="C121" s="260">
        <v>8</v>
      </c>
      <c r="D121" s="260">
        <v>17</v>
      </c>
      <c r="E121" s="259">
        <v>1</v>
      </c>
      <c r="F121" s="259"/>
      <c r="G121" s="259"/>
      <c r="H121" s="259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>
        <v>55</v>
      </c>
      <c r="B122" s="260">
        <v>232</v>
      </c>
      <c r="C122" s="260">
        <v>9</v>
      </c>
      <c r="D122" s="260">
        <v>13</v>
      </c>
      <c r="E122" s="259">
        <v>1</v>
      </c>
      <c r="F122" s="259"/>
      <c r="G122" s="259"/>
      <c r="H122" s="259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>
        <v>60</v>
      </c>
      <c r="B123" s="260">
        <v>245</v>
      </c>
      <c r="C123" s="260">
        <v>10</v>
      </c>
      <c r="D123" s="260">
        <v>12</v>
      </c>
      <c r="E123" s="259">
        <v>1</v>
      </c>
      <c r="F123" s="259"/>
      <c r="G123" s="259"/>
      <c r="H123" s="259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>
        <v>65</v>
      </c>
      <c r="B124" s="260">
        <v>255</v>
      </c>
      <c r="C124" s="260">
        <v>11</v>
      </c>
      <c r="D124" s="260">
        <v>11</v>
      </c>
      <c r="E124" s="259">
        <v>1</v>
      </c>
      <c r="F124" s="259"/>
      <c r="G124" s="259"/>
      <c r="H124" s="259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>
        <v>70</v>
      </c>
      <c r="B125" s="260">
        <v>263</v>
      </c>
      <c r="C125" s="260">
        <v>12</v>
      </c>
      <c r="D125" s="260">
        <v>10</v>
      </c>
      <c r="E125" s="259">
        <v>1</v>
      </c>
      <c r="F125" s="259"/>
      <c r="G125" s="259"/>
      <c r="H125" s="259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>
        <v>75</v>
      </c>
      <c r="B126" s="260">
        <v>270</v>
      </c>
      <c r="C126" s="260">
        <v>13</v>
      </c>
      <c r="D126" s="260">
        <v>9</v>
      </c>
      <c r="E126" s="259">
        <v>1</v>
      </c>
      <c r="F126" s="259"/>
      <c r="G126" s="259"/>
      <c r="H126" s="259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>
        <v>80</v>
      </c>
      <c r="B127" s="260">
        <v>275</v>
      </c>
      <c r="C127" s="260">
        <v>14</v>
      </c>
      <c r="D127" s="260">
        <v>8</v>
      </c>
      <c r="E127" s="259">
        <v>1</v>
      </c>
      <c r="F127" s="259"/>
      <c r="G127" s="259"/>
      <c r="H127" s="259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Cormier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9</v>
      </c>
      <c r="C140" s="50"/>
      <c r="D140" s="60">
        <v>0</v>
      </c>
      <c r="E140" s="51"/>
      <c r="F140" s="51"/>
      <c r="G140" s="51"/>
      <c r="H140" s="51">
        <v>1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57</v>
      </c>
      <c r="C141" s="50">
        <v>1</v>
      </c>
      <c r="D141" s="60">
        <v>21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86</v>
      </c>
      <c r="C142" s="50">
        <v>2</v>
      </c>
      <c r="D142" s="60">
        <v>21</v>
      </c>
      <c r="E142" s="51"/>
      <c r="F142" s="51"/>
      <c r="G142" s="51"/>
      <c r="H142" s="51">
        <v>1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114</v>
      </c>
      <c r="C143" s="50">
        <v>3</v>
      </c>
      <c r="D143" s="60">
        <v>21</v>
      </c>
      <c r="E143" s="51"/>
      <c r="F143" s="51"/>
      <c r="G143" s="51"/>
      <c r="H143" s="51">
        <v>1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136</v>
      </c>
      <c r="C144" s="50">
        <v>4</v>
      </c>
      <c r="D144" s="60">
        <v>21</v>
      </c>
      <c r="E144" s="51">
        <v>1</v>
      </c>
      <c r="F144" s="51"/>
      <c r="G144" s="51"/>
      <c r="H144" s="51"/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153</v>
      </c>
      <c r="C145" s="50">
        <v>5</v>
      </c>
      <c r="D145" s="60">
        <v>21</v>
      </c>
      <c r="E145" s="51">
        <v>1</v>
      </c>
      <c r="F145" s="51"/>
      <c r="G145" s="51"/>
      <c r="H145" s="51"/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164</v>
      </c>
      <c r="C146" s="50">
        <v>6</v>
      </c>
      <c r="D146" s="60">
        <v>18</v>
      </c>
      <c r="E146" s="51">
        <v>1</v>
      </c>
      <c r="F146" s="51"/>
      <c r="G146" s="51"/>
      <c r="H146" s="51"/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174</v>
      </c>
      <c r="C147" s="50">
        <v>7</v>
      </c>
      <c r="D147" s="60">
        <v>13</v>
      </c>
      <c r="E147" s="51">
        <v>1</v>
      </c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185</v>
      </c>
      <c r="C148" s="50">
        <v>8</v>
      </c>
      <c r="D148" s="60">
        <v>11</v>
      </c>
      <c r="E148" s="51">
        <v>1</v>
      </c>
      <c r="F148" s="51"/>
      <c r="G148" s="51"/>
      <c r="H148" s="51"/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194</v>
      </c>
      <c r="C149" s="50">
        <v>9</v>
      </c>
      <c r="D149" s="60">
        <v>9</v>
      </c>
      <c r="E149" s="51">
        <v>1</v>
      </c>
      <c r="F149" s="51"/>
      <c r="G149" s="51"/>
      <c r="H149" s="51"/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202</v>
      </c>
      <c r="C150" s="50">
        <v>10</v>
      </c>
      <c r="D150" s="60">
        <v>8</v>
      </c>
      <c r="E150" s="51">
        <v>1</v>
      </c>
      <c r="F150" s="51"/>
      <c r="G150" s="51"/>
      <c r="H150" s="51"/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209</v>
      </c>
      <c r="C151" s="50">
        <v>11</v>
      </c>
      <c r="D151" s="60">
        <v>8</v>
      </c>
      <c r="E151" s="51">
        <v>1</v>
      </c>
      <c r="F151" s="51"/>
      <c r="G151" s="51"/>
      <c r="H151" s="51"/>
      <c r="I151" s="57">
        <f t="shared" si="5"/>
        <v>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214</v>
      </c>
      <c r="C152" s="50">
        <v>12</v>
      </c>
      <c r="D152" s="60">
        <v>7</v>
      </c>
      <c r="E152" s="54">
        <v>1</v>
      </c>
      <c r="F152" s="54"/>
      <c r="G152" s="54"/>
      <c r="H152" s="54"/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219</v>
      </c>
      <c r="C153" s="50">
        <v>13</v>
      </c>
      <c r="D153" s="60">
        <v>6</v>
      </c>
      <c r="E153" s="54">
        <v>1</v>
      </c>
      <c r="F153" s="54"/>
      <c r="G153" s="54"/>
      <c r="H153" s="54"/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Cèdre de l'Atlas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32</v>
      </c>
      <c r="C166" s="60"/>
      <c r="D166" s="60">
        <v>0</v>
      </c>
      <c r="E166" s="51"/>
      <c r="F166" s="51"/>
      <c r="G166" s="51"/>
      <c r="H166" s="51"/>
      <c r="I166" s="49">
        <f>IFERROR(B166/A166,"")</f>
        <v>2.1333333333333333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103</v>
      </c>
      <c r="C167" s="60"/>
      <c r="D167" s="60">
        <v>0</v>
      </c>
      <c r="E167" s="51"/>
      <c r="F167" s="51"/>
      <c r="G167" s="51"/>
      <c r="H167" s="51"/>
      <c r="I167" s="49">
        <f t="shared" ref="I167:I185" si="6">IF(A167&lt;&gt;0,(B167-(B166-D166))/(A167-A166),"")</f>
        <v>14.2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201</v>
      </c>
      <c r="C168" s="60">
        <v>1</v>
      </c>
      <c r="D168" s="60">
        <v>42</v>
      </c>
      <c r="E168" s="51"/>
      <c r="F168" s="51"/>
      <c r="G168" s="51">
        <v>1</v>
      </c>
      <c r="H168" s="51"/>
      <c r="I168" s="49">
        <f t="shared" si="6"/>
        <v>19.600000000000001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272</v>
      </c>
      <c r="C169" s="60">
        <v>2</v>
      </c>
      <c r="D169" s="60">
        <v>56</v>
      </c>
      <c r="E169" s="51"/>
      <c r="F169" s="51">
        <v>1</v>
      </c>
      <c r="G169" s="51"/>
      <c r="H169" s="51"/>
      <c r="I169" s="49">
        <f t="shared" si="6"/>
        <v>22.6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333</v>
      </c>
      <c r="C170" s="60">
        <v>3</v>
      </c>
      <c r="D170" s="60">
        <v>56</v>
      </c>
      <c r="E170" s="51"/>
      <c r="F170" s="51">
        <v>1</v>
      </c>
      <c r="G170" s="51"/>
      <c r="H170" s="51"/>
      <c r="I170" s="49">
        <f t="shared" si="6"/>
        <v>23.4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394</v>
      </c>
      <c r="C171" s="60">
        <v>4</v>
      </c>
      <c r="D171" s="60">
        <v>56</v>
      </c>
      <c r="E171" s="51">
        <v>1</v>
      </c>
      <c r="F171" s="51"/>
      <c r="G171" s="51"/>
      <c r="H171" s="51"/>
      <c r="I171" s="49">
        <f t="shared" si="6"/>
        <v>23.4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450</v>
      </c>
      <c r="C172" s="60">
        <v>5</v>
      </c>
      <c r="D172" s="60">
        <v>56</v>
      </c>
      <c r="E172" s="51">
        <v>1</v>
      </c>
      <c r="F172" s="51"/>
      <c r="G172" s="51"/>
      <c r="H172" s="51"/>
      <c r="I172" s="49">
        <f t="shared" si="6"/>
        <v>22.4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499</v>
      </c>
      <c r="C173" s="50">
        <v>6</v>
      </c>
      <c r="D173" s="50">
        <v>56</v>
      </c>
      <c r="E173" s="51">
        <v>1</v>
      </c>
      <c r="F173" s="51"/>
      <c r="G173" s="51"/>
      <c r="H173" s="51"/>
      <c r="I173" s="49">
        <f t="shared" si="6"/>
        <v>21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542</v>
      </c>
      <c r="C174" s="50">
        <v>7</v>
      </c>
      <c r="D174" s="50">
        <v>56</v>
      </c>
      <c r="E174" s="51">
        <v>1</v>
      </c>
      <c r="F174" s="51"/>
      <c r="G174" s="51"/>
      <c r="H174" s="51"/>
      <c r="I174" s="49">
        <f t="shared" si="6"/>
        <v>19.8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577</v>
      </c>
      <c r="C175" s="50">
        <v>8</v>
      </c>
      <c r="D175" s="50">
        <v>50</v>
      </c>
      <c r="E175" s="51">
        <v>1</v>
      </c>
      <c r="F175" s="51"/>
      <c r="G175" s="51"/>
      <c r="H175" s="51"/>
      <c r="I175" s="49">
        <f t="shared" si="6"/>
        <v>18.2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611</v>
      </c>
      <c r="C176" s="50">
        <v>9</v>
      </c>
      <c r="D176" s="50">
        <v>44</v>
      </c>
      <c r="E176" s="51">
        <v>1</v>
      </c>
      <c r="F176" s="51"/>
      <c r="G176" s="51"/>
      <c r="H176" s="51"/>
      <c r="I176" s="49">
        <f t="shared" si="6"/>
        <v>16.8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647</v>
      </c>
      <c r="C177" s="50">
        <v>10</v>
      </c>
      <c r="D177" s="50">
        <v>41</v>
      </c>
      <c r="E177" s="51">
        <v>1</v>
      </c>
      <c r="F177" s="51"/>
      <c r="G177" s="51"/>
      <c r="H177" s="51"/>
      <c r="I177" s="49">
        <f t="shared" si="6"/>
        <v>16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681</v>
      </c>
      <c r="C178" s="50">
        <v>11</v>
      </c>
      <c r="D178" s="50">
        <v>39</v>
      </c>
      <c r="E178" s="51">
        <v>1</v>
      </c>
      <c r="F178" s="51"/>
      <c r="G178" s="51"/>
      <c r="H178" s="51"/>
      <c r="I178" s="49">
        <f t="shared" si="6"/>
        <v>15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708</v>
      </c>
      <c r="C179" s="50">
        <v>12</v>
      </c>
      <c r="D179" s="50">
        <v>37</v>
      </c>
      <c r="E179" s="51">
        <v>1</v>
      </c>
      <c r="F179" s="51"/>
      <c r="G179" s="51"/>
      <c r="H179" s="51"/>
      <c r="I179" s="49">
        <f t="shared" si="6"/>
        <v>13.2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laricio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57</v>
      </c>
      <c r="C192" s="60"/>
      <c r="D192" s="60">
        <v>0</v>
      </c>
      <c r="E192" s="51"/>
      <c r="F192" s="51"/>
      <c r="G192" s="51"/>
      <c r="H192" s="51"/>
      <c r="I192" s="49">
        <f>IFERROR(B192/A192,"")</f>
        <v>3.8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122</v>
      </c>
      <c r="C193" s="60">
        <v>1</v>
      </c>
      <c r="D193" s="60">
        <v>23</v>
      </c>
      <c r="E193" s="51"/>
      <c r="F193" s="51"/>
      <c r="G193" s="51">
        <v>1</v>
      </c>
      <c r="H193" s="51"/>
      <c r="I193" s="49">
        <f t="shared" ref="I193:I211" si="7">IF(A193&lt;&gt;0,(B193-(B192-D192))/(A193-A192),"")</f>
        <v>13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176</v>
      </c>
      <c r="C194" s="60">
        <v>2</v>
      </c>
      <c r="D194" s="60">
        <v>42</v>
      </c>
      <c r="E194" s="51"/>
      <c r="F194" s="51">
        <v>1</v>
      </c>
      <c r="G194" s="51"/>
      <c r="H194" s="51"/>
      <c r="I194" s="49">
        <f t="shared" si="7"/>
        <v>15.4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215</v>
      </c>
      <c r="C195" s="60">
        <v>3</v>
      </c>
      <c r="D195" s="60">
        <v>42</v>
      </c>
      <c r="E195" s="51"/>
      <c r="F195" s="51">
        <v>1</v>
      </c>
      <c r="G195" s="51"/>
      <c r="H195" s="51"/>
      <c r="I195" s="49">
        <f t="shared" si="7"/>
        <v>16.2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255</v>
      </c>
      <c r="C196" s="60">
        <v>4</v>
      </c>
      <c r="D196" s="60">
        <v>42</v>
      </c>
      <c r="E196" s="51">
        <v>1</v>
      </c>
      <c r="F196" s="51"/>
      <c r="G196" s="51"/>
      <c r="H196" s="51"/>
      <c r="I196" s="49">
        <f t="shared" si="7"/>
        <v>16.399999999999999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294</v>
      </c>
      <c r="C197" s="60">
        <v>5</v>
      </c>
      <c r="D197" s="60">
        <v>42</v>
      </c>
      <c r="E197" s="51">
        <v>1</v>
      </c>
      <c r="F197" s="51"/>
      <c r="G197" s="51"/>
      <c r="H197" s="51"/>
      <c r="I197" s="49">
        <f t="shared" si="7"/>
        <v>16.2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329</v>
      </c>
      <c r="C198" s="60">
        <v>6</v>
      </c>
      <c r="D198" s="60">
        <v>42</v>
      </c>
      <c r="E198" s="51">
        <v>1</v>
      </c>
      <c r="F198" s="51"/>
      <c r="G198" s="51"/>
      <c r="H198" s="51"/>
      <c r="I198" s="49">
        <f t="shared" si="7"/>
        <v>15.4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359</v>
      </c>
      <c r="C199" s="50">
        <v>7</v>
      </c>
      <c r="D199" s="50">
        <v>40</v>
      </c>
      <c r="E199" s="51">
        <v>1</v>
      </c>
      <c r="F199" s="51"/>
      <c r="G199" s="51"/>
      <c r="H199" s="51"/>
      <c r="I199" s="49">
        <f t="shared" si="7"/>
        <v>14.4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385</v>
      </c>
      <c r="C200" s="50">
        <v>8</v>
      </c>
      <c r="D200" s="50">
        <v>34</v>
      </c>
      <c r="E200" s="51">
        <v>1</v>
      </c>
      <c r="F200" s="51"/>
      <c r="G200" s="51"/>
      <c r="H200" s="51"/>
      <c r="I200" s="49">
        <f t="shared" si="7"/>
        <v>13.2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413</v>
      </c>
      <c r="C201" s="50">
        <v>9</v>
      </c>
      <c r="D201" s="50">
        <v>30</v>
      </c>
      <c r="E201" s="51">
        <v>1</v>
      </c>
      <c r="F201" s="51"/>
      <c r="G201" s="51"/>
      <c r="H201" s="51"/>
      <c r="I201" s="49">
        <f t="shared" si="7"/>
        <v>12.4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440</v>
      </c>
      <c r="C202" s="50">
        <v>10</v>
      </c>
      <c r="D202" s="50">
        <v>26</v>
      </c>
      <c r="E202" s="51">
        <v>1</v>
      </c>
      <c r="F202" s="51"/>
      <c r="G202" s="51"/>
      <c r="H202" s="51"/>
      <c r="I202" s="49">
        <f t="shared" si="7"/>
        <v>11.4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464</v>
      </c>
      <c r="C203" s="50">
        <v>11</v>
      </c>
      <c r="D203" s="50">
        <v>24</v>
      </c>
      <c r="E203" s="51">
        <v>1</v>
      </c>
      <c r="F203" s="51"/>
      <c r="G203" s="51"/>
      <c r="H203" s="51"/>
      <c r="I203" s="49">
        <f t="shared" si="7"/>
        <v>10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483</v>
      </c>
      <c r="C204" s="50">
        <v>12</v>
      </c>
      <c r="D204" s="50">
        <v>22</v>
      </c>
      <c r="E204" s="51">
        <v>1</v>
      </c>
      <c r="F204" s="51"/>
      <c r="G204" s="51"/>
      <c r="H204" s="51"/>
      <c r="I204" s="49">
        <f t="shared" si="7"/>
        <v>8.6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500</v>
      </c>
      <c r="C205" s="50">
        <v>13</v>
      </c>
      <c r="D205" s="50">
        <v>22</v>
      </c>
      <c r="E205" s="51">
        <v>1</v>
      </c>
      <c r="F205" s="51"/>
      <c r="G205" s="51"/>
      <c r="H205" s="51"/>
      <c r="I205" s="49">
        <f t="shared" si="7"/>
        <v>7.8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Séquoia géant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15</v>
      </c>
      <c r="B218" s="60">
        <v>40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2.6666666666666665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147</v>
      </c>
      <c r="C219" s="50">
        <v>1</v>
      </c>
      <c r="D219" s="60">
        <v>45</v>
      </c>
      <c r="E219" s="63"/>
      <c r="F219" s="63"/>
      <c r="G219" s="63">
        <v>1</v>
      </c>
      <c r="H219" s="63"/>
      <c r="I219" s="53">
        <f t="shared" ref="I219:I237" si="8">IF(A219&lt;&gt;0,(B219-(B218-D218))/(A219-A218),"")</f>
        <v>21.4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25</v>
      </c>
      <c r="B220" s="60">
        <v>242</v>
      </c>
      <c r="C220" s="50">
        <v>2</v>
      </c>
      <c r="D220" s="60">
        <v>70</v>
      </c>
      <c r="E220" s="63"/>
      <c r="F220" s="63">
        <v>1</v>
      </c>
      <c r="G220" s="63"/>
      <c r="H220" s="63"/>
      <c r="I220" s="53">
        <f t="shared" si="8"/>
        <v>28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30</v>
      </c>
      <c r="B221" s="55">
        <v>328</v>
      </c>
      <c r="C221" s="55">
        <v>3</v>
      </c>
      <c r="D221" s="55">
        <v>70</v>
      </c>
      <c r="E221" s="63"/>
      <c r="F221" s="63">
        <v>1</v>
      </c>
      <c r="G221" s="63"/>
      <c r="H221" s="63"/>
      <c r="I221" s="53">
        <f t="shared" si="8"/>
        <v>31.2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35</v>
      </c>
      <c r="B222" s="55">
        <v>415</v>
      </c>
      <c r="C222" s="55">
        <v>4</v>
      </c>
      <c r="D222" s="55">
        <v>70</v>
      </c>
      <c r="E222" s="63">
        <v>1</v>
      </c>
      <c r="F222" s="63"/>
      <c r="G222" s="63"/>
      <c r="H222" s="63"/>
      <c r="I222" s="53">
        <f t="shared" si="8"/>
        <v>31.4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40</v>
      </c>
      <c r="B223" s="55">
        <v>491</v>
      </c>
      <c r="C223" s="55">
        <v>5</v>
      </c>
      <c r="D223" s="55">
        <v>70</v>
      </c>
      <c r="E223" s="63">
        <v>1</v>
      </c>
      <c r="F223" s="63"/>
      <c r="G223" s="63"/>
      <c r="H223" s="63"/>
      <c r="I223" s="53">
        <f t="shared" si="8"/>
        <v>29.2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45</v>
      </c>
      <c r="B224" s="55">
        <v>552</v>
      </c>
      <c r="C224" s="55">
        <v>6</v>
      </c>
      <c r="D224" s="55">
        <v>60</v>
      </c>
      <c r="E224" s="63">
        <v>1</v>
      </c>
      <c r="F224" s="63"/>
      <c r="G224" s="63"/>
      <c r="H224" s="63"/>
      <c r="I224" s="53">
        <f t="shared" si="8"/>
        <v>26.2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50</v>
      </c>
      <c r="B225" s="55">
        <v>610</v>
      </c>
      <c r="C225" s="55">
        <v>7</v>
      </c>
      <c r="D225" s="55">
        <v>51</v>
      </c>
      <c r="E225" s="63">
        <v>1</v>
      </c>
      <c r="F225" s="63"/>
      <c r="G225" s="63"/>
      <c r="H225" s="63"/>
      <c r="I225" s="53">
        <f t="shared" si="8"/>
        <v>23.6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55</v>
      </c>
      <c r="B226" s="55">
        <v>664</v>
      </c>
      <c r="C226" s="55">
        <v>8</v>
      </c>
      <c r="D226" s="55">
        <v>44</v>
      </c>
      <c r="E226" s="63">
        <v>1</v>
      </c>
      <c r="F226" s="63"/>
      <c r="G226" s="63"/>
      <c r="H226" s="63"/>
      <c r="I226" s="53">
        <f t="shared" si="8"/>
        <v>21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60</v>
      </c>
      <c r="B227" s="55">
        <v>711</v>
      </c>
      <c r="C227" s="55">
        <v>9</v>
      </c>
      <c r="D227" s="55">
        <v>39</v>
      </c>
      <c r="E227" s="63">
        <v>1</v>
      </c>
      <c r="F227" s="63"/>
      <c r="G227" s="63"/>
      <c r="H227" s="63"/>
      <c r="I227" s="53">
        <f t="shared" si="8"/>
        <v>18.2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65</v>
      </c>
      <c r="B228" s="55">
        <v>748</v>
      </c>
      <c r="C228" s="55">
        <v>10</v>
      </c>
      <c r="D228" s="55">
        <v>34</v>
      </c>
      <c r="E228" s="63">
        <v>1</v>
      </c>
      <c r="F228" s="63"/>
      <c r="G228" s="63"/>
      <c r="H228" s="63"/>
      <c r="I228" s="53">
        <f t="shared" si="8"/>
        <v>15.2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70</v>
      </c>
      <c r="B229" s="55">
        <v>775</v>
      </c>
      <c r="C229" s="55">
        <v>11</v>
      </c>
      <c r="D229" s="55">
        <v>29</v>
      </c>
      <c r="E229" s="63">
        <v>1</v>
      </c>
      <c r="F229" s="63"/>
      <c r="G229" s="63"/>
      <c r="H229" s="63"/>
      <c r="I229" s="53">
        <f t="shared" si="8"/>
        <v>12.2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75</v>
      </c>
      <c r="B230" s="55">
        <v>798</v>
      </c>
      <c r="C230" s="55">
        <v>12</v>
      </c>
      <c r="D230" s="55">
        <v>25</v>
      </c>
      <c r="E230" s="64">
        <v>1</v>
      </c>
      <c r="F230" s="64"/>
      <c r="G230" s="64"/>
      <c r="H230" s="64"/>
      <c r="I230" s="53">
        <f t="shared" si="8"/>
        <v>10.4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80</v>
      </c>
      <c r="B231" s="60">
        <v>810</v>
      </c>
      <c r="C231" s="86">
        <v>13</v>
      </c>
      <c r="D231" s="60">
        <v>21</v>
      </c>
      <c r="E231" s="54">
        <v>1</v>
      </c>
      <c r="F231" s="54"/>
      <c r="G231" s="54"/>
      <c r="H231" s="54"/>
      <c r="I231" s="53">
        <f t="shared" si="8"/>
        <v>7.4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Sapin méditerranéen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60">
        <v>96</v>
      </c>
      <c r="C244" s="60"/>
      <c r="D244" s="60">
        <v>0</v>
      </c>
      <c r="E244" s="51"/>
      <c r="F244" s="51"/>
      <c r="G244" s="51"/>
      <c r="H244" s="63"/>
      <c r="I244" s="53">
        <f>IFERROR(B244/A244,"")</f>
        <v>4.8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25</v>
      </c>
      <c r="B245" s="60">
        <v>205</v>
      </c>
      <c r="C245" s="60">
        <v>1</v>
      </c>
      <c r="D245" s="60">
        <v>40</v>
      </c>
      <c r="E245" s="63"/>
      <c r="F245" s="63"/>
      <c r="G245" s="63">
        <v>1</v>
      </c>
      <c r="H245" s="63"/>
      <c r="I245" s="53">
        <f>IF(A245&lt;&gt;0,(B245-(B244-D244))/(A245-A244),"")</f>
        <v>21.8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30</v>
      </c>
      <c r="B246" s="60">
        <v>278</v>
      </c>
      <c r="C246" s="60">
        <v>2</v>
      </c>
      <c r="D246" s="60">
        <v>56</v>
      </c>
      <c r="E246" s="63"/>
      <c r="F246" s="63">
        <v>1</v>
      </c>
      <c r="G246" s="63"/>
      <c r="H246" s="63"/>
      <c r="I246" s="53">
        <f>IF(A246&lt;&gt;0,(B246-(B245-D245))/(A246-A245),"")</f>
        <v>22.6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35</v>
      </c>
      <c r="B247" s="60">
        <v>336</v>
      </c>
      <c r="C247" s="60">
        <v>3</v>
      </c>
      <c r="D247" s="60">
        <v>56</v>
      </c>
      <c r="E247" s="63">
        <v>1</v>
      </c>
      <c r="F247" s="63"/>
      <c r="G247" s="63"/>
      <c r="H247" s="63"/>
      <c r="I247" s="53">
        <f t="shared" ref="I247:I263" si="9">IF(A247&lt;&gt;0,(B247-(B246-D246))/(A247-A246),"")</f>
        <v>22.8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40</v>
      </c>
      <c r="B248" s="60">
        <v>392</v>
      </c>
      <c r="C248" s="60">
        <v>4</v>
      </c>
      <c r="D248" s="60">
        <v>56</v>
      </c>
      <c r="E248" s="63">
        <v>1</v>
      </c>
      <c r="F248" s="63"/>
      <c r="G248" s="63"/>
      <c r="H248" s="63"/>
      <c r="I248" s="53">
        <f t="shared" si="9"/>
        <v>22.4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45</v>
      </c>
      <c r="B249" s="60">
        <v>446</v>
      </c>
      <c r="C249" s="60">
        <v>5</v>
      </c>
      <c r="D249" s="60">
        <v>56</v>
      </c>
      <c r="E249" s="63">
        <v>1</v>
      </c>
      <c r="F249" s="63"/>
      <c r="G249" s="63"/>
      <c r="H249" s="63"/>
      <c r="I249" s="53">
        <f t="shared" si="9"/>
        <v>22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50</v>
      </c>
      <c r="B250" s="60">
        <v>494</v>
      </c>
      <c r="C250" s="60">
        <v>6</v>
      </c>
      <c r="D250" s="60">
        <v>56</v>
      </c>
      <c r="E250" s="63">
        <v>1</v>
      </c>
      <c r="F250" s="63"/>
      <c r="G250" s="63"/>
      <c r="H250" s="63"/>
      <c r="I250" s="53">
        <f t="shared" si="9"/>
        <v>20.8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55</v>
      </c>
      <c r="B251" s="55">
        <v>537</v>
      </c>
      <c r="C251" s="55">
        <v>7</v>
      </c>
      <c r="D251" s="55">
        <v>56</v>
      </c>
      <c r="E251" s="63">
        <v>1</v>
      </c>
      <c r="F251" s="63"/>
      <c r="G251" s="63"/>
      <c r="H251" s="63"/>
      <c r="I251" s="53">
        <f t="shared" si="9"/>
        <v>19.8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60</v>
      </c>
      <c r="B252" s="55">
        <v>574</v>
      </c>
      <c r="C252" s="55">
        <v>8</v>
      </c>
      <c r="D252" s="55">
        <v>50</v>
      </c>
      <c r="E252" s="63">
        <v>1</v>
      </c>
      <c r="F252" s="63"/>
      <c r="G252" s="63"/>
      <c r="H252" s="63"/>
      <c r="I252" s="53">
        <f t="shared" si="9"/>
        <v>18.600000000000001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65</v>
      </c>
      <c r="B253" s="55">
        <v>612</v>
      </c>
      <c r="C253" s="55">
        <v>9</v>
      </c>
      <c r="D253" s="55">
        <v>45</v>
      </c>
      <c r="E253" s="63">
        <v>1</v>
      </c>
      <c r="F253" s="63"/>
      <c r="G253" s="63"/>
      <c r="H253" s="63"/>
      <c r="I253" s="53">
        <f t="shared" si="9"/>
        <v>17.600000000000001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70</v>
      </c>
      <c r="B254" s="55">
        <v>649</v>
      </c>
      <c r="C254" s="55">
        <v>10</v>
      </c>
      <c r="D254" s="55">
        <v>43</v>
      </c>
      <c r="E254" s="63">
        <v>1</v>
      </c>
      <c r="F254" s="63"/>
      <c r="G254" s="63"/>
      <c r="H254" s="63"/>
      <c r="I254" s="53">
        <f t="shared" si="9"/>
        <v>16.399999999999999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75</v>
      </c>
      <c r="B255" s="55">
        <v>681</v>
      </c>
      <c r="C255" s="55">
        <v>11</v>
      </c>
      <c r="D255" s="55">
        <v>42</v>
      </c>
      <c r="E255" s="63">
        <v>1</v>
      </c>
      <c r="F255" s="63"/>
      <c r="G255" s="63"/>
      <c r="H255" s="63"/>
      <c r="I255" s="53">
        <f t="shared" si="9"/>
        <v>15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80</v>
      </c>
      <c r="B256" s="55">
        <v>711</v>
      </c>
      <c r="C256" s="55">
        <v>12</v>
      </c>
      <c r="D256" s="55">
        <v>41</v>
      </c>
      <c r="E256" s="64">
        <v>1</v>
      </c>
      <c r="F256" s="64"/>
      <c r="G256" s="64"/>
      <c r="H256" s="64"/>
      <c r="I256" s="53">
        <f t="shared" si="9"/>
        <v>14.4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Chêne pubescent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20</v>
      </c>
      <c r="B270" s="60">
        <v>42</v>
      </c>
      <c r="C270" s="50"/>
      <c r="D270" s="60">
        <v>0</v>
      </c>
      <c r="E270" s="51"/>
      <c r="F270" s="51"/>
      <c r="G270" s="51"/>
      <c r="H270" s="51"/>
      <c r="I270" s="53">
        <f>IFERROR(B270/A270,"")</f>
        <v>2.1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25</v>
      </c>
      <c r="B271" s="60">
        <v>70</v>
      </c>
      <c r="C271" s="50">
        <v>1</v>
      </c>
      <c r="D271" s="60">
        <v>8</v>
      </c>
      <c r="E271" s="51"/>
      <c r="F271" s="51"/>
      <c r="G271" s="51"/>
      <c r="H271" s="51">
        <v>1</v>
      </c>
      <c r="I271" s="53">
        <f>IF(A271&lt;&gt;0,(B271-(B270-D270))/(A271-A270),"")</f>
        <v>5.6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30</v>
      </c>
      <c r="B272" s="60">
        <v>97</v>
      </c>
      <c r="C272" s="50">
        <v>2</v>
      </c>
      <c r="D272" s="60">
        <v>21</v>
      </c>
      <c r="E272" s="51"/>
      <c r="F272" s="51"/>
      <c r="G272" s="51"/>
      <c r="H272" s="51">
        <v>1</v>
      </c>
      <c r="I272" s="53">
        <f t="shared" ref="I272:I289" si="10">IF(A272&lt;&gt;0,(B272-(B271-D271))/(A272-A271),"")</f>
        <v>7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35</v>
      </c>
      <c r="B273" s="60">
        <v>116</v>
      </c>
      <c r="C273" s="50">
        <v>3</v>
      </c>
      <c r="D273" s="60">
        <v>21</v>
      </c>
      <c r="E273" s="51">
        <v>1</v>
      </c>
      <c r="F273" s="51"/>
      <c r="G273" s="51"/>
      <c r="H273" s="51"/>
      <c r="I273" s="53">
        <f t="shared" si="10"/>
        <v>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40</v>
      </c>
      <c r="B274" s="60">
        <v>137</v>
      </c>
      <c r="C274" s="50">
        <v>4</v>
      </c>
      <c r="D274" s="60">
        <v>21</v>
      </c>
      <c r="E274" s="51">
        <v>1</v>
      </c>
      <c r="F274" s="51"/>
      <c r="G274" s="51"/>
      <c r="H274" s="51"/>
      <c r="I274" s="53">
        <f t="shared" si="10"/>
        <v>8.4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45</v>
      </c>
      <c r="B275" s="60">
        <v>158</v>
      </c>
      <c r="C275" s="50">
        <v>5</v>
      </c>
      <c r="D275" s="60">
        <v>21</v>
      </c>
      <c r="E275" s="63">
        <v>1</v>
      </c>
      <c r="F275" s="63"/>
      <c r="G275" s="63"/>
      <c r="H275" s="63"/>
      <c r="I275" s="53">
        <f t="shared" si="10"/>
        <v>8.4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50</v>
      </c>
      <c r="B276" s="60">
        <v>178</v>
      </c>
      <c r="C276" s="50">
        <v>6</v>
      </c>
      <c r="D276" s="60">
        <v>21</v>
      </c>
      <c r="E276" s="63">
        <v>1</v>
      </c>
      <c r="F276" s="63"/>
      <c r="G276" s="63"/>
      <c r="H276" s="63"/>
      <c r="I276" s="53">
        <f t="shared" si="10"/>
        <v>8.1999999999999993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55</v>
      </c>
      <c r="B277" s="55">
        <v>197</v>
      </c>
      <c r="C277" s="55">
        <v>7</v>
      </c>
      <c r="D277" s="55">
        <v>21</v>
      </c>
      <c r="E277" s="63">
        <v>1</v>
      </c>
      <c r="F277" s="63"/>
      <c r="G277" s="63"/>
      <c r="H277" s="63"/>
      <c r="I277" s="53">
        <f t="shared" si="10"/>
        <v>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60</v>
      </c>
      <c r="B278" s="55">
        <v>214</v>
      </c>
      <c r="C278" s="55">
        <v>8</v>
      </c>
      <c r="D278" s="55">
        <v>21</v>
      </c>
      <c r="E278" s="63">
        <v>1</v>
      </c>
      <c r="F278" s="63"/>
      <c r="G278" s="63"/>
      <c r="H278" s="63"/>
      <c r="I278" s="53">
        <f t="shared" si="10"/>
        <v>7.6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65</v>
      </c>
      <c r="B279" s="55">
        <v>229</v>
      </c>
      <c r="C279" s="55">
        <v>9</v>
      </c>
      <c r="D279" s="55">
        <v>21</v>
      </c>
      <c r="E279" s="63">
        <v>1</v>
      </c>
      <c r="F279" s="63"/>
      <c r="G279" s="63"/>
      <c r="H279" s="63"/>
      <c r="I279" s="53">
        <f t="shared" si="10"/>
        <v>7.2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70</v>
      </c>
      <c r="B280" s="55">
        <v>242</v>
      </c>
      <c r="C280" s="55">
        <v>10</v>
      </c>
      <c r="D280" s="55">
        <v>21</v>
      </c>
      <c r="E280" s="63">
        <v>1</v>
      </c>
      <c r="F280" s="63"/>
      <c r="G280" s="63"/>
      <c r="H280" s="63"/>
      <c r="I280" s="53">
        <f t="shared" si="10"/>
        <v>6.8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75</v>
      </c>
      <c r="B281" s="55">
        <v>252</v>
      </c>
      <c r="C281" s="55">
        <v>11</v>
      </c>
      <c r="D281" s="55">
        <v>21</v>
      </c>
      <c r="E281" s="63">
        <v>1</v>
      </c>
      <c r="F281" s="63"/>
      <c r="G281" s="63"/>
      <c r="H281" s="63"/>
      <c r="I281" s="53">
        <f t="shared" si="10"/>
        <v>6.2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80</v>
      </c>
      <c r="B282" s="55">
        <v>261</v>
      </c>
      <c r="C282" s="55">
        <v>12</v>
      </c>
      <c r="D282" s="55">
        <v>21</v>
      </c>
      <c r="E282" s="64">
        <v>1</v>
      </c>
      <c r="F282" s="64"/>
      <c r="G282" s="64"/>
      <c r="H282" s="64"/>
      <c r="I282" s="53">
        <f t="shared" si="10"/>
        <v>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85</v>
      </c>
      <c r="B283" s="60">
        <v>269</v>
      </c>
      <c r="C283" s="86">
        <v>13</v>
      </c>
      <c r="D283" s="60">
        <v>21</v>
      </c>
      <c r="E283" s="54">
        <v>1</v>
      </c>
      <c r="F283" s="54"/>
      <c r="G283" s="54"/>
      <c r="H283" s="54"/>
      <c r="I283" s="53">
        <f t="shared" si="10"/>
        <v>5.8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>
        <v>90</v>
      </c>
      <c r="B284" s="50">
        <v>275</v>
      </c>
      <c r="C284" s="50">
        <v>14</v>
      </c>
      <c r="D284" s="50">
        <v>21</v>
      </c>
      <c r="E284" s="51">
        <v>1</v>
      </c>
      <c r="F284" s="51"/>
      <c r="G284" s="51"/>
      <c r="H284" s="51"/>
      <c r="I284" s="53">
        <f t="shared" si="10"/>
        <v>5.4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>
        <v>95</v>
      </c>
      <c r="B285" s="50">
        <v>279</v>
      </c>
      <c r="C285" s="50">
        <v>15</v>
      </c>
      <c r="D285" s="50">
        <v>21</v>
      </c>
      <c r="E285" s="51">
        <v>1</v>
      </c>
      <c r="F285" s="51"/>
      <c r="G285" s="51"/>
      <c r="H285" s="51"/>
      <c r="I285" s="53">
        <f t="shared" si="10"/>
        <v>5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>
        <v>100</v>
      </c>
      <c r="B286" s="50">
        <v>282</v>
      </c>
      <c r="C286" s="50">
        <v>16</v>
      </c>
      <c r="D286" s="50">
        <v>21</v>
      </c>
      <c r="E286" s="51">
        <v>1</v>
      </c>
      <c r="F286" s="51"/>
      <c r="G286" s="51"/>
      <c r="H286" s="51"/>
      <c r="I286" s="53">
        <f t="shared" si="10"/>
        <v>4.8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>
        <v>105</v>
      </c>
      <c r="B287" s="50">
        <v>284</v>
      </c>
      <c r="C287" s="50">
        <v>17</v>
      </c>
      <c r="D287" s="50">
        <v>20</v>
      </c>
      <c r="E287" s="51">
        <v>1</v>
      </c>
      <c r="F287" s="51"/>
      <c r="G287" s="51"/>
      <c r="H287" s="51"/>
      <c r="I287" s="53">
        <f t="shared" si="10"/>
        <v>4.5999999999999996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>
        <v>110</v>
      </c>
      <c r="B288" s="50">
        <v>285</v>
      </c>
      <c r="C288" s="50">
        <v>18</v>
      </c>
      <c r="D288" s="50">
        <v>19</v>
      </c>
      <c r="E288" s="51">
        <v>1</v>
      </c>
      <c r="F288" s="51"/>
      <c r="G288" s="51"/>
      <c r="H288" s="51"/>
      <c r="I288" s="53">
        <f t="shared" si="10"/>
        <v>4.2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>
        <v>115</v>
      </c>
      <c r="B289" s="50">
        <v>285</v>
      </c>
      <c r="C289" s="50">
        <v>19</v>
      </c>
      <c r="D289" s="50">
        <v>18</v>
      </c>
      <c r="E289" s="51">
        <v>1</v>
      </c>
      <c r="F289" s="51"/>
      <c r="G289" s="51"/>
      <c r="H289" s="51"/>
      <c r="I289" s="53">
        <f t="shared" si="10"/>
        <v>3.8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F17" sqref="F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sessile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sessile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Erable plane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Erable plane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Cormier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Cèdre de l'Atlas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>Pin laricio</v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>Séquoia géant</v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>Sapin méditerranéen</v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>Chêne pubescent</v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344.49457749226184</v>
      </c>
      <c r="T3" s="59">
        <f>IF('Données projet'!E9&gt;30,$R$33-$H$33,LOOKUP('Données projet'!$E$9,$A$3:$A$203,R3:R203)-LOOKUP('Données projet'!$E$9,$A$3:$A$203,$H$3:$H$203))</f>
        <v>207.92972431357452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183.0147113277086</v>
      </c>
      <c r="AO3" s="59">
        <f>IF('Données projet'!E10&gt;30,$AM$33-$H$33,LOOKUP('Données projet'!$E$10,$A$3:$A$203,AM3:AM203)-LOOKUP('Données projet'!$E$10,$A$3:$A$203,$H$3:$H$203))</f>
        <v>76.413905647258389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279.49721661620544</v>
      </c>
      <c r="BJ3" s="59">
        <f>IF('Données projet'!E11&gt;30,$BH$33-$H$33,LOOKUP('Données projet'!$E$11,$A$3:$A$203,BH3:BH203)-LOOKUP('Données projet'!$E$11,$A$3:$A$203,$H$3:$H$203))</f>
        <v>275.18739333988754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225.2323446080772</v>
      </c>
      <c r="CE3" s="59">
        <f>IF('Données projet'!E12&gt;30,$CC$33-$H$33,LOOKUP('Données projet'!$E$12,$A$3:$A$203,CC3:CC203)-LOOKUP('Données projet'!$E$12,$A$3:$A$203,$H$3:$H$203))</f>
        <v>222.29030402759292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240.57184010337932</v>
      </c>
      <c r="CZ3" s="59">
        <f>IF('Données projet'!E13&gt;30,$CX$33-$H$33,LOOKUP('Données projet'!$E$13,$A$3:$A$203,CX3:CX203)-LOOKUP('Données projet'!$E$13,$A$3:$A$203,$H$3:$H$203))</f>
        <v>236.36473521227072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304.29617570272939</v>
      </c>
      <c r="DU3" s="59">
        <f>IF('Données projet'!E14&gt;30,$DS$33-$H$33,LOOKUP('Données projet'!$E$14,$A$3:$A$203,DS3:DS203)-LOOKUP('Données projet'!$E$14,$A$3:$A$203,$H$3:$H$203))</f>
        <v>246.20695736161576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288.41846134875794</v>
      </c>
      <c r="EP3" s="59">
        <f>IF('Données projet'!E15&gt;30,$EN$33-$H$33,LOOKUP('Données projet'!$E$15,$A$3:$A$203,EN3:EN203)-LOOKUP('Données projet'!$E$15,$A$3:$A$203,$H$3:$H$203))</f>
        <v>248.93951719818972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367.36535411813264</v>
      </c>
      <c r="FK3" s="59">
        <f>IF('Données projet'!E16&gt;30,$FI$33-$H$33,LOOKUP('Données projet'!$E$16,$A$3:$A$203,FI3:FI203)-LOOKUP('Données projet'!$E$16,$A$3:$A$203,$H$3:$H$203))</f>
        <v>293.19545174980556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312.64506496298173</v>
      </c>
      <c r="GF3" s="59">
        <f>IF('Données projet'!E17&gt;30,$GD$33-$H$33,LOOKUP('Données projet'!$E$17,$A$3:$A$203,GD3:GD203)-LOOKUP('Données projet'!$E$17,$A$3:$A$203,$H$3:$H$203))</f>
        <v>259.97532509897508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308.80022073574963</v>
      </c>
      <c r="HA3" s="59">
        <f>IF('Données projet'!E18&gt;30,$GY$33-$H$33,LOOKUP('Données projet'!$E$18,$A$3:$A$203,GY3:GY203)-LOOKUP('Données projet'!$E$18,$A$3:$A$203,$H$3:$H$203))</f>
        <v>183.96267407004115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344.49457749226184</v>
      </c>
      <c r="T4" s="59">
        <f>$T$3</f>
        <v>207.92972431357452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1.2</v>
      </c>
      <c r="AI4" s="13">
        <f>IF('Données projet'!$A$62&gt;35,AI3+AH4-AQ3,IF(A4&lt;'Données projet'!$A$62,$AF$205^A4,IF(A4='Données projet'!$A$62,'Données projet'!$B$62,AI3+AH4-AQ3)))</f>
        <v>1.1457367676485573</v>
      </c>
      <c r="AJ4" s="13">
        <f>AI4*VLOOKUP('Données projet'!$B$10,Paramètres!$A$1:$I$89,3,0)*VLOOKUP('Données projet'!$B$10,Paramètres!$A$1:$I$89,5,0)</f>
        <v>1.0366626273684145</v>
      </c>
      <c r="AK4" s="13">
        <f>EXP(-1.0587+0.8836*LN(AJ4)+0.284)</f>
        <v>0.47573960617002853</v>
      </c>
      <c r="AL4" s="20">
        <f t="shared" ref="AL4:AL67" si="4">(AJ4+AK4)*0.475*44/12</f>
        <v>2.6341005567461218</v>
      </c>
      <c r="AM4" s="59">
        <f t="shared" ref="AM4:AM67" si="5">AL4+(AD4+AE4)*44/12</f>
        <v>295.96743389007946</v>
      </c>
      <c r="AN4" s="59">
        <f ca="1">AVERAGE(OFFSET($AM$3,0,0,'Données projet'!$E$10+1,1))-AVERAGE(OFFSET($H$3,0,0,'Données projet'!$E$10+1,1))</f>
        <v>183.0147113277086</v>
      </c>
      <c r="AO4" s="59">
        <f>$AO$3</f>
        <v>76.413905647258389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279.49721661620544</v>
      </c>
      <c r="BJ4" s="59">
        <f>$BJ$3</f>
        <v>275.18739333988754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295.90738624248479</v>
      </c>
      <c r="CD4" s="59">
        <f ca="1">AVERAGE(OFFSET($CC$3,0,0,'Données projet'!$E$12+1,1))-AVERAGE(OFFSET($H$3,0,0,'Données projet'!$E$12+1,1))</f>
        <v>225.2323446080772</v>
      </c>
      <c r="CE4" s="59">
        <f>$CE$3</f>
        <v>222.29030402759292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1.2462060530968582</v>
      </c>
      <c r="CV4" s="13">
        <f>EXP(-1.0587+0.8836*LN(CU4)+0.284)</f>
        <v>0.55977727283853729</v>
      </c>
      <c r="CW4" s="20">
        <f t="shared" ref="CW4:CW67" si="13">(CU4+CV4)*0.475*44/12</f>
        <v>3.1454209593374802</v>
      </c>
      <c r="CX4" s="59">
        <f t="shared" ref="CX4:CX67" si="14">CW4+(CO4+CP4)*44/12</f>
        <v>296.47875429267077</v>
      </c>
      <c r="CY4" s="59">
        <f ca="1">AVERAGE(OFFSET($CX$3,0,0,'Données projet'!$E$13+1,1))-AVERAGE(OFFSET($H$3,0,0,'Données projet'!$E$13+1,1))</f>
        <v>240.57184010337932</v>
      </c>
      <c r="CZ4" s="59">
        <f>$CZ$3</f>
        <v>236.36473521227072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2.1333333333333333</v>
      </c>
      <c r="DO4" s="12">
        <f>IF('Données projet'!$A$166&gt;35,DO3+DN4-DW3,IF(A4&lt;'Données projet'!$A$166,$DL$205^A4,IF(A4='Données projet'!$A$166,'Données projet'!$B$166,DO3+DN4-DW3)))</f>
        <v>1.2599210498948732</v>
      </c>
      <c r="DP4" s="17">
        <f>DO4*VLOOKUP('Données projet'!$B$14,Paramètres!$A$1:$I$89,3,0)*VLOOKUP('Données projet'!$B$14,Paramètres!$A$1:$I$89,5,0)</f>
        <v>0.58964305135080064</v>
      </c>
      <c r="DQ4" s="13">
        <f>EXP(-1.0587+0.8836*LN(DP4)+0.284)</f>
        <v>0.28896461764620263</v>
      </c>
      <c r="DR4" s="20">
        <f t="shared" ref="DR4:DR67" si="16">(DP4+DQ4)*0.475*44/12</f>
        <v>1.5302416901697804</v>
      </c>
      <c r="DS4" s="59">
        <f t="shared" ref="DS4:DS67" si="17">DR4+(DJ4+DK4)*44/12</f>
        <v>294.86357502350307</v>
      </c>
      <c r="DT4" s="59">
        <f ca="1">AVERAGE(OFFSET($DS$3,0,0,'Données projet'!$E$14+1,1))-AVERAGE(OFFSET($H$3,0,0,'Données projet'!$E$14+1,1))</f>
        <v>304.29617570272939</v>
      </c>
      <c r="DU4" s="59">
        <f>$DU$3</f>
        <v>246.20695736161576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3.8</v>
      </c>
      <c r="EJ4" s="12">
        <f>IF('Données projet'!$A$192&gt;35,EJ3+EI4-ER3,IF(A4&lt;'Données projet'!$A$192,$EG$205^A4,IF(A4='Données projet'!$A$192,'Données projet'!$B$192,EJ3+EI4-ER3)))</f>
        <v>1.3093577517960842</v>
      </c>
      <c r="EK4" s="17">
        <f>EJ4*VLOOKUP('Données projet'!$B$15,Paramètres!$A$1:$I$89,3,0)*VLOOKUP('Données projet'!$B$15,Paramètres!$A$1:$I$89,5,0)</f>
        <v>0.78299593557405833</v>
      </c>
      <c r="EL4" s="13">
        <f>EXP(-1.0587+0.8836*LN(EK4)+0.284)</f>
        <v>0.37125983376235627</v>
      </c>
      <c r="EM4" s="20">
        <f t="shared" ref="EM4:EM67" si="19">(EK4+EL4)*0.475*44/12</f>
        <v>2.0103287982609221</v>
      </c>
      <c r="EN4" s="59">
        <f t="shared" ref="EN4:EN67" si="20">EM4+(EE4+EF4)*44/12</f>
        <v>295.34366213159421</v>
      </c>
      <c r="EO4" s="59">
        <f ca="1">AVERAGE(OFFSET($EN$3,0,0,'Données projet'!$E$15+1,1))-AVERAGE(OFFSET($H$3,0,0,'Données projet'!$E$15+1,1))</f>
        <v>288.41846134875794</v>
      </c>
      <c r="EP4" s="59">
        <f>$EP$3</f>
        <v>248.93951719818972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2.6666666666666665</v>
      </c>
      <c r="FE4" s="12">
        <f>IF('Données projet'!$A$218&gt;35,FE3+FD4-FM3,IF(A4&lt;'Données projet'!$A$218,$FB$205^A4,IF(A4='Données projet'!$A$218,'Données projet'!$B$218,FE3+FD4-FM3)))</f>
        <v>1.2788040393997409</v>
      </c>
      <c r="FF4" s="17">
        <f>FE4*VLOOKUP('Données projet'!$B$16,Paramètres!$A$1:$I$89,3,0)*VLOOKUP('Données projet'!$B$16,Paramètres!$A$1:$I$89,5,0)</f>
        <v>0.58185583792688211</v>
      </c>
      <c r="FG4" s="13">
        <f>EXP(-1.0587+0.8836*LN(FF4)+0.284)</f>
        <v>0.28558996869612857</v>
      </c>
      <c r="FH4" s="20">
        <f t="shared" ref="FH4:FH67" si="22">(FF4+FG4)*0.475*44/12</f>
        <v>1.510801446535077</v>
      </c>
      <c r="FI4" s="59">
        <f t="shared" ref="FI4:FI67" si="23">FH4+(EZ4+FA4)*44/12</f>
        <v>294.8441347798684</v>
      </c>
      <c r="FJ4" s="59">
        <f ca="1">AVERAGE(OFFSET($FI$3,0,0,'Données projet'!$E$16+1,1))-AVERAGE(OFFSET($H$3,0,0,'Données projet'!$E$16+1,1))</f>
        <v>367.36535411813264</v>
      </c>
      <c r="FK4" s="59">
        <f>$FK$3</f>
        <v>293.19545174980556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4.8</v>
      </c>
      <c r="FZ4" s="12">
        <f>IF('Données projet'!$A$244&gt;35,FZ3+FY4-GH3,IF(A4&lt;'Données projet'!$A$244,$FW$205^A4,IF(A4='Données projet'!$A$244,'Données projet'!$B$244,FZ3+FY4-GH3)))</f>
        <v>1.2563584400948855</v>
      </c>
      <c r="GA4" s="17">
        <f>FZ4*VLOOKUP('Données projet'!$B$17,Paramètres!$A$1:$I$89,3,0)*VLOOKUP('Données projet'!$B$17,Paramètres!$A$1:$I$89,5,0)</f>
        <v>0.60430840968563992</v>
      </c>
      <c r="GB4" s="13">
        <f>EXP(-1.0587+0.8836*LN(GA4)+0.284)</f>
        <v>0.29530594996755061</v>
      </c>
      <c r="GC4" s="20">
        <f t="shared" ref="GC4:GC67" si="25">(GA4+GB4)*0.475*44/12</f>
        <v>1.56682834306264</v>
      </c>
      <c r="GD4" s="59">
        <f t="shared" ref="GD4:GD67" si="26">GC4+(FU4+FV4)*44/12</f>
        <v>294.90016167639595</v>
      </c>
      <c r="GE4" s="59">
        <f ca="1">AVERAGE(OFFSET($GD$3,0,0,'Données projet'!$E$17+1,1))-AVERAGE(OFFSET($H$3,0,0,'Données projet'!$E$17+1,1))</f>
        <v>312.64506496298173</v>
      </c>
      <c r="GF4" s="59">
        <f>$GF$3</f>
        <v>259.97532509897508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2.1</v>
      </c>
      <c r="GU4" s="12">
        <f>IF('Données projet'!$A$270&gt;35,GU3+GT4-HC3,IF(A4&lt;'Données projet'!$A$270,$GR$205^A4,IF(A4='Données projet'!$A$270,'Données projet'!$B$270,GU3+GT4-HC3)))</f>
        <v>1.2054868146447177</v>
      </c>
      <c r="GV4" s="17">
        <f>GU4*VLOOKUP('Données projet'!$B$18,Paramètres!$A$1:$I$89,3,0)*VLOOKUP('Données projet'!$B$18,Paramètres!$A$1:$I$89,5,0)</f>
        <v>1.2223636300497438</v>
      </c>
      <c r="GW4" s="13">
        <f>EXP(-1.0587+0.8836*LN(GV4)+0.284)</f>
        <v>0.55030360208821416</v>
      </c>
      <c r="GX4" s="20">
        <f t="shared" ref="GX4:GX67" si="28">(GV4+GW4)*0.475*44/12</f>
        <v>3.0873954293069432</v>
      </c>
      <c r="GY4" s="59">
        <f t="shared" ref="GY4:GY67" si="29">GX4+(GP4+GQ4)*44/12</f>
        <v>296.42072876264024</v>
      </c>
      <c r="GZ4" s="59">
        <f ca="1">AVERAGE(OFFSET($GY$3,0,0,'Données projet'!$E$18+1,1))-AVERAGE(OFFSET($H$3,0,0,'Données projet'!$E$18+1,1))</f>
        <v>308.80022073574963</v>
      </c>
      <c r="HA4" s="59">
        <f>$HA$3</f>
        <v>183.96267407004115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344.49457749226184</v>
      </c>
      <c r="T5" s="59">
        <f t="shared" ref="T5:T68" si="34">$T$3</f>
        <v>207.92972431357452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1.2</v>
      </c>
      <c r="AI5" s="13">
        <f>IF('Données projet'!$A$62&gt;35,AI4+AH5-AQ4,IF(A5&lt;'Données projet'!$A$62,$AF$205^A5,IF(A5='Données projet'!$A$62,'Données projet'!$B$62,AI4+AH5-AQ4)))</f>
        <v>1.312712740741764</v>
      </c>
      <c r="AJ5" s="13">
        <f>AI5*VLOOKUP('Données projet'!$B$10,Paramètres!$A$1:$I$89,3,0)*VLOOKUP('Données projet'!$B$10,Paramètres!$A$1:$I$89,5,0)</f>
        <v>1.187742487823148</v>
      </c>
      <c r="AK5" s="13">
        <f t="shared" ref="AK5:AK68" si="35">EXP(-1.0587+0.8836*LN(AJ5)+0.284)</f>
        <v>0.53650859312100496</v>
      </c>
      <c r="AL5" s="20">
        <f t="shared" si="4"/>
        <v>3.0030706326443997</v>
      </c>
      <c r="AM5" s="59">
        <f t="shared" si="5"/>
        <v>296.33640396597769</v>
      </c>
      <c r="AN5" s="59">
        <f ca="1">AVERAGE(OFFSET($AM$3,0,0,'Données projet'!$E$10+1,1))-AVERAGE(OFFSET($H$3,0,0,'Données projet'!$E$10+1,1))</f>
        <v>183.0147113277086</v>
      </c>
      <c r="AO5" s="59">
        <f t="shared" ref="AO5:AO68" si="36">$AO$3</f>
        <v>76.413905647258389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279.49721661620544</v>
      </c>
      <c r="BJ5" s="59">
        <f t="shared" ref="BJ5:BJ68" si="38">$BJ$3</f>
        <v>275.18739333988754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296.57946149872157</v>
      </c>
      <c r="CD5" s="59">
        <f ca="1">AVERAGE(OFFSET($CC$3,0,0,'Données projet'!$E$12+1,1))-AVERAGE(OFFSET($H$3,0,0,'Données projet'!$E$12+1,1))</f>
        <v>225.2323446080772</v>
      </c>
      <c r="CE5" s="59">
        <f t="shared" ref="CE5:CE68" si="40">$CE$3</f>
        <v>222.29030402759292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1.4427996346852929</v>
      </c>
      <c r="CV5" s="13">
        <f t="shared" ref="CV5:CV68" si="41">EXP(-1.0587+0.8836*LN(CU5)+0.284)</f>
        <v>0.63712772986316735</v>
      </c>
      <c r="CW5" s="20">
        <f t="shared" si="13"/>
        <v>3.6225401599219018</v>
      </c>
      <c r="CX5" s="59">
        <f t="shared" si="14"/>
        <v>296.95587349325524</v>
      </c>
      <c r="CY5" s="59">
        <f ca="1">AVERAGE(OFFSET($CX$3,0,0,'Données projet'!$E$13+1,1))-AVERAGE(OFFSET($H$3,0,0,'Données projet'!$E$13+1,1))</f>
        <v>240.57184010337932</v>
      </c>
      <c r="CZ5" s="59">
        <f t="shared" ref="CZ5:CZ68" si="42">$CZ$3</f>
        <v>236.36473521227072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2.1333333333333333</v>
      </c>
      <c r="DO5" s="12">
        <f>IF('Données projet'!$A$166&gt;35,DO4+DN5-DW4,IF(A5&lt;'Données projet'!$A$166,$DL$205^A5,IF(A5='Données projet'!$A$166,'Données projet'!$B$166,DO4+DN5-DW4)))</f>
        <v>1.5874010519681996</v>
      </c>
      <c r="DP5" s="17">
        <f>DO5*VLOOKUP('Données projet'!$B$14,Paramètres!$A$1:$I$89,3,0)*VLOOKUP('Données projet'!$B$14,Paramètres!$A$1:$I$89,5,0)</f>
        <v>0.74290369232111741</v>
      </c>
      <c r="DQ5" s="13">
        <f t="shared" ref="DQ5:DQ68" si="43">EXP(-1.0587+0.8836*LN(DP5)+0.284)</f>
        <v>0.35441168872197826</v>
      </c>
      <c r="DR5" s="20">
        <f t="shared" si="16"/>
        <v>1.9111576219833919</v>
      </c>
      <c r="DS5" s="59">
        <f t="shared" si="17"/>
        <v>295.24449095531668</v>
      </c>
      <c r="DT5" s="59">
        <f ca="1">AVERAGE(OFFSET($DS$3,0,0,'Données projet'!$E$14+1,1))-AVERAGE(OFFSET($H$3,0,0,'Données projet'!$E$14+1,1))</f>
        <v>304.29617570272939</v>
      </c>
      <c r="DU5" s="59">
        <f t="shared" ref="DU5:DU68" si="44">$DU$3</f>
        <v>246.20695736161576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3.8</v>
      </c>
      <c r="EJ5" s="12">
        <f>IF('Données projet'!$A$192&gt;35,EJ4+EI5-ER4,IF(A5&lt;'Données projet'!$A$192,$EG$205^A5,IF(A5='Données projet'!$A$192,'Données projet'!$B$192,EJ4+EI5-ER4)))</f>
        <v>1.714417722188496</v>
      </c>
      <c r="EK5" s="17">
        <f>EJ5*VLOOKUP('Données projet'!$B$15,Paramètres!$A$1:$I$89,3,0)*VLOOKUP('Données projet'!$B$15,Paramètres!$A$1:$I$89,5,0)</f>
        <v>1.0252217978687208</v>
      </c>
      <c r="EL5" s="13">
        <f t="shared" ref="EL5:EL68" si="45">EXP(-1.0587+0.8836*LN(EK5)+0.284)</f>
        <v>0.47109739277938234</v>
      </c>
      <c r="EM5" s="20">
        <f t="shared" si="19"/>
        <v>2.6060892570454466</v>
      </c>
      <c r="EN5" s="59">
        <f t="shared" si="20"/>
        <v>295.93942259037874</v>
      </c>
      <c r="EO5" s="59">
        <f ca="1">AVERAGE(OFFSET($EN$3,0,0,'Données projet'!$E$15+1,1))-AVERAGE(OFFSET($H$3,0,0,'Données projet'!$E$15+1,1))</f>
        <v>288.41846134875794</v>
      </c>
      <c r="EP5" s="59">
        <f t="shared" ref="EP5:EP68" si="46">$EP$3</f>
        <v>248.93951719818972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2.6666666666666665</v>
      </c>
      <c r="FE5" s="12">
        <f>IF('Données projet'!$A$218&gt;35,FE4+FD5-FM4,IF(A5&lt;'Données projet'!$A$218,$FB$205^A5,IF(A5='Données projet'!$A$218,'Données projet'!$B$218,FE4+FD5-FM4)))</f>
        <v>1.6353397711850939</v>
      </c>
      <c r="FF5" s="17">
        <f>FE5*VLOOKUP('Données projet'!$B$16,Paramètres!$A$1:$I$89,3,0)*VLOOKUP('Données projet'!$B$16,Paramètres!$A$1:$I$89,5,0)</f>
        <v>0.74407959588921768</v>
      </c>
      <c r="FG5" s="13">
        <f t="shared" ref="FG5:FG68" si="47">EXP(-1.0587+0.8836*LN(FF5)+0.284)</f>
        <v>0.35490732484254178</v>
      </c>
      <c r="FH5" s="20">
        <f t="shared" si="22"/>
        <v>1.9140688869411477</v>
      </c>
      <c r="FI5" s="59">
        <f t="shared" si="23"/>
        <v>295.24740222027447</v>
      </c>
      <c r="FJ5" s="59">
        <f ca="1">AVERAGE(OFFSET($FI$3,0,0,'Données projet'!$E$16+1,1))-AVERAGE(OFFSET($H$3,0,0,'Données projet'!$E$16+1,1))</f>
        <v>367.36535411813264</v>
      </c>
      <c r="FK5" s="59">
        <f t="shared" ref="FK5:FK68" si="48">$FK$3</f>
        <v>293.19545174980556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4.8</v>
      </c>
      <c r="FZ5" s="12">
        <f>IF('Données projet'!$A$244&gt;35,FZ4+FY5-GH4,IF(A5&lt;'Données projet'!$A$244,$FW$205^A5,IF(A5='Données projet'!$A$244,'Données projet'!$B$244,FZ4+FY5-GH4)))</f>
        <v>1.5784365299976539</v>
      </c>
      <c r="GA5" s="17">
        <f>FZ5*VLOOKUP('Données projet'!$B$17,Paramètres!$A$1:$I$89,3,0)*VLOOKUP('Données projet'!$B$17,Paramètres!$A$1:$I$89,5,0)</f>
        <v>0.75922797092887162</v>
      </c>
      <c r="GB5" s="13">
        <f t="shared" ref="GB5:GB68" si="49">EXP(-1.0587+0.8836*LN(GA5)+0.284)</f>
        <v>0.3612841762676729</v>
      </c>
      <c r="GC5" s="20">
        <f t="shared" si="25"/>
        <v>1.9515586563673146</v>
      </c>
      <c r="GD5" s="59">
        <f t="shared" si="26"/>
        <v>295.28489198970061</v>
      </c>
      <c r="GE5" s="59">
        <f ca="1">AVERAGE(OFFSET($GD$3,0,0,'Données projet'!$E$17+1,1))-AVERAGE(OFFSET($H$3,0,0,'Données projet'!$E$17+1,1))</f>
        <v>312.64506496298173</v>
      </c>
      <c r="GF5" s="59">
        <f t="shared" ref="GF5:GF68" si="50">$GF$3</f>
        <v>259.97532509897508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2.1</v>
      </c>
      <c r="GU5" s="12">
        <f>IF('Données projet'!$A$270&gt;35,GU4+GT5-HC4,IF(A5&lt;'Données projet'!$A$270,$GR$205^A5,IF(A5='Données projet'!$A$270,'Données projet'!$B$270,GU4+GT5-HC4)))</f>
        <v>1.4531984602822681</v>
      </c>
      <c r="GV5" s="17">
        <f>GU5*VLOOKUP('Données projet'!$B$18,Paramètres!$A$1:$I$89,3,0)*VLOOKUP('Données projet'!$B$18,Paramètres!$A$1:$I$89,5,0)</f>
        <v>1.47354323872622</v>
      </c>
      <c r="GW5" s="13">
        <f t="shared" ref="GW5:GW68" si="51">EXP(-1.0587+0.8836*LN(GV5)+0.284)</f>
        <v>0.64910881835703094</v>
      </c>
      <c r="GX5" s="20">
        <f t="shared" si="28"/>
        <v>3.6969523327533285</v>
      </c>
      <c r="GY5" s="59">
        <f t="shared" si="29"/>
        <v>297.03028566608663</v>
      </c>
      <c r="GZ5" s="59">
        <f ca="1">AVERAGE(OFFSET($GY$3,0,0,'Données projet'!$E$18+1,1))-AVERAGE(OFFSET($H$3,0,0,'Données projet'!$E$18+1,1))</f>
        <v>308.80022073574963</v>
      </c>
      <c r="HA5" s="59">
        <f t="shared" ref="HA5:HA68" si="52">$HA$3</f>
        <v>183.96267407004115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344.49457749226184</v>
      </c>
      <c r="T6" s="59">
        <f t="shared" si="34"/>
        <v>207.92972431357452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1.2</v>
      </c>
      <c r="AI6" s="13">
        <f>IF('Données projet'!$A$62&gt;35,AI5+AH6-AQ5,IF(A6&lt;'Données projet'!$A$62,$AF$205^A6,IF(A6='Données projet'!$A$62,'Données projet'!$B$62,AI5+AH6-AQ5)))</f>
        <v>1.5040232524285473</v>
      </c>
      <c r="AJ6" s="13">
        <f>AI6*VLOOKUP('Données projet'!$B$10,Paramètres!$A$1:$I$89,3,0)*VLOOKUP('Données projet'!$B$10,Paramètres!$A$1:$I$89,5,0)</f>
        <v>1.3608402387973495</v>
      </c>
      <c r="AK6" s="13">
        <f t="shared" si="35"/>
        <v>0.60503995622724338</v>
      </c>
      <c r="AL6" s="20">
        <f t="shared" si="4"/>
        <v>3.4239080063344987</v>
      </c>
      <c r="AM6" s="59">
        <f t="shared" si="5"/>
        <v>296.75724133966781</v>
      </c>
      <c r="AN6" s="59">
        <f ca="1">AVERAGE(OFFSET($AM$3,0,0,'Données projet'!$E$10+1,1))-AVERAGE(OFFSET($H$3,0,0,'Données projet'!$E$10+1,1))</f>
        <v>183.0147113277086</v>
      </c>
      <c r="AO6" s="59">
        <f t="shared" si="36"/>
        <v>76.413905647258389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279.49721661620544</v>
      </c>
      <c r="BJ6" s="59">
        <f t="shared" si="38"/>
        <v>275.18739333988754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297.4276995177708</v>
      </c>
      <c r="CD6" s="59">
        <f ca="1">AVERAGE(OFFSET($CC$3,0,0,'Données projet'!$E$12+1,1))-AVERAGE(OFFSET($H$3,0,0,'Données projet'!$E$12+1,1))</f>
        <v>225.2323446080772</v>
      </c>
      <c r="CE6" s="59">
        <f t="shared" si="40"/>
        <v>222.29030402759292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1.6704065757624933</v>
      </c>
      <c r="CV6" s="13">
        <f t="shared" si="41"/>
        <v>0.72516653293582456</v>
      </c>
      <c r="CW6" s="20">
        <f t="shared" si="13"/>
        <v>4.1722898309829031</v>
      </c>
      <c r="CX6" s="59">
        <f t="shared" si="14"/>
        <v>297.50562316431621</v>
      </c>
      <c r="CY6" s="59">
        <f ca="1">AVERAGE(OFFSET($CX$3,0,0,'Données projet'!$E$13+1,1))-AVERAGE(OFFSET($H$3,0,0,'Données projet'!$E$13+1,1))</f>
        <v>240.57184010337932</v>
      </c>
      <c r="CZ6" s="59">
        <f t="shared" si="42"/>
        <v>236.36473521227072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2.1333333333333333</v>
      </c>
      <c r="DO6" s="12">
        <f>IF('Données projet'!$A$166&gt;35,DO5+DN6-DW5,IF(A6&lt;'Données projet'!$A$166,$DL$205^A6,IF(A6='Données projet'!$A$166,'Données projet'!$B$166,DO5+DN6-DW5)))</f>
        <v>2</v>
      </c>
      <c r="DP6" s="17">
        <f>DO6*VLOOKUP('Données projet'!$B$14,Paramètres!$A$1:$I$89,3,0)*VLOOKUP('Données projet'!$B$14,Paramètres!$A$1:$I$89,5,0)</f>
        <v>0.93599999999999994</v>
      </c>
      <c r="DQ6" s="13">
        <f t="shared" si="43"/>
        <v>0.43468174797979486</v>
      </c>
      <c r="DR6" s="20">
        <f t="shared" si="16"/>
        <v>2.3872707110648093</v>
      </c>
      <c r="DS6" s="59">
        <f t="shared" si="17"/>
        <v>295.7206040443981</v>
      </c>
      <c r="DT6" s="59">
        <f ca="1">AVERAGE(OFFSET($DS$3,0,0,'Données projet'!$E$14+1,1))-AVERAGE(OFFSET($H$3,0,0,'Données projet'!$E$14+1,1))</f>
        <v>304.29617570272939</v>
      </c>
      <c r="DU6" s="59">
        <f t="shared" si="44"/>
        <v>246.20695736161576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3.8</v>
      </c>
      <c r="EJ6" s="12">
        <f>IF('Données projet'!$A$192&gt;35,EJ5+EI6-ER5,IF(A6&lt;'Données projet'!$A$192,$EG$205^A6,IF(A6='Données projet'!$A$192,'Données projet'!$B$192,EJ5+EI6-ER5)))</f>
        <v>2.2447861343640927</v>
      </c>
      <c r="EK6" s="17">
        <f>EJ6*VLOOKUP('Données projet'!$B$15,Paramètres!$A$1:$I$89,3,0)*VLOOKUP('Données projet'!$B$15,Paramètres!$A$1:$I$89,5,0)</f>
        <v>1.3423821083497276</v>
      </c>
      <c r="EL6" s="13">
        <f t="shared" si="45"/>
        <v>0.59778282836163454</v>
      </c>
      <c r="EM6" s="20">
        <f t="shared" si="19"/>
        <v>3.3791205981056223</v>
      </c>
      <c r="EN6" s="59">
        <f t="shared" si="20"/>
        <v>296.71245393143892</v>
      </c>
      <c r="EO6" s="59">
        <f ca="1">AVERAGE(OFFSET($EN$3,0,0,'Données projet'!$E$15+1,1))-AVERAGE(OFFSET($H$3,0,0,'Données projet'!$E$15+1,1))</f>
        <v>288.41846134875794</v>
      </c>
      <c r="EP6" s="59">
        <f t="shared" si="46"/>
        <v>248.93951719818972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2.6666666666666665</v>
      </c>
      <c r="FE6" s="12">
        <f>IF('Données projet'!$A$218&gt;35,FE5+FD6-FM5,IF(A6&lt;'Données projet'!$A$218,$FB$205^A6,IF(A6='Données projet'!$A$218,'Données projet'!$B$218,FE5+FD6-FM5)))</f>
        <v>2.0912791051825459</v>
      </c>
      <c r="FF6" s="17">
        <f>FE6*VLOOKUP('Données projet'!$B$16,Paramètres!$A$1:$I$89,3,0)*VLOOKUP('Données projet'!$B$16,Paramètres!$A$1:$I$89,5,0)</f>
        <v>0.95153199285805834</v>
      </c>
      <c r="FG6" s="13">
        <f t="shared" si="47"/>
        <v>0.44104913699161385</v>
      </c>
      <c r="FH6" s="20">
        <f t="shared" si="22"/>
        <v>2.4254121344881789</v>
      </c>
      <c r="FI6" s="59">
        <f t="shared" si="23"/>
        <v>295.75874546782148</v>
      </c>
      <c r="FJ6" s="59">
        <f ca="1">AVERAGE(OFFSET($FI$3,0,0,'Données projet'!$E$16+1,1))-AVERAGE(OFFSET($H$3,0,0,'Données projet'!$E$16+1,1))</f>
        <v>367.36535411813264</v>
      </c>
      <c r="FK6" s="59">
        <f t="shared" si="48"/>
        <v>293.19545174980556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4.8</v>
      </c>
      <c r="FZ6" s="12">
        <f>IF('Données projet'!$A$244&gt;35,FZ5+FY6-GH5,IF(A6&lt;'Données projet'!$A$244,$FW$205^A6,IF(A6='Données projet'!$A$244,'Données projet'!$B$244,FZ5+FY6-GH5)))</f>
        <v>1.9830820566166365</v>
      </c>
      <c r="GA6" s="17">
        <f>FZ6*VLOOKUP('Données projet'!$B$17,Paramètres!$A$1:$I$89,3,0)*VLOOKUP('Données projet'!$B$17,Paramètres!$A$1:$I$89,5,0)</f>
        <v>0.95386246923260221</v>
      </c>
      <c r="GB6" s="13">
        <f t="shared" si="49"/>
        <v>0.44200347482248059</v>
      </c>
      <c r="GC6" s="20">
        <f t="shared" si="25"/>
        <v>2.4311331858959355</v>
      </c>
      <c r="GD6" s="59">
        <f t="shared" si="26"/>
        <v>295.76446651922925</v>
      </c>
      <c r="GE6" s="59">
        <f ca="1">AVERAGE(OFFSET($GD$3,0,0,'Données projet'!$E$17+1,1))-AVERAGE(OFFSET($H$3,0,0,'Données projet'!$E$17+1,1))</f>
        <v>312.64506496298173</v>
      </c>
      <c r="GF6" s="59">
        <f t="shared" si="50"/>
        <v>259.97532509897508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2.1</v>
      </c>
      <c r="GU6" s="12">
        <f>IF('Données projet'!$A$270&gt;35,GU5+GT6-HC5,IF(A6&lt;'Données projet'!$A$270,$GR$205^A6,IF(A6='Données projet'!$A$270,'Données projet'!$B$270,GU5+GT6-HC5)))</f>
        <v>1.7518115829322798</v>
      </c>
      <c r="GV6" s="17">
        <f>GU6*VLOOKUP('Données projet'!$B$18,Paramètres!$A$1:$I$89,3,0)*VLOOKUP('Données projet'!$B$18,Paramètres!$A$1:$I$89,5,0)</f>
        <v>1.7763369450933317</v>
      </c>
      <c r="GW6" s="13">
        <f t="shared" si="51"/>
        <v>0.76565418883323866</v>
      </c>
      <c r="GX6" s="20">
        <f t="shared" si="28"/>
        <v>4.4273012249221102</v>
      </c>
      <c r="GY6" s="59">
        <f t="shared" si="29"/>
        <v>297.76063455825545</v>
      </c>
      <c r="GZ6" s="59">
        <f ca="1">AVERAGE(OFFSET($GY$3,0,0,'Données projet'!$E$18+1,1))-AVERAGE(OFFSET($H$3,0,0,'Données projet'!$E$18+1,1))</f>
        <v>308.80022073574963</v>
      </c>
      <c r="HA6" s="59">
        <f t="shared" si="52"/>
        <v>183.96267407004115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344.49457749226184</v>
      </c>
      <c r="T7" s="59">
        <f t="shared" si="34"/>
        <v>207.92972431357452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1.2</v>
      </c>
      <c r="AI7" s="13">
        <f>IF('Données projet'!$A$62&gt;35,AI6+AH7-AQ6,IF(A7&lt;'Données projet'!$A$62,$AF$205^A7,IF(A7='Données projet'!$A$62,'Données projet'!$B$62,AI6+AH7-AQ6)))</f>
        <v>1.7232147397057538</v>
      </c>
      <c r="AJ7" s="13">
        <f>AI7*VLOOKUP('Données projet'!$B$10,Paramètres!$A$1:$I$89,3,0)*VLOOKUP('Données projet'!$B$10,Paramètres!$A$1:$I$89,5,0)</f>
        <v>1.5591646964857659</v>
      </c>
      <c r="AK7" s="13">
        <f t="shared" si="35"/>
        <v>0.68232522894353675</v>
      </c>
      <c r="AL7" s="20">
        <f t="shared" si="4"/>
        <v>3.9039282867893692</v>
      </c>
      <c r="AM7" s="59">
        <f t="shared" si="5"/>
        <v>297.23726162012269</v>
      </c>
      <c r="AN7" s="59">
        <f ca="1">AVERAGE(OFFSET($AM$3,0,0,'Données projet'!$E$10+1,1))-AVERAGE(OFFSET($H$3,0,0,'Données projet'!$E$10+1,1))</f>
        <v>183.0147113277086</v>
      </c>
      <c r="AO7" s="59">
        <f t="shared" si="36"/>
        <v>76.413905647258389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279.49721661620544</v>
      </c>
      <c r="BJ7" s="59">
        <f t="shared" si="38"/>
        <v>275.18739333988754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298.49844528615546</v>
      </c>
      <c r="CD7" s="59">
        <f ca="1">AVERAGE(OFFSET($CC$3,0,0,'Données projet'!$E$12+1,1))-AVERAGE(OFFSET($H$3,0,0,'Données projet'!$E$12+1,1))</f>
        <v>225.2323446080772</v>
      </c>
      <c r="CE7" s="59">
        <f t="shared" si="40"/>
        <v>222.29030402759292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1.9339193476848888</v>
      </c>
      <c r="CV7" s="13">
        <f t="shared" si="41"/>
        <v>0.82537060598995082</v>
      </c>
      <c r="CW7" s="20">
        <f t="shared" si="13"/>
        <v>4.8057633359836789</v>
      </c>
      <c r="CX7" s="59">
        <f t="shared" si="14"/>
        <v>298.13909666931698</v>
      </c>
      <c r="CY7" s="59">
        <f ca="1">AVERAGE(OFFSET($CX$3,0,0,'Données projet'!$E$13+1,1))-AVERAGE(OFFSET($H$3,0,0,'Données projet'!$E$13+1,1))</f>
        <v>240.57184010337932</v>
      </c>
      <c r="CZ7" s="59">
        <f t="shared" si="42"/>
        <v>236.36473521227072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2.1333333333333333</v>
      </c>
      <c r="DO7" s="12">
        <f>IF('Données projet'!$A$166&gt;35,DO6+DN7-DW6,IF(A7&lt;'Données projet'!$A$166,$DL$205^A7,IF(A7='Données projet'!$A$166,'Données projet'!$B$166,DO6+DN7-DW6)))</f>
        <v>2.5198420997897468</v>
      </c>
      <c r="DP7" s="17">
        <f>DO7*VLOOKUP('Données projet'!$B$14,Paramètres!$A$1:$I$89,3,0)*VLOOKUP('Données projet'!$B$14,Paramètres!$A$1:$I$89,5,0)</f>
        <v>1.1792861027016015</v>
      </c>
      <c r="DQ7" s="13">
        <f t="shared" si="43"/>
        <v>0.53313202707315965</v>
      </c>
      <c r="DR7" s="20">
        <f t="shared" si="16"/>
        <v>2.9824615760243756</v>
      </c>
      <c r="DS7" s="59">
        <f t="shared" si="17"/>
        <v>296.31579490935769</v>
      </c>
      <c r="DT7" s="59">
        <f ca="1">AVERAGE(OFFSET($DS$3,0,0,'Données projet'!$E$14+1,1))-AVERAGE(OFFSET($H$3,0,0,'Données projet'!$E$14+1,1))</f>
        <v>304.29617570272939</v>
      </c>
      <c r="DU7" s="59">
        <f t="shared" si="44"/>
        <v>246.20695736161576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3.8</v>
      </c>
      <c r="EJ7" s="12">
        <f>IF('Données projet'!$A$192&gt;35,EJ6+EI7-ER6,IF(A7&lt;'Données projet'!$A$192,$EG$205^A7,IF(A7='Données projet'!$A$192,'Données projet'!$B$192,EJ6+EI7-ER6)))</f>
        <v>2.9392281261539908</v>
      </c>
      <c r="EK7" s="17">
        <f>EJ7*VLOOKUP('Données projet'!$B$15,Paramètres!$A$1:$I$89,3,0)*VLOOKUP('Données projet'!$B$15,Paramètres!$A$1:$I$89,5,0)</f>
        <v>1.7576584194400868</v>
      </c>
      <c r="EL7" s="13">
        <f t="shared" si="45"/>
        <v>0.75853595320444034</v>
      </c>
      <c r="EM7" s="20">
        <f t="shared" si="19"/>
        <v>4.3823718656892181</v>
      </c>
      <c r="EN7" s="59">
        <f t="shared" si="20"/>
        <v>297.71570519902252</v>
      </c>
      <c r="EO7" s="59">
        <f ca="1">AVERAGE(OFFSET($EN$3,0,0,'Données projet'!$E$15+1,1))-AVERAGE(OFFSET($H$3,0,0,'Données projet'!$E$15+1,1))</f>
        <v>288.41846134875794</v>
      </c>
      <c r="EP7" s="59">
        <f t="shared" si="46"/>
        <v>248.93951719818972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2.6666666666666665</v>
      </c>
      <c r="FE7" s="12">
        <f>IF('Données projet'!$A$218&gt;35,FE6+FD7-FM6,IF(A7&lt;'Données projet'!$A$218,$FB$205^A7,IF(A7='Données projet'!$A$218,'Données projet'!$B$218,FE6+FD7-FM6)))</f>
        <v>2.6743361672197152</v>
      </c>
      <c r="FF7" s="17">
        <f>FE7*VLOOKUP('Données projet'!$B$16,Paramètres!$A$1:$I$89,3,0)*VLOOKUP('Données projet'!$B$16,Paramètres!$A$1:$I$89,5,0)</f>
        <v>1.2168229560849704</v>
      </c>
      <c r="FG7" s="13">
        <f t="shared" si="47"/>
        <v>0.54809897577445044</v>
      </c>
      <c r="FH7" s="20">
        <f t="shared" si="22"/>
        <v>3.0739056979884913</v>
      </c>
      <c r="FI7" s="59">
        <f t="shared" si="23"/>
        <v>296.40723903132181</v>
      </c>
      <c r="FJ7" s="59">
        <f ca="1">AVERAGE(OFFSET($FI$3,0,0,'Données projet'!$E$16+1,1))-AVERAGE(OFFSET($H$3,0,0,'Données projet'!$E$16+1,1))</f>
        <v>367.36535411813264</v>
      </c>
      <c r="FK7" s="59">
        <f t="shared" si="48"/>
        <v>293.19545174980556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4.8</v>
      </c>
      <c r="FZ7" s="12">
        <f>IF('Données projet'!$A$244&gt;35,FZ6+FY7-GH6,IF(A7&lt;'Données projet'!$A$244,$FW$205^A7,IF(A7='Données projet'!$A$244,'Données projet'!$B$244,FZ6+FY7-GH6)))</f>
        <v>2.4914618792310348</v>
      </c>
      <c r="GA7" s="17">
        <f>FZ7*VLOOKUP('Données projet'!$B$17,Paramètres!$A$1:$I$89,3,0)*VLOOKUP('Données projet'!$B$17,Paramètres!$A$1:$I$89,5,0)</f>
        <v>1.1983931639101277</v>
      </c>
      <c r="GB7" s="13">
        <f t="shared" si="49"/>
        <v>0.54075734446338186</v>
      </c>
      <c r="GC7" s="20">
        <f t="shared" si="25"/>
        <v>3.0290204687505287</v>
      </c>
      <c r="GD7" s="59">
        <f t="shared" si="26"/>
        <v>296.36235380208382</v>
      </c>
      <c r="GE7" s="59">
        <f ca="1">AVERAGE(OFFSET($GD$3,0,0,'Données projet'!$E$17+1,1))-AVERAGE(OFFSET($H$3,0,0,'Données projet'!$E$17+1,1))</f>
        <v>312.64506496298173</v>
      </c>
      <c r="GF7" s="59">
        <f t="shared" si="50"/>
        <v>259.97532509897508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2.1</v>
      </c>
      <c r="GU7" s="12">
        <f>IF('Données projet'!$A$270&gt;35,GU6+GT7-HC6,IF(A7&lt;'Données projet'!$A$270,$GR$205^A7,IF(A7='Données projet'!$A$270,'Données projet'!$B$270,GU6+GT7-HC6)))</f>
        <v>2.1117857649667546</v>
      </c>
      <c r="GV7" s="17">
        <f>GU7*VLOOKUP('Données projet'!$B$18,Paramètres!$A$1:$I$89,3,0)*VLOOKUP('Données projet'!$B$18,Paramètres!$A$1:$I$89,5,0)</f>
        <v>2.1413507656762891</v>
      </c>
      <c r="GW7" s="13">
        <f t="shared" si="51"/>
        <v>0.9031249003236328</v>
      </c>
      <c r="GX7" s="20">
        <f t="shared" si="28"/>
        <v>5.3024617849498643</v>
      </c>
      <c r="GY7" s="59">
        <f t="shared" si="29"/>
        <v>298.63579511828317</v>
      </c>
      <c r="GZ7" s="59">
        <f ca="1">AVERAGE(OFFSET($GY$3,0,0,'Données projet'!$E$18+1,1))-AVERAGE(OFFSET($H$3,0,0,'Données projet'!$E$18+1,1))</f>
        <v>308.80022073574963</v>
      </c>
      <c r="HA7" s="59">
        <f t="shared" si="52"/>
        <v>183.96267407004115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344.49457749226184</v>
      </c>
      <c r="T8" s="59">
        <f t="shared" si="34"/>
        <v>207.92972431357452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1.2</v>
      </c>
      <c r="AI8" s="13">
        <f>IF('Données projet'!$A$62&gt;35,AI7+AH8-AQ7,IF(A8&lt;'Données projet'!$A$62,$AF$205^A8,IF(A8='Données projet'!$A$62,'Données projet'!$B$62,AI7+AH8-AQ7)))</f>
        <v>1.9743504858348202</v>
      </c>
      <c r="AJ8" s="13">
        <f>AI8*VLOOKUP('Données projet'!$B$10,Paramètres!$A$1:$I$89,3,0)*VLOOKUP('Données projet'!$B$10,Paramètres!$A$1:$I$89,5,0)</f>
        <v>1.7863923195833453</v>
      </c>
      <c r="AK8" s="13">
        <f t="shared" si="35"/>
        <v>0.76948259905993732</v>
      </c>
      <c r="AL8" s="20">
        <f t="shared" si="4"/>
        <v>4.4514821499703841</v>
      </c>
      <c r="AM8" s="59">
        <f t="shared" si="5"/>
        <v>297.7848154833037</v>
      </c>
      <c r="AN8" s="59">
        <f ca="1">AVERAGE(OFFSET($AM$3,0,0,'Données projet'!$E$10+1,1))-AVERAGE(OFFSET($H$3,0,0,'Données projet'!$E$10+1,1))</f>
        <v>183.0147113277086</v>
      </c>
      <c r="AO8" s="59">
        <f t="shared" si="36"/>
        <v>76.413905647258389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279.49721661620544</v>
      </c>
      <c r="BJ8" s="59">
        <f t="shared" si="38"/>
        <v>275.18739333988754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299.85027799944623</v>
      </c>
      <c r="CD8" s="59">
        <f ca="1">AVERAGE(OFFSET($CC$3,0,0,'Données projet'!$E$12+1,1))-AVERAGE(OFFSET($H$3,0,0,'Données projet'!$E$12+1,1))</f>
        <v>225.2323446080772</v>
      </c>
      <c r="CE8" s="59">
        <f t="shared" si="40"/>
        <v>222.29030402759292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2.2390022271330694</v>
      </c>
      <c r="CV8" s="13">
        <f t="shared" si="41"/>
        <v>0.93942095545176885</v>
      </c>
      <c r="CW8" s="20">
        <f t="shared" si="13"/>
        <v>5.5357537096685929</v>
      </c>
      <c r="CX8" s="59">
        <f t="shared" si="14"/>
        <v>298.86908704300191</v>
      </c>
      <c r="CY8" s="59">
        <f ca="1">AVERAGE(OFFSET($CX$3,0,0,'Données projet'!$E$13+1,1))-AVERAGE(OFFSET($H$3,0,0,'Données projet'!$E$13+1,1))</f>
        <v>240.57184010337932</v>
      </c>
      <c r="CZ8" s="59">
        <f t="shared" si="42"/>
        <v>236.36473521227072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2.1333333333333333</v>
      </c>
      <c r="DO8" s="12">
        <f>IF('Données projet'!$A$166&gt;35,DO7+DN8-DW7,IF(A8&lt;'Données projet'!$A$166,$DL$205^A8,IF(A8='Données projet'!$A$166,'Données projet'!$B$166,DO7+DN8-DW7)))</f>
        <v>3.1748021039363996</v>
      </c>
      <c r="DP8" s="17">
        <f>DO8*VLOOKUP('Données projet'!$B$14,Paramètres!$A$1:$I$89,3,0)*VLOOKUP('Données projet'!$B$14,Paramètres!$A$1:$I$89,5,0)</f>
        <v>1.4858073846422351</v>
      </c>
      <c r="DQ8" s="13">
        <f t="shared" si="43"/>
        <v>0.65388013095122621</v>
      </c>
      <c r="DR8" s="20">
        <f t="shared" si="16"/>
        <v>3.7266224229919445</v>
      </c>
      <c r="DS8" s="59">
        <f t="shared" si="17"/>
        <v>297.05995575632528</v>
      </c>
      <c r="DT8" s="59">
        <f ca="1">AVERAGE(OFFSET($DS$3,0,0,'Données projet'!$E$14+1,1))-AVERAGE(OFFSET($H$3,0,0,'Données projet'!$E$14+1,1))</f>
        <v>304.29617570272939</v>
      </c>
      <c r="DU8" s="59">
        <f t="shared" si="44"/>
        <v>246.20695736161576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3.8</v>
      </c>
      <c r="EJ8" s="12">
        <f>IF('Données projet'!$A$192&gt;35,EJ7+EI8-ER7,IF(A8&lt;'Données projet'!$A$192,$EG$205^A8,IF(A8='Données projet'!$A$192,'Données projet'!$B$192,EJ7+EI8-ER7)))</f>
        <v>3.8485011312768065</v>
      </c>
      <c r="EK8" s="17">
        <f>EJ8*VLOOKUP('Données projet'!$B$15,Paramètres!$A$1:$I$89,3,0)*VLOOKUP('Données projet'!$B$15,Paramètres!$A$1:$I$89,5,0)</f>
        <v>2.3014036765035306</v>
      </c>
      <c r="EL8" s="13">
        <f t="shared" si="45"/>
        <v>0.96251810022834772</v>
      </c>
      <c r="EM8" s="20">
        <f t="shared" si="19"/>
        <v>5.684663761141354</v>
      </c>
      <c r="EN8" s="59">
        <f t="shared" si="20"/>
        <v>299.01799709447465</v>
      </c>
      <c r="EO8" s="59">
        <f ca="1">AVERAGE(OFFSET($EN$3,0,0,'Données projet'!$E$15+1,1))-AVERAGE(OFFSET($H$3,0,0,'Données projet'!$E$15+1,1))</f>
        <v>288.41846134875794</v>
      </c>
      <c r="EP8" s="59">
        <f t="shared" si="46"/>
        <v>248.93951719818972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2.6666666666666665</v>
      </c>
      <c r="FE8" s="12">
        <f>IF('Données projet'!$A$218&gt;35,FE7+FD8-FM7,IF(A8&lt;'Données projet'!$A$218,$FB$205^A8,IF(A8='Données projet'!$A$218,'Données projet'!$B$218,FE7+FD8-FM7)))</f>
        <v>3.4199518933533928</v>
      </c>
      <c r="FF8" s="17">
        <f>FE8*VLOOKUP('Données projet'!$B$16,Paramètres!$A$1:$I$89,3,0)*VLOOKUP('Données projet'!$B$16,Paramètres!$A$1:$I$89,5,0)</f>
        <v>1.5560781114757936</v>
      </c>
      <c r="FG8" s="13">
        <f t="shared" si="47"/>
        <v>0.68113156119997975</v>
      </c>
      <c r="FH8" s="20">
        <f t="shared" si="22"/>
        <v>3.8964735132436386</v>
      </c>
      <c r="FI8" s="59">
        <f t="shared" si="23"/>
        <v>297.22980684657693</v>
      </c>
      <c r="FJ8" s="59">
        <f ca="1">AVERAGE(OFFSET($FI$3,0,0,'Données projet'!$E$16+1,1))-AVERAGE(OFFSET($H$3,0,0,'Données projet'!$E$16+1,1))</f>
        <v>367.36535411813264</v>
      </c>
      <c r="FK8" s="59">
        <f t="shared" si="48"/>
        <v>293.19545174980556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4.8</v>
      </c>
      <c r="FZ8" s="12">
        <f>IF('Données projet'!$A$244&gt;35,FZ7+FY8-GH7,IF(A8&lt;'Données projet'!$A$244,$FW$205^A8,IF(A8='Données projet'!$A$244,'Données projet'!$B$244,FZ7+FY8-GH7)))</f>
        <v>3.1301691601465751</v>
      </c>
      <c r="GA8" s="17">
        <f>FZ8*VLOOKUP('Données projet'!$B$17,Paramètres!$A$1:$I$89,3,0)*VLOOKUP('Données projet'!$B$17,Paramètres!$A$1:$I$89,5,0)</f>
        <v>1.5056113660305028</v>
      </c>
      <c r="GB8" s="13">
        <f t="shared" si="49"/>
        <v>0.66157512835963828</v>
      </c>
      <c r="GC8" s="20">
        <f t="shared" si="25"/>
        <v>3.7745164777294953</v>
      </c>
      <c r="GD8" s="59">
        <f t="shared" si="26"/>
        <v>297.10784981106281</v>
      </c>
      <c r="GE8" s="59">
        <f ca="1">AVERAGE(OFFSET($GD$3,0,0,'Données projet'!$E$17+1,1))-AVERAGE(OFFSET($H$3,0,0,'Données projet'!$E$17+1,1))</f>
        <v>312.64506496298173</v>
      </c>
      <c r="GF8" s="59">
        <f t="shared" si="50"/>
        <v>259.97532509897508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2.1</v>
      </c>
      <c r="GU8" s="12">
        <f>IF('Données projet'!$A$270&gt;35,GU7+GT8-HC7,IF(A8&lt;'Données projet'!$A$270,$GR$205^A8,IF(A8='Données projet'!$A$270,'Données projet'!$B$270,GU7+GT8-HC7)))</f>
        <v>2.5457298950218314</v>
      </c>
      <c r="GV8" s="17">
        <f>GU8*VLOOKUP('Données projet'!$B$18,Paramètres!$A$1:$I$89,3,0)*VLOOKUP('Données projet'!$B$18,Paramètres!$A$1:$I$89,5,0)</f>
        <v>2.5813701135521372</v>
      </c>
      <c r="GW8" s="13">
        <f t="shared" si="51"/>
        <v>1.0652780295337991</v>
      </c>
      <c r="GX8" s="20">
        <f t="shared" si="28"/>
        <v>6.3512455158746723</v>
      </c>
      <c r="GY8" s="59">
        <f t="shared" si="29"/>
        <v>299.68457884920798</v>
      </c>
      <c r="GZ8" s="59">
        <f ca="1">AVERAGE(OFFSET($GY$3,0,0,'Données projet'!$E$18+1,1))-AVERAGE(OFFSET($H$3,0,0,'Données projet'!$E$18+1,1))</f>
        <v>308.80022073574963</v>
      </c>
      <c r="HA8" s="59">
        <f t="shared" si="52"/>
        <v>183.96267407004115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344.49457749226184</v>
      </c>
      <c r="T9" s="59">
        <f t="shared" si="34"/>
        <v>207.92972431357452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1.2</v>
      </c>
      <c r="AI9" s="13">
        <f>IF('Données projet'!$A$62&gt;35,AI8+AH9-AQ8,IF(A9&lt;'Données projet'!$A$62,$AF$205^A9,IF(A9='Données projet'!$A$62,'Données projet'!$B$62,AI8+AH9-AQ8)))</f>
        <v>2.2620859438457455</v>
      </c>
      <c r="AJ9" s="13">
        <f>AI9*VLOOKUP('Données projet'!$B$10,Paramètres!$A$1:$I$89,3,0)*VLOOKUP('Données projet'!$B$10,Paramètres!$A$1:$I$89,5,0)</f>
        <v>2.0467353619916304</v>
      </c>
      <c r="AK9" s="13">
        <f t="shared" si="35"/>
        <v>0.86777308699666067</v>
      </c>
      <c r="AL9" s="20">
        <f t="shared" si="4"/>
        <v>5.0761022153212734</v>
      </c>
      <c r="AM9" s="59">
        <f t="shared" si="5"/>
        <v>298.40943554865459</v>
      </c>
      <c r="AN9" s="59">
        <f ca="1">AVERAGE(OFFSET($AM$3,0,0,'Données projet'!$E$10+1,1))-AVERAGE(OFFSET($H$3,0,0,'Données projet'!$E$10+1,1))</f>
        <v>183.0147113277086</v>
      </c>
      <c r="AO9" s="59">
        <f t="shared" si="36"/>
        <v>76.413905647258389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279.49721661620544</v>
      </c>
      <c r="BJ9" s="59">
        <f t="shared" si="38"/>
        <v>275.18739333988754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301.55725090153209</v>
      </c>
      <c r="CD9" s="59">
        <f ca="1">AVERAGE(OFFSET($CC$3,0,0,'Données projet'!$E$12+1,1))-AVERAGE(OFFSET($H$3,0,0,'Données projet'!$E$12+1,1))</f>
        <v>225.2323446080772</v>
      </c>
      <c r="CE9" s="59">
        <f t="shared" si="40"/>
        <v>222.29030402759292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2.5922130512361368</v>
      </c>
      <c r="CV9" s="13">
        <f t="shared" si="41"/>
        <v>1.069230870517164</v>
      </c>
      <c r="CW9" s="20">
        <f t="shared" si="13"/>
        <v>6.3770148303869973</v>
      </c>
      <c r="CX9" s="59">
        <f t="shared" si="14"/>
        <v>299.71034816372031</v>
      </c>
      <c r="CY9" s="59">
        <f ca="1">AVERAGE(OFFSET($CX$3,0,0,'Données projet'!$E$13+1,1))-AVERAGE(OFFSET($H$3,0,0,'Données projet'!$E$13+1,1))</f>
        <v>240.57184010337932</v>
      </c>
      <c r="CZ9" s="59">
        <f t="shared" si="42"/>
        <v>236.36473521227072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2.1333333333333333</v>
      </c>
      <c r="DO9" s="12">
        <f>IF('Données projet'!$A$166&gt;35,DO8+DN9-DW8,IF(A9&lt;'Données projet'!$A$166,$DL$205^A9,IF(A9='Données projet'!$A$166,'Données projet'!$B$166,DO8+DN9-DW8)))</f>
        <v>4.0000000000000009</v>
      </c>
      <c r="DP9" s="17">
        <f>DO9*VLOOKUP('Données projet'!$B$14,Paramètres!$A$1:$I$89,3,0)*VLOOKUP('Données projet'!$B$14,Paramètres!$A$1:$I$89,5,0)</f>
        <v>1.8720000000000003</v>
      </c>
      <c r="DQ9" s="13">
        <f t="shared" si="43"/>
        <v>0.80197625342459578</v>
      </c>
      <c r="DR9" s="20">
        <f t="shared" si="16"/>
        <v>4.6571753080478384</v>
      </c>
      <c r="DS9" s="59">
        <f t="shared" si="17"/>
        <v>297.99050864138115</v>
      </c>
      <c r="DT9" s="59">
        <f ca="1">AVERAGE(OFFSET($DS$3,0,0,'Données projet'!$E$14+1,1))-AVERAGE(OFFSET($H$3,0,0,'Données projet'!$E$14+1,1))</f>
        <v>304.29617570272939</v>
      </c>
      <c r="DU9" s="59">
        <f t="shared" si="44"/>
        <v>246.20695736161576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3.8</v>
      </c>
      <c r="EJ9" s="12">
        <f>IF('Données projet'!$A$192&gt;35,EJ8+EI9-ER8,IF(A9&lt;'Données projet'!$A$192,$EG$205^A9,IF(A9='Données projet'!$A$192,'Données projet'!$B$192,EJ8+EI9-ER8)))</f>
        <v>5.0390647890332865</v>
      </c>
      <c r="EK9" s="17">
        <f>EJ9*VLOOKUP('Données projet'!$B$15,Paramètres!$A$1:$I$89,3,0)*VLOOKUP('Données projet'!$B$15,Paramètres!$A$1:$I$89,5,0)</f>
        <v>3.0133607438419054</v>
      </c>
      <c r="EL9" s="13">
        <f t="shared" si="45"/>
        <v>1.2213542276452829</v>
      </c>
      <c r="EM9" s="20">
        <f t="shared" si="19"/>
        <v>7.3754619086735183</v>
      </c>
      <c r="EN9" s="59">
        <f t="shared" si="20"/>
        <v>300.70879524200683</v>
      </c>
      <c r="EO9" s="59">
        <f ca="1">AVERAGE(OFFSET($EN$3,0,0,'Données projet'!$E$15+1,1))-AVERAGE(OFFSET($H$3,0,0,'Données projet'!$E$15+1,1))</f>
        <v>288.41846134875794</v>
      </c>
      <c r="EP9" s="59">
        <f t="shared" si="46"/>
        <v>248.93951719818972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2.6666666666666665</v>
      </c>
      <c r="FE9" s="12">
        <f>IF('Données projet'!$A$218&gt;35,FE8+FD9-FM8,IF(A9&lt;'Données projet'!$A$218,$FB$205^A9,IF(A9='Données projet'!$A$218,'Données projet'!$B$218,FE8+FD9-FM8)))</f>
        <v>4.3734482957731098</v>
      </c>
      <c r="FF9" s="17">
        <f>FE9*VLOOKUP('Données projet'!$B$16,Paramètres!$A$1:$I$89,3,0)*VLOOKUP('Données projet'!$B$16,Paramètres!$A$1:$I$89,5,0)</f>
        <v>1.9899189745767647</v>
      </c>
      <c r="FG9" s="13">
        <f t="shared" si="47"/>
        <v>0.84645333081891905</v>
      </c>
      <c r="FH9" s="20">
        <f t="shared" si="22"/>
        <v>4.9400150985641487</v>
      </c>
      <c r="FI9" s="59">
        <f t="shared" si="23"/>
        <v>298.27334843189749</v>
      </c>
      <c r="FJ9" s="59">
        <f ca="1">AVERAGE(OFFSET($FI$3,0,0,'Données projet'!$E$16+1,1))-AVERAGE(OFFSET($H$3,0,0,'Données projet'!$E$16+1,1))</f>
        <v>367.36535411813264</v>
      </c>
      <c r="FK9" s="59">
        <f t="shared" si="48"/>
        <v>293.19545174980556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4.8</v>
      </c>
      <c r="FZ9" s="12">
        <f>IF('Données projet'!$A$244&gt;35,FZ8+FY9-GH8,IF(A9&lt;'Données projet'!$A$244,$FW$205^A9,IF(A9='Données projet'!$A$244,'Données projet'!$B$244,FZ8+FY9-GH8)))</f>
        <v>3.9326144432748684</v>
      </c>
      <c r="GA9" s="17">
        <f>FZ9*VLOOKUP('Données projet'!$B$17,Paramètres!$A$1:$I$89,3,0)*VLOOKUP('Données projet'!$B$17,Paramètres!$A$1:$I$89,5,0)</f>
        <v>1.8915875472152117</v>
      </c>
      <c r="GB9" s="13">
        <f t="shared" si="49"/>
        <v>0.80938641877976369</v>
      </c>
      <c r="GC9" s="20">
        <f t="shared" si="25"/>
        <v>4.7041963241079152</v>
      </c>
      <c r="GD9" s="59">
        <f t="shared" si="26"/>
        <v>298.03752965744121</v>
      </c>
      <c r="GE9" s="59">
        <f ca="1">AVERAGE(OFFSET($GD$3,0,0,'Données projet'!$E$17+1,1))-AVERAGE(OFFSET($H$3,0,0,'Données projet'!$E$17+1,1))</f>
        <v>312.64506496298173</v>
      </c>
      <c r="GF9" s="59">
        <f t="shared" si="50"/>
        <v>259.97532509897508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2.1</v>
      </c>
      <c r="GU9" s="12">
        <f>IF('Données projet'!$A$270&gt;35,GU8+GT9-HC8,IF(A9&lt;'Données projet'!$A$270,$GR$205^A9,IF(A9='Données projet'!$A$270,'Données projet'!$B$270,GU8+GT9-HC8)))</f>
        <v>3.0688438220956993</v>
      </c>
      <c r="GV9" s="17">
        <f>GU9*VLOOKUP('Données projet'!$B$18,Paramètres!$A$1:$I$89,3,0)*VLOOKUP('Données projet'!$B$18,Paramètres!$A$1:$I$89,5,0)</f>
        <v>3.111807635605039</v>
      </c>
      <c r="GW9" s="13">
        <f t="shared" si="51"/>
        <v>1.2565452240335246</v>
      </c>
      <c r="GX9" s="20">
        <f t="shared" si="28"/>
        <v>7.6082145638704972</v>
      </c>
      <c r="GY9" s="59">
        <f t="shared" si="29"/>
        <v>300.9415478972038</v>
      </c>
      <c r="GZ9" s="59">
        <f ca="1">AVERAGE(OFFSET($GY$3,0,0,'Données projet'!$E$18+1,1))-AVERAGE(OFFSET($H$3,0,0,'Données projet'!$E$18+1,1))</f>
        <v>308.80022073574963</v>
      </c>
      <c r="HA9" s="59">
        <f t="shared" si="52"/>
        <v>183.96267407004115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344.49457749226184</v>
      </c>
      <c r="T10" s="59">
        <f t="shared" si="34"/>
        <v>207.92972431357452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1.2</v>
      </c>
      <c r="AI10" s="13">
        <f>IF('Données projet'!$A$62&gt;35,AI9+AH10-AQ9,IF(A10&lt;'Données projet'!$A$62,$AF$205^A10,IF(A10='Données projet'!$A$62,'Données projet'!$B$62,AI9+AH10-AQ9)))</f>
        <v>2.5917550374450604</v>
      </c>
      <c r="AJ10" s="13">
        <f>AI10*VLOOKUP('Données projet'!$B$10,Paramètres!$A$1:$I$89,3,0)*VLOOKUP('Données projet'!$B$10,Paramètres!$A$1:$I$89,5,0)</f>
        <v>2.3450199578802908</v>
      </c>
      <c r="AK10" s="13">
        <f t="shared" si="35"/>
        <v>0.97861879064669866</v>
      </c>
      <c r="AL10" s="20">
        <f t="shared" si="4"/>
        <v>5.7886708203511725</v>
      </c>
      <c r="AM10" s="59">
        <f t="shared" si="5"/>
        <v>299.12200415368449</v>
      </c>
      <c r="AN10" s="59">
        <f ca="1">AVERAGE(OFFSET($AM$3,0,0,'Données projet'!$E$10+1,1))-AVERAGE(OFFSET($H$3,0,0,'Données projet'!$E$10+1,1))</f>
        <v>183.0147113277086</v>
      </c>
      <c r="AO10" s="59">
        <f t="shared" si="36"/>
        <v>76.413905647258389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279.49721661620544</v>
      </c>
      <c r="BJ10" s="59">
        <f t="shared" si="38"/>
        <v>275.18739333988754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303.71299159350212</v>
      </c>
      <c r="CD10" s="59">
        <f ca="1">AVERAGE(OFFSET($CC$3,0,0,'Données projet'!$E$12+1,1))-AVERAGE(OFFSET($H$3,0,0,'Données projet'!$E$12+1,1))</f>
        <v>225.2323446080772</v>
      </c>
      <c r="CE10" s="59">
        <f t="shared" si="40"/>
        <v>222.29030402759292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3.0011441800140748</v>
      </c>
      <c r="CV10" s="13">
        <f t="shared" si="41"/>
        <v>1.2169780201646656</v>
      </c>
      <c r="CW10" s="20">
        <f t="shared" si="13"/>
        <v>7.3465628319779723</v>
      </c>
      <c r="CX10" s="59">
        <f t="shared" si="14"/>
        <v>300.67989616531128</v>
      </c>
      <c r="CY10" s="59">
        <f ca="1">AVERAGE(OFFSET($CX$3,0,0,'Données projet'!$E$13+1,1))-AVERAGE(OFFSET($H$3,0,0,'Données projet'!$E$13+1,1))</f>
        <v>240.57184010337932</v>
      </c>
      <c r="CZ10" s="59">
        <f t="shared" si="42"/>
        <v>236.36473521227072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2.1333333333333333</v>
      </c>
      <c r="DO10" s="12">
        <f>IF('Données projet'!$A$166&gt;35,DO9+DN10-DW9,IF(A10&lt;'Données projet'!$A$166,$DL$205^A10,IF(A10='Données projet'!$A$166,'Données projet'!$B$166,DO9+DN10-DW9)))</f>
        <v>5.0396841995794937</v>
      </c>
      <c r="DP10" s="17">
        <f>DO10*VLOOKUP('Données projet'!$B$14,Paramètres!$A$1:$I$89,3,0)*VLOOKUP('Données projet'!$B$14,Paramètres!$A$1:$I$89,5,0)</f>
        <v>2.358572205403203</v>
      </c>
      <c r="DQ10" s="13">
        <f t="shared" si="43"/>
        <v>0.98361439752162472</v>
      </c>
      <c r="DR10" s="20">
        <f t="shared" si="16"/>
        <v>5.8209750000940756</v>
      </c>
      <c r="DS10" s="59">
        <f t="shared" si="17"/>
        <v>299.15430833342737</v>
      </c>
      <c r="DT10" s="59">
        <f ca="1">AVERAGE(OFFSET($DS$3,0,0,'Données projet'!$E$14+1,1))-AVERAGE(OFFSET($H$3,0,0,'Données projet'!$E$14+1,1))</f>
        <v>304.29617570272939</v>
      </c>
      <c r="DU10" s="59">
        <f t="shared" si="44"/>
        <v>246.20695736161576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3.8</v>
      </c>
      <c r="EJ10" s="12">
        <f>IF('Données projet'!$A$192&gt;35,EJ9+EI10-ER9,IF(A10&lt;'Données projet'!$A$192,$EG$205^A10,IF(A10='Données projet'!$A$192,'Données projet'!$B$192,EJ9+EI10-ER9)))</f>
        <v>6.5979385433234325</v>
      </c>
      <c r="EK10" s="17">
        <f>EJ10*VLOOKUP('Données projet'!$B$15,Paramètres!$A$1:$I$89,3,0)*VLOOKUP('Données projet'!$B$15,Paramètres!$A$1:$I$89,5,0)</f>
        <v>3.9455672489074129</v>
      </c>
      <c r="EL10" s="13">
        <f t="shared" si="45"/>
        <v>1.5497954262191154</v>
      </c>
      <c r="EM10" s="20">
        <f t="shared" si="19"/>
        <v>9.5710899925120358</v>
      </c>
      <c r="EN10" s="59">
        <f t="shared" si="20"/>
        <v>302.90442332584536</v>
      </c>
      <c r="EO10" s="59">
        <f ca="1">AVERAGE(OFFSET($EN$3,0,0,'Données projet'!$E$15+1,1))-AVERAGE(OFFSET($H$3,0,0,'Données projet'!$E$15+1,1))</f>
        <v>288.41846134875794</v>
      </c>
      <c r="EP10" s="59">
        <f t="shared" si="46"/>
        <v>248.93951719818972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2.6666666666666665</v>
      </c>
      <c r="FE10" s="12">
        <f>IF('Données projet'!$A$218&gt;35,FE9+FD10-FM9,IF(A10&lt;'Données projet'!$A$218,$FB$205^A10,IF(A10='Données projet'!$A$218,'Données projet'!$B$218,FE9+FD10-FM9)))</f>
        <v>5.5927833467405659</v>
      </c>
      <c r="FF10" s="17">
        <f>FE10*VLOOKUP('Données projet'!$B$16,Paramètres!$A$1:$I$89,3,0)*VLOOKUP('Données projet'!$B$16,Paramètres!$A$1:$I$89,5,0)</f>
        <v>2.5447164227669572</v>
      </c>
      <c r="FG10" s="13">
        <f t="shared" si="47"/>
        <v>1.0519013977155636</v>
      </c>
      <c r="FH10" s="20">
        <f t="shared" si="22"/>
        <v>6.2641093706737232</v>
      </c>
      <c r="FI10" s="59">
        <f t="shared" si="23"/>
        <v>299.59744270400705</v>
      </c>
      <c r="FJ10" s="59">
        <f ca="1">AVERAGE(OFFSET($FI$3,0,0,'Données projet'!$E$16+1,1))-AVERAGE(OFFSET($H$3,0,0,'Données projet'!$E$16+1,1))</f>
        <v>367.36535411813264</v>
      </c>
      <c r="FK10" s="59">
        <f t="shared" si="48"/>
        <v>293.19545174980556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4.8</v>
      </c>
      <c r="FZ10" s="12">
        <f>IF('Données projet'!$A$244&gt;35,FZ9+FY10-GH9,IF(A10&lt;'Données projet'!$A$244,$FW$205^A10,IF(A10='Données projet'!$A$244,'Données projet'!$B$244,FZ9+FY10-GH9)))</f>
        <v>4.9407733474474309</v>
      </c>
      <c r="GA10" s="17">
        <f>FZ10*VLOOKUP('Données projet'!$B$17,Paramètres!$A$1:$I$89,3,0)*VLOOKUP('Données projet'!$B$17,Paramètres!$A$1:$I$89,5,0)</f>
        <v>2.3765119801222143</v>
      </c>
      <c r="GB10" s="13">
        <f t="shared" si="49"/>
        <v>0.99022219370527698</v>
      </c>
      <c r="GC10" s="20">
        <f t="shared" si="25"/>
        <v>5.8637286860828803</v>
      </c>
      <c r="GD10" s="59">
        <f t="shared" si="26"/>
        <v>299.19706201941619</v>
      </c>
      <c r="GE10" s="59">
        <f ca="1">AVERAGE(OFFSET($GD$3,0,0,'Données projet'!$E$17+1,1))-AVERAGE(OFFSET($H$3,0,0,'Données projet'!$E$17+1,1))</f>
        <v>312.64506496298173</v>
      </c>
      <c r="GF10" s="59">
        <f t="shared" si="50"/>
        <v>259.97532509897508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2.1</v>
      </c>
      <c r="GU10" s="12">
        <f>IF('Données projet'!$A$270&gt;35,GU9+GT10-HC9,IF(A10&lt;'Données projet'!$A$270,$GR$205^A10,IF(A10='Données projet'!$A$270,'Données projet'!$B$270,GU9+GT10-HC9)))</f>
        <v>3.6994507637402658</v>
      </c>
      <c r="GV10" s="17">
        <f>GU10*VLOOKUP('Données projet'!$B$18,Paramètres!$A$1:$I$89,3,0)*VLOOKUP('Données projet'!$B$18,Paramètres!$A$1:$I$89,5,0)</f>
        <v>3.7512430744326299</v>
      </c>
      <c r="GW10" s="13">
        <f t="shared" si="51"/>
        <v>1.4821538192545303</v>
      </c>
      <c r="GX10" s="20">
        <f t="shared" si="28"/>
        <v>9.1148329231718037</v>
      </c>
      <c r="GY10" s="59">
        <f t="shared" si="29"/>
        <v>302.44816625650515</v>
      </c>
      <c r="GZ10" s="59">
        <f ca="1">AVERAGE(OFFSET($GY$3,0,0,'Données projet'!$E$18+1,1))-AVERAGE(OFFSET($H$3,0,0,'Données projet'!$E$18+1,1))</f>
        <v>308.80022073574963</v>
      </c>
      <c r="HA10" s="59">
        <f t="shared" si="52"/>
        <v>183.96267407004115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344.49457749226184</v>
      </c>
      <c r="T11" s="59">
        <f t="shared" si="34"/>
        <v>207.92972431357452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1.2</v>
      </c>
      <c r="AI11" s="13">
        <f>IF('Données projet'!$A$62&gt;35,AI10+AH11-AQ10,IF(A11&lt;'Données projet'!$A$62,$AF$205^A11,IF(A11='Données projet'!$A$62,'Données projet'!$B$62,AI10+AH11-AQ10)))</f>
        <v>2.9694690391391689</v>
      </c>
      <c r="AJ11" s="13">
        <f>AI11*VLOOKUP('Données projet'!$B$10,Paramètres!$A$1:$I$89,3,0)*VLOOKUP('Données projet'!$B$10,Paramètres!$A$1:$I$89,5,0)</f>
        <v>2.6867755866131198</v>
      </c>
      <c r="AK11" s="13">
        <f t="shared" si="35"/>
        <v>1.1036234607382931</v>
      </c>
      <c r="AL11" s="20">
        <f t="shared" si="4"/>
        <v>6.6016116741370441</v>
      </c>
      <c r="AM11" s="59">
        <f t="shared" si="5"/>
        <v>299.93494500747033</v>
      </c>
      <c r="AN11" s="59">
        <f ca="1">AVERAGE(OFFSET($AM$3,0,0,'Données projet'!$E$10+1,1))-AVERAGE(OFFSET($H$3,0,0,'Données projet'!$E$10+1,1))</f>
        <v>183.0147113277086</v>
      </c>
      <c r="AO11" s="59">
        <f t="shared" si="36"/>
        <v>76.413905647258389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279.49721661620544</v>
      </c>
      <c r="BJ11" s="59">
        <f t="shared" si="38"/>
        <v>275.18739333988754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306.43589195388444</v>
      </c>
      <c r="CD11" s="59">
        <f ca="1">AVERAGE(OFFSET($CC$3,0,0,'Données projet'!$E$12+1,1))-AVERAGE(OFFSET($H$3,0,0,'Données projet'!$E$12+1,1))</f>
        <v>225.2323446080772</v>
      </c>
      <c r="CE11" s="59">
        <f t="shared" si="40"/>
        <v>222.29030402759292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3.474585696163087</v>
      </c>
      <c r="CV11" s="13">
        <f t="shared" si="41"/>
        <v>1.3851409853585355</v>
      </c>
      <c r="CW11" s="20">
        <f t="shared" si="13"/>
        <v>8.4640239703168252</v>
      </c>
      <c r="CX11" s="59">
        <f t="shared" si="14"/>
        <v>301.79735730365013</v>
      </c>
      <c r="CY11" s="59">
        <f ca="1">AVERAGE(OFFSET($CX$3,0,0,'Données projet'!$E$13+1,1))-AVERAGE(OFFSET($H$3,0,0,'Données projet'!$E$13+1,1))</f>
        <v>240.57184010337932</v>
      </c>
      <c r="CZ11" s="59">
        <f t="shared" si="42"/>
        <v>236.36473521227072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2.1333333333333333</v>
      </c>
      <c r="DO11" s="12">
        <f>IF('Données projet'!$A$166&gt;35,DO10+DN11-DW10,IF(A11&lt;'Données projet'!$A$166,$DL$205^A11,IF(A11='Données projet'!$A$166,'Données projet'!$B$166,DO10+DN11-DW10)))</f>
        <v>6.3496042078728001</v>
      </c>
      <c r="DP11" s="17">
        <f>DO11*VLOOKUP('Données projet'!$B$14,Paramètres!$A$1:$I$89,3,0)*VLOOKUP('Données projet'!$B$14,Paramètres!$A$1:$I$89,5,0)</f>
        <v>2.9716147692844701</v>
      </c>
      <c r="DQ11" s="13">
        <f t="shared" si="43"/>
        <v>1.2063914347593534</v>
      </c>
      <c r="DR11" s="20">
        <f t="shared" si="16"/>
        <v>7.2766941387096589</v>
      </c>
      <c r="DS11" s="59">
        <f t="shared" si="17"/>
        <v>300.61002747204299</v>
      </c>
      <c r="DT11" s="59">
        <f ca="1">AVERAGE(OFFSET($DS$3,0,0,'Données projet'!$E$14+1,1))-AVERAGE(OFFSET($H$3,0,0,'Données projet'!$E$14+1,1))</f>
        <v>304.29617570272939</v>
      </c>
      <c r="DU11" s="59">
        <f t="shared" si="44"/>
        <v>246.20695736161576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3.8</v>
      </c>
      <c r="EJ11" s="12">
        <f>IF('Données projet'!$A$192&gt;35,EJ10+EI11-ER10,IF(A11&lt;'Données projet'!$A$192,$EG$205^A11,IF(A11='Données projet'!$A$192,'Données projet'!$B$192,EJ10+EI11-ER10)))</f>
        <v>8.6390619775747002</v>
      </c>
      <c r="EK11" s="17">
        <f>EJ11*VLOOKUP('Données projet'!$B$15,Paramètres!$A$1:$I$89,3,0)*VLOOKUP('Données projet'!$B$15,Paramètres!$A$1:$I$89,5,0)</f>
        <v>5.1661590625896716</v>
      </c>
      <c r="EL11" s="13">
        <f t="shared" si="45"/>
        <v>1.9665595850602504</v>
      </c>
      <c r="EM11" s="20">
        <f t="shared" si="19"/>
        <v>12.422818311323612</v>
      </c>
      <c r="EN11" s="59">
        <f t="shared" si="20"/>
        <v>305.75615164465694</v>
      </c>
      <c r="EO11" s="59">
        <f ca="1">AVERAGE(OFFSET($EN$3,0,0,'Données projet'!$E$15+1,1))-AVERAGE(OFFSET($H$3,0,0,'Données projet'!$E$15+1,1))</f>
        <v>288.41846134875794</v>
      </c>
      <c r="EP11" s="59">
        <f t="shared" si="46"/>
        <v>248.93951719818972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2.6666666666666665</v>
      </c>
      <c r="FE11" s="12">
        <f>IF('Données projet'!$A$218&gt;35,FE10+FD11-FM10,IF(A11&lt;'Données projet'!$A$218,$FB$205^A11,IF(A11='Données projet'!$A$218,'Données projet'!$B$218,FE10+FD11-FM10)))</f>
        <v>7.1520739352994367</v>
      </c>
      <c r="FF11" s="17">
        <f>FE11*VLOOKUP('Données projet'!$B$16,Paramètres!$A$1:$I$89,3,0)*VLOOKUP('Données projet'!$B$16,Paramètres!$A$1:$I$89,5,0)</f>
        <v>3.2541936405612435</v>
      </c>
      <c r="FG11" s="13">
        <f t="shared" si="47"/>
        <v>1.3072150704935532</v>
      </c>
      <c r="FH11" s="20">
        <f t="shared" si="22"/>
        <v>7.944453505087103</v>
      </c>
      <c r="FI11" s="59">
        <f t="shared" si="23"/>
        <v>301.27778683842041</v>
      </c>
      <c r="FJ11" s="59">
        <f ca="1">AVERAGE(OFFSET($FI$3,0,0,'Données projet'!$E$16+1,1))-AVERAGE(OFFSET($H$3,0,0,'Données projet'!$E$16+1,1))</f>
        <v>367.36535411813264</v>
      </c>
      <c r="FK11" s="59">
        <f t="shared" si="48"/>
        <v>293.19545174980556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4.8</v>
      </c>
      <c r="FZ11" s="12">
        <f>IF('Données projet'!$A$244&gt;35,FZ10+FY11-GH10,IF(A11&lt;'Données projet'!$A$244,$FW$205^A11,IF(A11='Données projet'!$A$244,'Données projet'!$B$244,FZ10+FY11-GH10)))</f>
        <v>6.2073822956614393</v>
      </c>
      <c r="GA11" s="17">
        <f>FZ11*VLOOKUP('Données projet'!$B$17,Paramètres!$A$1:$I$89,3,0)*VLOOKUP('Données projet'!$B$17,Paramètres!$A$1:$I$89,5,0)</f>
        <v>2.9857508842131524</v>
      </c>
      <c r="GB11" s="13">
        <f t="shared" si="49"/>
        <v>1.2114608920480276</v>
      </c>
      <c r="GC11" s="20">
        <f t="shared" si="25"/>
        <v>7.3101438436548882</v>
      </c>
      <c r="GD11" s="59">
        <f t="shared" si="26"/>
        <v>300.6434771769882</v>
      </c>
      <c r="GE11" s="59">
        <f ca="1">AVERAGE(OFFSET($GD$3,0,0,'Données projet'!$E$17+1,1))-AVERAGE(OFFSET($H$3,0,0,'Données projet'!$E$17+1,1))</f>
        <v>312.64506496298173</v>
      </c>
      <c r="GF11" s="59">
        <f t="shared" si="50"/>
        <v>259.97532509897508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2.1</v>
      </c>
      <c r="GU11" s="12">
        <f>IF('Données projet'!$A$270&gt;35,GU10+GT11-HC10,IF(A11&lt;'Données projet'!$A$270,$GR$205^A11,IF(A11='Données projet'!$A$270,'Données projet'!$B$270,GU10+GT11-HC10)))</f>
        <v>4.4596391171162209</v>
      </c>
      <c r="GV11" s="17">
        <f>GU11*VLOOKUP('Données projet'!$B$18,Paramètres!$A$1:$I$89,3,0)*VLOOKUP('Données projet'!$B$18,Paramètres!$A$1:$I$89,5,0)</f>
        <v>4.5220740647558486</v>
      </c>
      <c r="GW11" s="13">
        <f t="shared" si="51"/>
        <v>1.7482697016499746</v>
      </c>
      <c r="GX11" s="20">
        <f t="shared" si="28"/>
        <v>10.92084872649014</v>
      </c>
      <c r="GY11" s="59">
        <f t="shared" si="29"/>
        <v>304.25418205982345</v>
      </c>
      <c r="GZ11" s="59">
        <f ca="1">AVERAGE(OFFSET($GY$3,0,0,'Données projet'!$E$18+1,1))-AVERAGE(OFFSET($H$3,0,0,'Données projet'!$E$18+1,1))</f>
        <v>308.80022073574963</v>
      </c>
      <c r="HA11" s="59">
        <f t="shared" si="52"/>
        <v>183.96267407004115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344.49457749226184</v>
      </c>
      <c r="T12" s="59">
        <f t="shared" si="34"/>
        <v>207.92972431357452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1.2</v>
      </c>
      <c r="AI12" s="13">
        <f>IF('Données projet'!$A$62&gt;35,AI11+AH12-AQ11,IF(A12&lt;'Données projet'!$A$62,$AF$205^A12,IF(A12='Données projet'!$A$62,'Données projet'!$B$62,AI11+AH12-AQ11)))</f>
        <v>3.4022298585357786</v>
      </c>
      <c r="AJ12" s="13">
        <f>AI12*VLOOKUP('Données projet'!$B$10,Paramètres!$A$1:$I$89,3,0)*VLOOKUP('Données projet'!$B$10,Paramètres!$A$1:$I$89,5,0)</f>
        <v>3.0783375760031726</v>
      </c>
      <c r="AK12" s="13">
        <f t="shared" si="35"/>
        <v>1.2445957044081368</v>
      </c>
      <c r="AL12" s="20">
        <f t="shared" si="4"/>
        <v>7.5291087967163621</v>
      </c>
      <c r="AM12" s="59">
        <f t="shared" si="5"/>
        <v>300.86244213004966</v>
      </c>
      <c r="AN12" s="59">
        <f ca="1">AVERAGE(OFFSET($AM$3,0,0,'Données projet'!$E$10+1,1))-AVERAGE(OFFSET($H$3,0,0,'Données projet'!$E$10+1,1))</f>
        <v>183.0147113277086</v>
      </c>
      <c r="AO12" s="59">
        <f t="shared" si="36"/>
        <v>76.413905647258389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279.49721661620544</v>
      </c>
      <c r="BJ12" s="59">
        <f t="shared" si="38"/>
        <v>275.18739333988754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309.87567798011776</v>
      </c>
      <c r="CD12" s="59">
        <f ca="1">AVERAGE(OFFSET($CC$3,0,0,'Données projet'!$E$12+1,1))-AVERAGE(OFFSET($H$3,0,0,'Données projet'!$E$12+1,1))</f>
        <v>225.2323446080772</v>
      </c>
      <c r="CE12" s="59">
        <f t="shared" si="40"/>
        <v>222.29030402759292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4.0227143502064289</v>
      </c>
      <c r="CV12" s="13">
        <f t="shared" si="41"/>
        <v>1.576540839299968</v>
      </c>
      <c r="CW12" s="20">
        <f t="shared" si="13"/>
        <v>9.7520361217236395</v>
      </c>
      <c r="CX12" s="59">
        <f t="shared" si="14"/>
        <v>303.08536945505693</v>
      </c>
      <c r="CY12" s="59">
        <f ca="1">AVERAGE(OFFSET($CX$3,0,0,'Données projet'!$E$13+1,1))-AVERAGE(OFFSET($H$3,0,0,'Données projet'!$E$13+1,1))</f>
        <v>240.57184010337932</v>
      </c>
      <c r="CZ12" s="59">
        <f t="shared" si="42"/>
        <v>236.36473521227072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2.1333333333333333</v>
      </c>
      <c r="DO12" s="12">
        <f>IF('Données projet'!$A$166&gt;35,DO11+DN12-DW11,IF(A12&lt;'Données projet'!$A$166,$DL$205^A12,IF(A12='Données projet'!$A$166,'Données projet'!$B$166,DO11+DN12-DW11)))</f>
        <v>8.0000000000000036</v>
      </c>
      <c r="DP12" s="17">
        <f>DO12*VLOOKUP('Données projet'!$B$14,Paramètres!$A$1:$I$89,3,0)*VLOOKUP('Données projet'!$B$14,Paramètres!$A$1:$I$89,5,0)</f>
        <v>3.7440000000000015</v>
      </c>
      <c r="DQ12" s="13">
        <f t="shared" si="43"/>
        <v>1.4796248382778829</v>
      </c>
      <c r="DR12" s="20">
        <f t="shared" si="16"/>
        <v>9.0978132600006472</v>
      </c>
      <c r="DS12" s="59">
        <f t="shared" si="17"/>
        <v>302.43114659333395</v>
      </c>
      <c r="DT12" s="59">
        <f ca="1">AVERAGE(OFFSET($DS$3,0,0,'Données projet'!$E$14+1,1))-AVERAGE(OFFSET($H$3,0,0,'Données projet'!$E$14+1,1))</f>
        <v>304.29617570272939</v>
      </c>
      <c r="DU12" s="59">
        <f t="shared" si="44"/>
        <v>246.20695736161576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3.8</v>
      </c>
      <c r="EJ12" s="12">
        <f>IF('Données projet'!$A$192&gt;35,EJ11+EI12-ER11,IF(A12&lt;'Données projet'!$A$192,$EG$205^A12,IF(A12='Données projet'!$A$192,'Données projet'!$B$192,EJ11+EI12-ER11)))</f>
        <v>11.311622768584241</v>
      </c>
      <c r="EK12" s="17">
        <f>EJ12*VLOOKUP('Données projet'!$B$15,Paramètres!$A$1:$I$89,3,0)*VLOOKUP('Données projet'!$B$15,Paramètres!$A$1:$I$89,5,0)</f>
        <v>6.7643504156133769</v>
      </c>
      <c r="EL12" s="13">
        <f t="shared" si="45"/>
        <v>2.4953981255623883</v>
      </c>
      <c r="EM12" s="20">
        <f t="shared" si="19"/>
        <v>16.127395375881125</v>
      </c>
      <c r="EN12" s="59">
        <f t="shared" si="20"/>
        <v>309.46072870921444</v>
      </c>
      <c r="EO12" s="59">
        <f ca="1">AVERAGE(OFFSET($EN$3,0,0,'Données projet'!$E$15+1,1))-AVERAGE(OFFSET($H$3,0,0,'Données projet'!$E$15+1,1))</f>
        <v>288.41846134875794</v>
      </c>
      <c r="EP12" s="59">
        <f t="shared" si="46"/>
        <v>248.93951719818972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2.6666666666666665</v>
      </c>
      <c r="FE12" s="12">
        <f>IF('Données projet'!$A$218&gt;35,FE11+FD12-FM11,IF(A12&lt;'Données projet'!$A$218,$FB$205^A12,IF(A12='Données projet'!$A$218,'Données projet'!$B$218,FE11+FD12-FM11)))</f>
        <v>9.1461010385465205</v>
      </c>
      <c r="FF12" s="17">
        <f>FE12*VLOOKUP('Données projet'!$B$16,Paramètres!$A$1:$I$89,3,0)*VLOOKUP('Données projet'!$B$16,Paramètres!$A$1:$I$89,5,0)</f>
        <v>4.1614759725386667</v>
      </c>
      <c r="FG12" s="13">
        <f t="shared" si="47"/>
        <v>1.6244975472382934</v>
      </c>
      <c r="FH12" s="20">
        <f t="shared" si="22"/>
        <v>10.077237213611538</v>
      </c>
      <c r="FI12" s="59">
        <f t="shared" si="23"/>
        <v>303.41057054694483</v>
      </c>
      <c r="FJ12" s="59">
        <f ca="1">AVERAGE(OFFSET($FI$3,0,0,'Données projet'!$E$16+1,1))-AVERAGE(OFFSET($H$3,0,0,'Données projet'!$E$16+1,1))</f>
        <v>367.36535411813264</v>
      </c>
      <c r="FK12" s="59">
        <f t="shared" si="48"/>
        <v>293.19545174980556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4.8</v>
      </c>
      <c r="FZ12" s="12">
        <f>IF('Données projet'!$A$244&gt;35,FZ11+FY12-GH11,IF(A12&lt;'Données projet'!$A$244,$FW$205^A12,IF(A12='Données projet'!$A$244,'Données projet'!$B$244,FZ11+FY12-GH11)))</f>
        <v>7.7986971380498149</v>
      </c>
      <c r="GA12" s="17">
        <f>FZ12*VLOOKUP('Données projet'!$B$17,Paramètres!$A$1:$I$89,3,0)*VLOOKUP('Données projet'!$B$17,Paramètres!$A$1:$I$89,5,0)</f>
        <v>3.7511733234019609</v>
      </c>
      <c r="GB12" s="13">
        <f t="shared" si="49"/>
        <v>1.4821294678016681</v>
      </c>
      <c r="GC12" s="20">
        <f t="shared" si="25"/>
        <v>9.1146690280129867</v>
      </c>
      <c r="GD12" s="59">
        <f t="shared" si="26"/>
        <v>302.44800236134631</v>
      </c>
      <c r="GE12" s="59">
        <f ca="1">AVERAGE(OFFSET($GD$3,0,0,'Données projet'!$E$17+1,1))-AVERAGE(OFFSET($H$3,0,0,'Données projet'!$E$17+1,1))</f>
        <v>312.64506496298173</v>
      </c>
      <c r="GF12" s="59">
        <f t="shared" si="50"/>
        <v>259.97532509897508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2.1</v>
      </c>
      <c r="GU12" s="12">
        <f>IF('Données projet'!$A$270&gt;35,GU11+GT12-HC11,IF(A12&lt;'Données projet'!$A$270,$GR$205^A12,IF(A12='Données projet'!$A$270,'Données projet'!$B$270,GU11+GT12-HC11)))</f>
        <v>5.3760361537574148</v>
      </c>
      <c r="GV12" s="17">
        <f>GU12*VLOOKUP('Données projet'!$B$18,Paramètres!$A$1:$I$89,3,0)*VLOOKUP('Données projet'!$B$18,Paramètres!$A$1:$I$89,5,0)</f>
        <v>5.4513006599100189</v>
      </c>
      <c r="GW12" s="13">
        <f t="shared" si="51"/>
        <v>2.062165822468125</v>
      </c>
      <c r="GX12" s="20">
        <f t="shared" si="28"/>
        <v>13.085954123475267</v>
      </c>
      <c r="GY12" s="59">
        <f t="shared" si="29"/>
        <v>306.4192874568086</v>
      </c>
      <c r="GZ12" s="59">
        <f ca="1">AVERAGE(OFFSET($GY$3,0,0,'Données projet'!$E$18+1,1))-AVERAGE(OFFSET($H$3,0,0,'Données projet'!$E$18+1,1))</f>
        <v>308.80022073574963</v>
      </c>
      <c r="HA12" s="59">
        <f t="shared" si="52"/>
        <v>183.96267407004115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344.49457749226184</v>
      </c>
      <c r="T13" s="59">
        <f t="shared" si="34"/>
        <v>207.92972431357452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1.2</v>
      </c>
      <c r="AI13" s="13">
        <f>IF('Données projet'!$A$62&gt;35,AI12+AH13-AQ12,IF(A13&lt;'Données projet'!$A$62,$AF$205^A13,IF(A13='Données projet'!$A$62,'Données projet'!$B$62,AI12+AH13-AQ12)))</f>
        <v>3.8980598409161908</v>
      </c>
      <c r="AJ13" s="13">
        <f>AI13*VLOOKUP('Données projet'!$B$10,Paramètres!$A$1:$I$89,3,0)*VLOOKUP('Données projet'!$B$10,Paramètres!$A$1:$I$89,5,0)</f>
        <v>3.5269645440609696</v>
      </c>
      <c r="AK13" s="13">
        <f t="shared" si="35"/>
        <v>1.403575152701934</v>
      </c>
      <c r="AL13" s="20">
        <f t="shared" si="4"/>
        <v>8.587356638528723</v>
      </c>
      <c r="AM13" s="59">
        <f t="shared" si="5"/>
        <v>301.92068997186203</v>
      </c>
      <c r="AN13" s="59">
        <f ca="1">AVERAGE(OFFSET($AM$3,0,0,'Données projet'!$E$10+1,1))-AVERAGE(OFFSET($H$3,0,0,'Données projet'!$E$10+1,1))</f>
        <v>183.0147113277086</v>
      </c>
      <c r="AO13" s="59">
        <f t="shared" si="36"/>
        <v>76.413905647258389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279.49721661620544</v>
      </c>
      <c r="BJ13" s="59">
        <f t="shared" si="38"/>
        <v>275.18739333988754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314.22172739361849</v>
      </c>
      <c r="CD13" s="59">
        <f ca="1">AVERAGE(OFFSET($CC$3,0,0,'Données projet'!$E$12+1,1))-AVERAGE(OFFSET($H$3,0,0,'Données projet'!$E$12+1,1))</f>
        <v>225.2323446080772</v>
      </c>
      <c r="CE13" s="59">
        <f t="shared" si="40"/>
        <v>222.29030402759292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4.6573123124366838</v>
      </c>
      <c r="CV13" s="13">
        <f t="shared" si="41"/>
        <v>1.7943884732695961</v>
      </c>
      <c r="CW13" s="20">
        <f t="shared" si="13"/>
        <v>11.236712201771768</v>
      </c>
      <c r="CX13" s="59">
        <f t="shared" si="14"/>
        <v>304.57004553510507</v>
      </c>
      <c r="CY13" s="59">
        <f ca="1">AVERAGE(OFFSET($CX$3,0,0,'Données projet'!$E$13+1,1))-AVERAGE(OFFSET($H$3,0,0,'Données projet'!$E$13+1,1))</f>
        <v>240.57184010337932</v>
      </c>
      <c r="CZ13" s="59">
        <f t="shared" si="42"/>
        <v>236.36473521227072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2.1333333333333333</v>
      </c>
      <c r="DO13" s="12">
        <f>IF('Données projet'!$A$166&gt;35,DO12+DN13-DW12,IF(A13&lt;'Données projet'!$A$166,$DL$205^A13,IF(A13='Données projet'!$A$166,'Données projet'!$B$166,DO12+DN13-DW12)))</f>
        <v>10.079368399158989</v>
      </c>
      <c r="DP13" s="17">
        <f>DO13*VLOOKUP('Données projet'!$B$14,Paramètres!$A$1:$I$89,3,0)*VLOOKUP('Données projet'!$B$14,Paramètres!$A$1:$I$89,5,0)</f>
        <v>4.7171444108064069</v>
      </c>
      <c r="DQ13" s="13">
        <f t="shared" si="43"/>
        <v>1.814742378774898</v>
      </c>
      <c r="DR13" s="20">
        <f t="shared" si="16"/>
        <v>11.376369491854106</v>
      </c>
      <c r="DS13" s="59">
        <f t="shared" si="17"/>
        <v>304.70970282518743</v>
      </c>
      <c r="DT13" s="59">
        <f ca="1">AVERAGE(OFFSET($DS$3,0,0,'Données projet'!$E$14+1,1))-AVERAGE(OFFSET($H$3,0,0,'Données projet'!$E$14+1,1))</f>
        <v>304.29617570272939</v>
      </c>
      <c r="DU13" s="59">
        <f t="shared" si="44"/>
        <v>246.20695736161576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3.8</v>
      </c>
      <c r="EJ13" s="12">
        <f>IF('Données projet'!$A$192&gt;35,EJ12+EI13-ER12,IF(A13&lt;'Données projet'!$A$192,$EG$205^A13,IF(A13='Données projet'!$A$192,'Données projet'!$B$192,EJ12+EI13-ER12)))</f>
        <v>14.81096095743886</v>
      </c>
      <c r="EK13" s="17">
        <f>EJ13*VLOOKUP('Données projet'!$B$15,Paramètres!$A$1:$I$89,3,0)*VLOOKUP('Données projet'!$B$15,Paramètres!$A$1:$I$89,5,0)</f>
        <v>8.8569546525484384</v>
      </c>
      <c r="EL13" s="13">
        <f t="shared" si="45"/>
        <v>3.1664495967303732</v>
      </c>
      <c r="EM13" s="20">
        <f t="shared" si="19"/>
        <v>20.940762400827264</v>
      </c>
      <c r="EN13" s="59">
        <f t="shared" si="20"/>
        <v>314.2740957341606</v>
      </c>
      <c r="EO13" s="59">
        <f ca="1">AVERAGE(OFFSET($EN$3,0,0,'Données projet'!$E$15+1,1))-AVERAGE(OFFSET($H$3,0,0,'Données projet'!$E$15+1,1))</f>
        <v>288.41846134875794</v>
      </c>
      <c r="EP13" s="59">
        <f t="shared" si="46"/>
        <v>248.93951719818972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2.6666666666666665</v>
      </c>
      <c r="FE13" s="12">
        <f>IF('Données projet'!$A$218&gt;35,FE12+FD13-FM12,IF(A13&lt;'Données projet'!$A$218,$FB$205^A13,IF(A13='Données projet'!$A$218,'Données projet'!$B$218,FE12+FD13-FM12)))</f>
        <v>11.696070952851455</v>
      </c>
      <c r="FF13" s="17">
        <f>FE13*VLOOKUP('Données projet'!$B$16,Paramètres!$A$1:$I$89,3,0)*VLOOKUP('Données projet'!$B$16,Paramètres!$A$1:$I$89,5,0)</f>
        <v>5.3217122835474129</v>
      </c>
      <c r="FG13" s="13">
        <f t="shared" si="47"/>
        <v>2.0187896701549279</v>
      </c>
      <c r="FH13" s="20">
        <f t="shared" si="22"/>
        <v>12.78470756936491</v>
      </c>
      <c r="FI13" s="59">
        <f t="shared" si="23"/>
        <v>306.11804090269823</v>
      </c>
      <c r="FJ13" s="59">
        <f ca="1">AVERAGE(OFFSET($FI$3,0,0,'Données projet'!$E$16+1,1))-AVERAGE(OFFSET($H$3,0,0,'Données projet'!$E$16+1,1))</f>
        <v>367.36535411813264</v>
      </c>
      <c r="FK13" s="59">
        <f t="shared" si="48"/>
        <v>293.19545174980556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4.8</v>
      </c>
      <c r="FZ13" s="12">
        <f>IF('Données projet'!$A$244&gt;35,FZ12+FY13-GH12,IF(A13&lt;'Données projet'!$A$244,$FW$205^A13,IF(A13='Données projet'!$A$244,'Données projet'!$B$244,FZ12+FY13-GH12)))</f>
        <v>9.7979589711327133</v>
      </c>
      <c r="GA13" s="17">
        <f>FZ13*VLOOKUP('Données projet'!$B$17,Paramètres!$A$1:$I$89,3,0)*VLOOKUP('Données projet'!$B$17,Paramètres!$A$1:$I$89,5,0)</f>
        <v>4.7128182651148354</v>
      </c>
      <c r="GB13" s="13">
        <f t="shared" si="49"/>
        <v>1.8132717067015065</v>
      </c>
      <c r="GC13" s="20">
        <f t="shared" si="25"/>
        <v>11.36627336758013</v>
      </c>
      <c r="GD13" s="59">
        <f t="shared" si="26"/>
        <v>304.69960670091342</v>
      </c>
      <c r="GE13" s="59">
        <f ca="1">AVERAGE(OFFSET($GD$3,0,0,'Données projet'!$E$17+1,1))-AVERAGE(OFFSET($H$3,0,0,'Données projet'!$E$17+1,1))</f>
        <v>312.64506496298173</v>
      </c>
      <c r="GF13" s="59">
        <f t="shared" si="50"/>
        <v>259.97532509897508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2.1</v>
      </c>
      <c r="GU13" s="12">
        <f>IF('Données projet'!$A$270&gt;35,GU12+GT13-HC12,IF(A13&lt;'Données projet'!$A$270,$GR$205^A13,IF(A13='Données projet'!$A$270,'Données projet'!$B$270,GU12+GT13-HC12)))</f>
        <v>6.4807406984078657</v>
      </c>
      <c r="GV13" s="17">
        <f>GU13*VLOOKUP('Données projet'!$B$18,Paramètres!$A$1:$I$89,3,0)*VLOOKUP('Données projet'!$B$18,Paramètres!$A$1:$I$89,5,0)</f>
        <v>6.5714710681855761</v>
      </c>
      <c r="GW13" s="13">
        <f t="shared" si="51"/>
        <v>2.4324209676242781</v>
      </c>
      <c r="GX13" s="20">
        <f t="shared" si="28"/>
        <v>15.681778629035497</v>
      </c>
      <c r="GY13" s="59">
        <f t="shared" si="29"/>
        <v>309.01511196236879</v>
      </c>
      <c r="GZ13" s="59">
        <f ca="1">AVERAGE(OFFSET($GY$3,0,0,'Données projet'!$E$18+1,1))-AVERAGE(OFFSET($H$3,0,0,'Données projet'!$E$18+1,1))</f>
        <v>308.80022073574963</v>
      </c>
      <c r="HA13" s="59">
        <f t="shared" si="52"/>
        <v>183.96267407004115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344.49457749226184</v>
      </c>
      <c r="T14" s="59">
        <f t="shared" si="34"/>
        <v>207.92972431357452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1.2</v>
      </c>
      <c r="AI14" s="13">
        <f>IF('Données projet'!$A$62&gt;35,AI13+AH14-AQ13,IF(A14&lt;'Données projet'!$A$62,$AF$205^A14,IF(A14='Données projet'!$A$62,'Données projet'!$B$62,AI13+AH14-AQ13)))</f>
        <v>4.4661504822319662</v>
      </c>
      <c r="AJ14" s="13">
        <f>AI14*VLOOKUP('Données projet'!$B$10,Paramètres!$A$1:$I$89,3,0)*VLOOKUP('Données projet'!$B$10,Paramètres!$A$1:$I$89,5,0)</f>
        <v>4.0409729563234826</v>
      </c>
      <c r="AK14" s="13">
        <f t="shared" si="35"/>
        <v>1.5828619706020071</v>
      </c>
      <c r="AL14" s="20">
        <f t="shared" si="4"/>
        <v>9.7948458310618953</v>
      </c>
      <c r="AM14" s="59">
        <f t="shared" si="5"/>
        <v>303.12817916439519</v>
      </c>
      <c r="AN14" s="59">
        <f ca="1">AVERAGE(OFFSET($AM$3,0,0,'Données projet'!$E$10+1,1))-AVERAGE(OFFSET($H$3,0,0,'Données projet'!$E$10+1,1))</f>
        <v>183.0147113277086</v>
      </c>
      <c r="AO14" s="59">
        <f t="shared" si="36"/>
        <v>76.413905647258389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17.344080000000002</v>
      </c>
      <c r="BF14" s="13">
        <f t="shared" si="37"/>
        <v>5.7341113912136308</v>
      </c>
      <c r="BG14" s="20">
        <f t="shared" si="7"/>
        <v>40.194516673030414</v>
      </c>
      <c r="BH14" s="59">
        <f t="shared" si="8"/>
        <v>333.52785000636374</v>
      </c>
      <c r="BI14" s="59">
        <f ca="1">AVERAGE(OFFSET($BH$3,0,0,'Données projet'!$E$11+1,1))-AVERAGE(OFFSET($H$3,0,0,'Données projet'!$E$11+1,1))</f>
        <v>279.49721661620544</v>
      </c>
      <c r="BJ14" s="59">
        <f t="shared" si="38"/>
        <v>275.18739333988754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319.71360113428284</v>
      </c>
      <c r="CD14" s="59">
        <f ca="1">AVERAGE(OFFSET($CC$3,0,0,'Données projet'!$E$12+1,1))-AVERAGE(OFFSET($H$3,0,0,'Données projet'!$E$12+1,1))</f>
        <v>225.2323446080772</v>
      </c>
      <c r="CE14" s="59">
        <f t="shared" si="40"/>
        <v>222.29030402759292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5.3920204337803064</v>
      </c>
      <c r="CV14" s="13">
        <f t="shared" si="41"/>
        <v>2.0423384619915681</v>
      </c>
      <c r="CW14" s="20">
        <f t="shared" si="13"/>
        <v>12.948175076802679</v>
      </c>
      <c r="CX14" s="59">
        <f t="shared" si="14"/>
        <v>306.28150841013598</v>
      </c>
      <c r="CY14" s="59">
        <f ca="1">AVERAGE(OFFSET($CX$3,0,0,'Données projet'!$E$13+1,1))-AVERAGE(OFFSET($H$3,0,0,'Données projet'!$E$13+1,1))</f>
        <v>240.57184010337932</v>
      </c>
      <c r="CZ14" s="59">
        <f t="shared" si="42"/>
        <v>236.36473521227072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2.1333333333333333</v>
      </c>
      <c r="DO14" s="12">
        <f>IF('Données projet'!$A$166&gt;35,DO13+DN14-DW13,IF(A14&lt;'Données projet'!$A$166,$DL$205^A14,IF(A14='Données projet'!$A$166,'Données projet'!$B$166,DO13+DN14-DW13)))</f>
        <v>12.6992084157456</v>
      </c>
      <c r="DP14" s="17">
        <f>DO14*VLOOKUP('Données projet'!$B$14,Paramètres!$A$1:$I$89,3,0)*VLOOKUP('Données projet'!$B$14,Paramètres!$A$1:$I$89,5,0)</f>
        <v>5.9432295385689402</v>
      </c>
      <c r="DQ14" s="13">
        <f t="shared" si="43"/>
        <v>2.2257600819641512</v>
      </c>
      <c r="DR14" s="20">
        <f t="shared" si="16"/>
        <v>14.227656922428466</v>
      </c>
      <c r="DS14" s="59">
        <f t="shared" si="17"/>
        <v>307.56099025576179</v>
      </c>
      <c r="DT14" s="59">
        <f ca="1">AVERAGE(OFFSET($DS$3,0,0,'Données projet'!$E$14+1,1))-AVERAGE(OFFSET($H$3,0,0,'Données projet'!$E$14+1,1))</f>
        <v>304.29617570272939</v>
      </c>
      <c r="DU14" s="59">
        <f t="shared" si="44"/>
        <v>246.20695736161576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3.8</v>
      </c>
      <c r="EJ14" s="12">
        <f>IF('Données projet'!$A$192&gt;35,EJ13+EI14-ER13,IF(A14&lt;'Données projet'!$A$192,$EG$205^A14,IF(A14='Données projet'!$A$192,'Données projet'!$B$192,EJ13+EI14-ER13)))</f>
        <v>19.392846541171725</v>
      </c>
      <c r="EK14" s="17">
        <f>EJ14*VLOOKUP('Données projet'!$B$15,Paramètres!$A$1:$I$89,3,0)*VLOOKUP('Données projet'!$B$15,Paramètres!$A$1:$I$89,5,0)</f>
        <v>11.596922231620692</v>
      </c>
      <c r="EL14" s="13">
        <f t="shared" si="45"/>
        <v>4.0179572734007305</v>
      </c>
      <c r="EM14" s="20">
        <f t="shared" si="19"/>
        <v>27.195915137912309</v>
      </c>
      <c r="EN14" s="59">
        <f t="shared" si="20"/>
        <v>320.52924847124564</v>
      </c>
      <c r="EO14" s="59">
        <f ca="1">AVERAGE(OFFSET($EN$3,0,0,'Données projet'!$E$15+1,1))-AVERAGE(OFFSET($H$3,0,0,'Données projet'!$E$15+1,1))</f>
        <v>288.41846134875794</v>
      </c>
      <c r="EP14" s="59">
        <f t="shared" si="46"/>
        <v>248.93951719818972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2.6666666666666665</v>
      </c>
      <c r="FE14" s="12">
        <f>IF('Données projet'!$A$218&gt;35,FE13+FD14-FM13,IF(A14&lt;'Données projet'!$A$218,$FB$205^A14,IF(A14='Données projet'!$A$218,'Données projet'!$B$218,FE13+FD14-FM13)))</f>
        <v>14.956982779612416</v>
      </c>
      <c r="FF14" s="17">
        <f>FE14*VLOOKUP('Données projet'!$B$16,Paramètres!$A$1:$I$89,3,0)*VLOOKUP('Données projet'!$B$16,Paramètres!$A$1:$I$89,5,0)</f>
        <v>6.8054271647236488</v>
      </c>
      <c r="FG14" s="13">
        <f t="shared" si="47"/>
        <v>2.5087829398405455</v>
      </c>
      <c r="FH14" s="20">
        <f t="shared" si="22"/>
        <v>16.222249265449303</v>
      </c>
      <c r="FI14" s="59">
        <f t="shared" si="23"/>
        <v>309.55558259878262</v>
      </c>
      <c r="FJ14" s="59">
        <f ca="1">AVERAGE(OFFSET($FI$3,0,0,'Données projet'!$E$16+1,1))-AVERAGE(OFFSET($H$3,0,0,'Données projet'!$E$16+1,1))</f>
        <v>367.36535411813264</v>
      </c>
      <c r="FK14" s="59">
        <f t="shared" si="48"/>
        <v>293.19545174980556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4.8</v>
      </c>
      <c r="FZ14" s="12">
        <f>IF('Données projet'!$A$244&gt;35,FZ13+FY14-GH13,IF(A14&lt;'Données projet'!$A$244,$FW$205^A14,IF(A14='Données projet'!$A$244,'Données projet'!$B$244,FZ13+FY14-GH13)))</f>
        <v>12.309748449085985</v>
      </c>
      <c r="GA14" s="17">
        <f>FZ14*VLOOKUP('Données projet'!$B$17,Paramètres!$A$1:$I$89,3,0)*VLOOKUP('Données projet'!$B$17,Paramètres!$A$1:$I$89,5,0)</f>
        <v>5.9209890040103588</v>
      </c>
      <c r="GB14" s="13">
        <f t="shared" si="49"/>
        <v>2.2183988334035152</v>
      </c>
      <c r="GC14" s="20">
        <f t="shared" si="25"/>
        <v>14.17610048349583</v>
      </c>
      <c r="GD14" s="59">
        <f t="shared" si="26"/>
        <v>307.50943381682913</v>
      </c>
      <c r="GE14" s="59">
        <f ca="1">AVERAGE(OFFSET($GD$3,0,0,'Données projet'!$E$17+1,1))-AVERAGE(OFFSET($H$3,0,0,'Données projet'!$E$17+1,1))</f>
        <v>312.64506496298173</v>
      </c>
      <c r="GF14" s="59">
        <f t="shared" si="50"/>
        <v>259.97532509897508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2.1</v>
      </c>
      <c r="GU14" s="12">
        <f>IF('Données projet'!$A$270&gt;35,GU13+GT14-HC13,IF(A14&lt;'Données projet'!$A$270,$GR$205^A14,IF(A14='Données projet'!$A$270,'Données projet'!$B$270,GU13+GT14-HC13)))</f>
        <v>7.8124474610620815</v>
      </c>
      <c r="GV14" s="17">
        <f>GU14*VLOOKUP('Données projet'!$B$18,Paramètres!$A$1:$I$89,3,0)*VLOOKUP('Données projet'!$B$18,Paramètres!$A$1:$I$89,5,0)</f>
        <v>7.921821725516951</v>
      </c>
      <c r="GW14" s="13">
        <f t="shared" si="51"/>
        <v>2.869154216054651</v>
      </c>
      <c r="GX14" s="20">
        <f t="shared" si="28"/>
        <v>18.794283098237205</v>
      </c>
      <c r="GY14" s="59">
        <f t="shared" si="29"/>
        <v>312.12761643157052</v>
      </c>
      <c r="GZ14" s="59">
        <f ca="1">AVERAGE(OFFSET($GY$3,0,0,'Données projet'!$E$18+1,1))-AVERAGE(OFFSET($H$3,0,0,'Données projet'!$E$18+1,1))</f>
        <v>308.80022073574963</v>
      </c>
      <c r="HA14" s="59">
        <f t="shared" si="52"/>
        <v>183.96267407004115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344.49457749226184</v>
      </c>
      <c r="T15" s="59">
        <f t="shared" si="34"/>
        <v>207.92972431357452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1.2</v>
      </c>
      <c r="AI15" s="13">
        <f>IF('Données projet'!$A$62&gt;35,AI14+AH15-AQ14,IF(A15&lt;'Données projet'!$A$62,$AF$205^A15,IF(A15='Données projet'!$A$62,'Données projet'!$B$62,AI14+AH15-AQ14)))</f>
        <v>5.1170328173444979</v>
      </c>
      <c r="AJ15" s="13">
        <f>AI15*VLOOKUP('Données projet'!$B$10,Paramètres!$A$1:$I$89,3,0)*VLOOKUP('Données projet'!$B$10,Paramètres!$A$1:$I$89,5,0)</f>
        <v>4.6298912931333014</v>
      </c>
      <c r="AK15" s="13">
        <f t="shared" si="35"/>
        <v>1.7850501365423737</v>
      </c>
      <c r="AL15" s="20">
        <f t="shared" si="4"/>
        <v>11.172689656685135</v>
      </c>
      <c r="AM15" s="59">
        <f t="shared" si="5"/>
        <v>304.50602299001844</v>
      </c>
      <c r="AN15" s="59">
        <f ca="1">AVERAGE(OFFSET($AM$3,0,0,'Données projet'!$E$10+1,1))-AVERAGE(OFFSET($H$3,0,0,'Données projet'!$E$10+1,1))</f>
        <v>183.0147113277086</v>
      </c>
      <c r="AO15" s="59">
        <f t="shared" si="36"/>
        <v>76.413905647258389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25.936560000000004</v>
      </c>
      <c r="BF15" s="13">
        <f t="shared" si="37"/>
        <v>8.1824816304360635</v>
      </c>
      <c r="BG15" s="20">
        <f t="shared" si="7"/>
        <v>59.423997506342801</v>
      </c>
      <c r="BH15" s="59">
        <f t="shared" si="8"/>
        <v>352.75733083967611</v>
      </c>
      <c r="BI15" s="59">
        <f ca="1">AVERAGE(OFFSET($BH$3,0,0,'Données projet'!$E$11+1,1))-AVERAGE(OFFSET($H$3,0,0,'Données projet'!$E$11+1,1))</f>
        <v>279.49721661620544</v>
      </c>
      <c r="BJ15" s="59">
        <f t="shared" si="38"/>
        <v>275.18739333988754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326.65437946934281</v>
      </c>
      <c r="CD15" s="59">
        <f ca="1">AVERAGE(OFFSET($CC$3,0,0,'Données projet'!$E$12+1,1))-AVERAGE(OFFSET($H$3,0,0,'Données projet'!$E$12+1,1))</f>
        <v>225.2323446080772</v>
      </c>
      <c r="CE15" s="59">
        <f t="shared" si="40"/>
        <v>222.29030402759292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6.2426314594936496</v>
      </c>
      <c r="CV15" s="13">
        <f t="shared" si="41"/>
        <v>2.3245503721553353</v>
      </c>
      <c r="CW15" s="20">
        <f t="shared" si="13"/>
        <v>14.921175023455312</v>
      </c>
      <c r="CX15" s="59">
        <f t="shared" si="14"/>
        <v>308.25450835678862</v>
      </c>
      <c r="CY15" s="59">
        <f ca="1">AVERAGE(OFFSET($CX$3,0,0,'Données projet'!$E$13+1,1))-AVERAGE(OFFSET($H$3,0,0,'Données projet'!$E$13+1,1))</f>
        <v>240.57184010337932</v>
      </c>
      <c r="CZ15" s="59">
        <f t="shared" si="42"/>
        <v>236.36473521227072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2.1333333333333333</v>
      </c>
      <c r="DO15" s="12">
        <f>IF('Données projet'!$A$166&gt;35,DO14+DN15-DW14,IF(A15&lt;'Données projet'!$A$166,$DL$205^A15,IF(A15='Données projet'!$A$166,'Données projet'!$B$166,DO14+DN15-DW14)))</f>
        <v>16.000000000000007</v>
      </c>
      <c r="DP15" s="17">
        <f>DO15*VLOOKUP('Données projet'!$B$14,Paramètres!$A$1:$I$89,3,0)*VLOOKUP('Données projet'!$B$14,Paramètres!$A$1:$I$89,5,0)</f>
        <v>7.4880000000000031</v>
      </c>
      <c r="DQ15" s="13">
        <f t="shared" si="43"/>
        <v>2.7298684377500644</v>
      </c>
      <c r="DR15" s="20">
        <f t="shared" si="16"/>
        <v>17.7961208624147</v>
      </c>
      <c r="DS15" s="59">
        <f t="shared" si="17"/>
        <v>311.129454195748</v>
      </c>
      <c r="DT15" s="59">
        <f ca="1">AVERAGE(OFFSET($DS$3,0,0,'Données projet'!$E$14+1,1))-AVERAGE(OFFSET($H$3,0,0,'Données projet'!$E$14+1,1))</f>
        <v>304.29617570272939</v>
      </c>
      <c r="DU15" s="59">
        <f t="shared" si="44"/>
        <v>246.20695736161576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3.8</v>
      </c>
      <c r="EJ15" s="12">
        <f>IF('Données projet'!$A$192&gt;35,EJ14+EI15-ER14,IF(A15&lt;'Données projet'!$A$192,$EG$205^A15,IF(A15='Données projet'!$A$192,'Données projet'!$B$192,EJ14+EI15-ER14)))</f>
        <v>25.392173948075076</v>
      </c>
      <c r="EK15" s="17">
        <f>EJ15*VLOOKUP('Données projet'!$B$15,Paramètres!$A$1:$I$89,3,0)*VLOOKUP('Données projet'!$B$15,Paramètres!$A$1:$I$89,5,0)</f>
        <v>15.184520020948897</v>
      </c>
      <c r="EL15" s="13">
        <f t="shared" si="45"/>
        <v>5.0984486434092791</v>
      </c>
      <c r="EM15" s="20">
        <f t="shared" si="19"/>
        <v>35.326170423757155</v>
      </c>
      <c r="EN15" s="59">
        <f t="shared" si="20"/>
        <v>328.65950375709048</v>
      </c>
      <c r="EO15" s="59">
        <f ca="1">AVERAGE(OFFSET($EN$3,0,0,'Données projet'!$E$15+1,1))-AVERAGE(OFFSET($H$3,0,0,'Données projet'!$E$15+1,1))</f>
        <v>288.41846134875794</v>
      </c>
      <c r="EP15" s="59">
        <f t="shared" si="46"/>
        <v>248.93951719818972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2.6666666666666665</v>
      </c>
      <c r="FE15" s="12">
        <f>IF('Données projet'!$A$218&gt;35,FE14+FD15-FM14,IF(A15&lt;'Données projet'!$A$218,$FB$205^A15,IF(A15='Données projet'!$A$218,'Données projet'!$B$218,FE14+FD15-FM14)))</f>
        <v>19.127049995800721</v>
      </c>
      <c r="FF15" s="17">
        <f>FE15*VLOOKUP('Données projet'!$B$16,Paramètres!$A$1:$I$89,3,0)*VLOOKUP('Données projet'!$B$16,Paramètres!$A$1:$I$89,5,0)</f>
        <v>8.7028077480893273</v>
      </c>
      <c r="FG15" s="13">
        <f t="shared" si="47"/>
        <v>3.1177055897814014</v>
      </c>
      <c r="FH15" s="20">
        <f t="shared" si="22"/>
        <v>20.587394063458188</v>
      </c>
      <c r="FI15" s="59">
        <f t="shared" si="23"/>
        <v>313.92072739679151</v>
      </c>
      <c r="FJ15" s="59">
        <f ca="1">AVERAGE(OFFSET($FI$3,0,0,'Données projet'!$E$16+1,1))-AVERAGE(OFFSET($H$3,0,0,'Données projet'!$E$16+1,1))</f>
        <v>367.36535411813264</v>
      </c>
      <c r="FK15" s="59">
        <f t="shared" si="48"/>
        <v>293.19545174980556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4.8</v>
      </c>
      <c r="FZ15" s="12">
        <f>IF('Données projet'!$A$244&gt;35,FZ14+FY15-GH14,IF(A15&lt;'Données projet'!$A$244,$FW$205^A15,IF(A15='Données projet'!$A$244,'Données projet'!$B$244,FZ14+FY15-GH14)))</f>
        <v>15.465456359454105</v>
      </c>
      <c r="GA15" s="17">
        <f>FZ15*VLOOKUP('Données projet'!$B$17,Paramètres!$A$1:$I$89,3,0)*VLOOKUP('Données projet'!$B$17,Paramètres!$A$1:$I$89,5,0)</f>
        <v>7.4388845088974245</v>
      </c>
      <c r="GB15" s="13">
        <f t="shared" si="49"/>
        <v>2.7140407948008654</v>
      </c>
      <c r="GC15" s="20">
        <f t="shared" si="25"/>
        <v>17.683011570607853</v>
      </c>
      <c r="GD15" s="59">
        <f t="shared" si="26"/>
        <v>311.01634490394116</v>
      </c>
      <c r="GE15" s="59">
        <f ca="1">AVERAGE(OFFSET($GD$3,0,0,'Données projet'!$E$17+1,1))-AVERAGE(OFFSET($H$3,0,0,'Données projet'!$E$17+1,1))</f>
        <v>312.64506496298173</v>
      </c>
      <c r="GF15" s="59">
        <f t="shared" si="50"/>
        <v>259.97532509897508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2.1</v>
      </c>
      <c r="GU15" s="12">
        <f>IF('Données projet'!$A$270&gt;35,GU14+GT15-HC14,IF(A15&lt;'Données projet'!$A$270,$GR$205^A15,IF(A15='Données projet'!$A$270,'Données projet'!$B$270,GU14+GT15-HC14)))</f>
        <v>9.4178024044149407</v>
      </c>
      <c r="GV15" s="17">
        <f>GU15*VLOOKUP('Données projet'!$B$18,Paramètres!$A$1:$I$89,3,0)*VLOOKUP('Données projet'!$B$18,Paramètres!$A$1:$I$89,5,0)</f>
        <v>9.5496516380767513</v>
      </c>
      <c r="GW15" s="13">
        <f t="shared" si="51"/>
        <v>3.3843014943027487</v>
      </c>
      <c r="GX15" s="20">
        <f t="shared" si="28"/>
        <v>22.526635038894295</v>
      </c>
      <c r="GY15" s="59">
        <f t="shared" si="29"/>
        <v>315.85996837222763</v>
      </c>
      <c r="GZ15" s="59">
        <f ca="1">AVERAGE(OFFSET($GY$3,0,0,'Données projet'!$E$18+1,1))-AVERAGE(OFFSET($H$3,0,0,'Données projet'!$E$18+1,1))</f>
        <v>308.80022073574963</v>
      </c>
      <c r="HA15" s="59">
        <f t="shared" si="52"/>
        <v>183.96267407004115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344.49457749226184</v>
      </c>
      <c r="T16" s="59">
        <f t="shared" si="34"/>
        <v>207.92972431357452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1.2</v>
      </c>
      <c r="AI16" s="13">
        <f>IF('Données projet'!$A$62&gt;35,AI15+AH16-AQ15,IF(A16&lt;'Données projet'!$A$62,$AF$205^A16,IF(A16='Données projet'!$A$62,'Données projet'!$B$62,AI15+AH16-AQ15)))</f>
        <v>5.8627726400958746</v>
      </c>
      <c r="AJ16" s="13">
        <f>AI16*VLOOKUP('Données projet'!$B$10,Paramètres!$A$1:$I$89,3,0)*VLOOKUP('Données projet'!$B$10,Paramètres!$A$1:$I$89,5,0)</f>
        <v>5.3046366847587469</v>
      </c>
      <c r="AK16" s="13">
        <f t="shared" si="35"/>
        <v>2.0130649729098407</v>
      </c>
      <c r="AL16" s="20">
        <f t="shared" si="4"/>
        <v>12.74499705377279</v>
      </c>
      <c r="AM16" s="59">
        <f t="shared" si="5"/>
        <v>306.07833038710612</v>
      </c>
      <c r="AN16" s="59">
        <f ca="1">AVERAGE(OFFSET($AM$3,0,0,'Données projet'!$E$10+1,1))-AVERAGE(OFFSET($H$3,0,0,'Données projet'!$E$10+1,1))</f>
        <v>183.0147113277086</v>
      </c>
      <c r="AO16" s="59">
        <f t="shared" si="36"/>
        <v>76.413905647258389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34.529040000000009</v>
      </c>
      <c r="BF16" s="13">
        <f t="shared" si="37"/>
        <v>10.536391336679102</v>
      </c>
      <c r="BG16" s="20">
        <f t="shared" si="7"/>
        <v>78.488959578049446</v>
      </c>
      <c r="BH16" s="59">
        <f t="shared" si="8"/>
        <v>371.82229291138276</v>
      </c>
      <c r="BI16" s="59">
        <f ca="1">AVERAGE(OFFSET($BH$3,0,0,'Données projet'!$E$11+1,1))-AVERAGE(OFFSET($H$3,0,0,'Données projet'!$E$11+1,1))</f>
        <v>279.49721661620544</v>
      </c>
      <c r="BJ16" s="59">
        <f t="shared" si="38"/>
        <v>275.18739333988754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335.42755141558786</v>
      </c>
      <c r="CD16" s="59">
        <f ca="1">AVERAGE(OFFSET($CC$3,0,0,'Données projet'!$E$12+1,1))-AVERAGE(OFFSET($H$3,0,0,'Données projet'!$E$12+1,1))</f>
        <v>225.2323446080772</v>
      </c>
      <c r="CE16" s="59">
        <f t="shared" si="40"/>
        <v>222.29030402759292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7.2274294983963765</v>
      </c>
      <c r="CV16" s="13">
        <f t="shared" si="41"/>
        <v>2.6457585425964609</v>
      </c>
      <c r="CW16" s="20">
        <f t="shared" si="13"/>
        <v>17.19580250472919</v>
      </c>
      <c r="CX16" s="59">
        <f t="shared" si="14"/>
        <v>310.52913583806253</v>
      </c>
      <c r="CY16" s="59">
        <f ca="1">AVERAGE(OFFSET($CX$3,0,0,'Données projet'!$E$13+1,1))-AVERAGE(OFFSET($H$3,0,0,'Données projet'!$E$13+1,1))</f>
        <v>240.57184010337932</v>
      </c>
      <c r="CZ16" s="59">
        <f t="shared" si="42"/>
        <v>236.36473521227072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2.1333333333333333</v>
      </c>
      <c r="DO16" s="12">
        <f>IF('Données projet'!$A$166&gt;35,DO15+DN16-DW15,IF(A16&lt;'Données projet'!$A$166,$DL$205^A16,IF(A16='Données projet'!$A$166,'Données projet'!$B$166,DO15+DN16-DW15)))</f>
        <v>20.158736798317982</v>
      </c>
      <c r="DP16" s="17">
        <f>DO16*VLOOKUP('Données projet'!$B$14,Paramètres!$A$1:$I$89,3,0)*VLOOKUP('Données projet'!$B$14,Paramètres!$A$1:$I$89,5,0)</f>
        <v>9.4342888216128156</v>
      </c>
      <c r="DQ16" s="13">
        <f t="shared" si="43"/>
        <v>3.3481513788528825</v>
      </c>
      <c r="DR16" s="20">
        <f t="shared" si="16"/>
        <v>22.26275001581109</v>
      </c>
      <c r="DS16" s="59">
        <f t="shared" si="17"/>
        <v>315.59608334914441</v>
      </c>
      <c r="DT16" s="59">
        <f ca="1">AVERAGE(OFFSET($DS$3,0,0,'Données projet'!$E$14+1,1))-AVERAGE(OFFSET($H$3,0,0,'Données projet'!$E$14+1,1))</f>
        <v>304.29617570272939</v>
      </c>
      <c r="DU16" s="59">
        <f t="shared" si="44"/>
        <v>246.20695736161576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3.8</v>
      </c>
      <c r="EJ16" s="12">
        <f>IF('Données projet'!$A$192&gt;35,EJ15+EI16-ER15,IF(A16&lt;'Données projet'!$A$192,$EG$205^A16,IF(A16='Données projet'!$A$192,'Données projet'!$B$192,EJ15+EI16-ER15)))</f>
        <v>33.247439793866675</v>
      </c>
      <c r="EK16" s="17">
        <f>EJ16*VLOOKUP('Données projet'!$B$15,Paramètres!$A$1:$I$89,3,0)*VLOOKUP('Données projet'!$B$15,Paramètres!$A$1:$I$89,5,0)</f>
        <v>19.881968996732276</v>
      </c>
      <c r="EL16" s="13">
        <f t="shared" si="45"/>
        <v>6.4695009928467675</v>
      </c>
      <c r="EM16" s="20">
        <f t="shared" si="19"/>
        <v>45.895476898516826</v>
      </c>
      <c r="EN16" s="59">
        <f t="shared" si="20"/>
        <v>339.22881023185016</v>
      </c>
      <c r="EO16" s="59">
        <f ca="1">AVERAGE(OFFSET($EN$3,0,0,'Données projet'!$E$15+1,1))-AVERAGE(OFFSET($H$3,0,0,'Données projet'!$E$15+1,1))</f>
        <v>288.41846134875794</v>
      </c>
      <c r="EP16" s="59">
        <f t="shared" si="46"/>
        <v>248.93951719818972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2.6666666666666665</v>
      </c>
      <c r="FE16" s="12">
        <f>IF('Données projet'!$A$218&gt;35,FE15+FD16-FM15,IF(A16&lt;'Données projet'!$A$218,$FB$205^A16,IF(A16='Données projet'!$A$218,'Données projet'!$B$218,FE15+FD16-FM15)))</f>
        <v>24.459748796430759</v>
      </c>
      <c r="FF16" s="17">
        <f>FE16*VLOOKUP('Données projet'!$B$16,Paramètres!$A$1:$I$89,3,0)*VLOOKUP('Données projet'!$B$16,Paramètres!$A$1:$I$89,5,0)</f>
        <v>11.129185702375993</v>
      </c>
      <c r="FG16" s="13">
        <f t="shared" si="47"/>
        <v>3.874423725622111</v>
      </c>
      <c r="FH16" s="20">
        <f t="shared" si="22"/>
        <v>26.13128642043003</v>
      </c>
      <c r="FI16" s="59">
        <f t="shared" si="23"/>
        <v>319.46461975376337</v>
      </c>
      <c r="FJ16" s="59">
        <f ca="1">AVERAGE(OFFSET($FI$3,0,0,'Données projet'!$E$16+1,1))-AVERAGE(OFFSET($H$3,0,0,'Données projet'!$E$16+1,1))</f>
        <v>367.36535411813264</v>
      </c>
      <c r="FK16" s="59">
        <f t="shared" si="48"/>
        <v>293.19545174980556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4.8</v>
      </c>
      <c r="FZ16" s="12">
        <f>IF('Données projet'!$A$244&gt;35,FZ15+FY16-GH15,IF(A16&lt;'Données projet'!$A$244,$FW$205^A16,IF(A16='Données projet'!$A$244,'Données projet'!$B$244,FZ15+FY16-GH15)))</f>
        <v>19.430156627119288</v>
      </c>
      <c r="GA16" s="17">
        <f>FZ16*VLOOKUP('Données projet'!$B$17,Paramètres!$A$1:$I$89,3,0)*VLOOKUP('Données projet'!$B$17,Paramètres!$A$1:$I$89,5,0)</f>
        <v>9.3459053376443784</v>
      </c>
      <c r="GB16" s="13">
        <f t="shared" si="49"/>
        <v>3.3204207128716408</v>
      </c>
      <c r="GC16" s="20">
        <f t="shared" si="25"/>
        <v>22.060517871315398</v>
      </c>
      <c r="GD16" s="59">
        <f t="shared" si="26"/>
        <v>315.39385120464874</v>
      </c>
      <c r="GE16" s="59">
        <f ca="1">AVERAGE(OFFSET($GD$3,0,0,'Données projet'!$E$17+1,1))-AVERAGE(OFFSET($H$3,0,0,'Données projet'!$E$17+1,1))</f>
        <v>312.64506496298173</v>
      </c>
      <c r="GF16" s="59">
        <f t="shared" si="50"/>
        <v>259.97532509897508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2.1</v>
      </c>
      <c r="GU16" s="12">
        <f>IF('Données projet'!$A$270&gt;35,GU15+GT16-HC15,IF(A16&lt;'Données projet'!$A$270,$GR$205^A16,IF(A16='Données projet'!$A$270,'Données projet'!$B$270,GU15+GT16-HC15)))</f>
        <v>11.35303662145153</v>
      </c>
      <c r="GV16" s="17">
        <f>GU16*VLOOKUP('Données projet'!$B$18,Paramètres!$A$1:$I$89,3,0)*VLOOKUP('Données projet'!$B$18,Paramètres!$A$1:$I$89,5,0)</f>
        <v>11.511979134151852</v>
      </c>
      <c r="GW16" s="13">
        <f t="shared" si="51"/>
        <v>3.9919417855793822</v>
      </c>
      <c r="GX16" s="20">
        <f t="shared" si="28"/>
        <v>27.002662268531896</v>
      </c>
      <c r="GY16" s="59">
        <f t="shared" si="29"/>
        <v>320.33599560186519</v>
      </c>
      <c r="GZ16" s="59">
        <f ca="1">AVERAGE(OFFSET($GY$3,0,0,'Données projet'!$E$18+1,1))-AVERAGE(OFFSET($H$3,0,0,'Données projet'!$E$18+1,1))</f>
        <v>308.80022073574963</v>
      </c>
      <c r="HA16" s="59">
        <f t="shared" si="52"/>
        <v>183.96267407004115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344.49457749226184</v>
      </c>
      <c r="T17" s="59">
        <f t="shared" si="34"/>
        <v>207.92972431357452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1.2</v>
      </c>
      <c r="AI17" s="13">
        <f>IF('Données projet'!$A$62&gt;35,AI16+AH17-AQ16,IF(A17&lt;'Données projet'!$A$62,$AF$205^A17,IF(A17='Données projet'!$A$62,'Données projet'!$B$62,AI16+AH17-AQ16)))</f>
        <v>6.7171941741218459</v>
      </c>
      <c r="AJ17" s="13">
        <f>AI17*VLOOKUP('Données projet'!$B$10,Paramètres!$A$1:$I$89,3,0)*VLOOKUP('Données projet'!$B$10,Paramètres!$A$1:$I$89,5,0)</f>
        <v>6.077717288745446</v>
      </c>
      <c r="AK17" s="13">
        <f t="shared" si="35"/>
        <v>2.2702054705343011</v>
      </c>
      <c r="AL17" s="20">
        <f t="shared" si="4"/>
        <v>14.53929880574556</v>
      </c>
      <c r="AM17" s="59">
        <f t="shared" si="5"/>
        <v>307.87263213907886</v>
      </c>
      <c r="AN17" s="59">
        <f ca="1">AVERAGE(OFFSET($AM$3,0,0,'Données projet'!$E$10+1,1))-AVERAGE(OFFSET($H$3,0,0,'Données projet'!$E$10+1,1))</f>
        <v>183.0147113277086</v>
      </c>
      <c r="AO17" s="59">
        <f t="shared" si="36"/>
        <v>76.413905647258389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43.121520000000004</v>
      </c>
      <c r="BF17" s="13">
        <f t="shared" si="37"/>
        <v>12.822353245070515</v>
      </c>
      <c r="BG17" s="20">
        <f t="shared" si="7"/>
        <v>97.435579235164482</v>
      </c>
      <c r="BH17" s="59">
        <f t="shared" si="8"/>
        <v>390.7689125684978</v>
      </c>
      <c r="BI17" s="59">
        <f ca="1">AVERAGE(OFFSET($BH$3,0,0,'Données projet'!$E$11+1,1))-AVERAGE(OFFSET($H$3,0,0,'Données projet'!$E$11+1,1))</f>
        <v>279.49721661620544</v>
      </c>
      <c r="BJ17" s="59">
        <f t="shared" si="38"/>
        <v>275.18739333988754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346.51840647945551</v>
      </c>
      <c r="CD17" s="59">
        <f ca="1">AVERAGE(OFFSET($CC$3,0,0,'Données projet'!$E$12+1,1))-AVERAGE(OFFSET($H$3,0,0,'Données projet'!$E$12+1,1))</f>
        <v>225.2323446080772</v>
      </c>
      <c r="CE17" s="59">
        <f t="shared" si="40"/>
        <v>222.29030402759292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8.3675830446231441</v>
      </c>
      <c r="CV17" s="13">
        <f t="shared" si="41"/>
        <v>3.0113515067568422</v>
      </c>
      <c r="CW17" s="20">
        <f t="shared" si="13"/>
        <v>19.818311010320141</v>
      </c>
      <c r="CX17" s="59">
        <f t="shared" si="14"/>
        <v>313.15164434365346</v>
      </c>
      <c r="CY17" s="59">
        <f ca="1">AVERAGE(OFFSET($CX$3,0,0,'Données projet'!$E$13+1,1))-AVERAGE(OFFSET($H$3,0,0,'Données projet'!$E$13+1,1))</f>
        <v>240.57184010337932</v>
      </c>
      <c r="CZ17" s="59">
        <f t="shared" si="42"/>
        <v>236.36473521227072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2.1333333333333333</v>
      </c>
      <c r="DO17" s="12">
        <f>IF('Données projet'!$A$166&gt;35,DO16+DN17-DW16,IF(A17&lt;'Données projet'!$A$166,$DL$205^A17,IF(A17='Données projet'!$A$166,'Données projet'!$B$166,DO16+DN17-DW16)))</f>
        <v>25.398416831491208</v>
      </c>
      <c r="DP17" s="17">
        <f>DO17*VLOOKUP('Données projet'!$B$14,Paramètres!$A$1:$I$89,3,0)*VLOOKUP('Données projet'!$B$14,Paramètres!$A$1:$I$89,5,0)</f>
        <v>11.886459077137886</v>
      </c>
      <c r="DQ17" s="13">
        <f t="shared" si="43"/>
        <v>4.1064680995959453</v>
      </c>
      <c r="DR17" s="20">
        <f t="shared" si="16"/>
        <v>27.854348166144757</v>
      </c>
      <c r="DS17" s="59">
        <f t="shared" si="17"/>
        <v>321.18768149947806</v>
      </c>
      <c r="DT17" s="59">
        <f ca="1">AVERAGE(OFFSET($DS$3,0,0,'Données projet'!$E$14+1,1))-AVERAGE(OFFSET($H$3,0,0,'Données projet'!$E$14+1,1))</f>
        <v>304.29617570272939</v>
      </c>
      <c r="DU17" s="59">
        <f t="shared" si="44"/>
        <v>246.20695736161576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3.8</v>
      </c>
      <c r="EJ17" s="12">
        <f>IF('Données projet'!$A$192&gt;35,EJ16+EI17-ER16,IF(A17&lt;'Données projet'!$A$192,$EG$205^A17,IF(A17='Données projet'!$A$192,'Données projet'!$B$192,EJ16+EI17-ER16)))</f>
        <v>43.532793021472941</v>
      </c>
      <c r="EK17" s="17">
        <f>EJ17*VLOOKUP('Données projet'!$B$15,Paramètres!$A$1:$I$89,3,0)*VLOOKUP('Données projet'!$B$15,Paramètres!$A$1:$I$89,5,0)</f>
        <v>26.03261022684082</v>
      </c>
      <c r="EL17" s="13">
        <f t="shared" si="45"/>
        <v>8.2092507003184547</v>
      </c>
      <c r="EM17" s="20">
        <f t="shared" si="19"/>
        <v>59.637907781469067</v>
      </c>
      <c r="EN17" s="59">
        <f t="shared" si="20"/>
        <v>352.97124111480241</v>
      </c>
      <c r="EO17" s="59">
        <f ca="1">AVERAGE(OFFSET($EN$3,0,0,'Données projet'!$E$15+1,1))-AVERAGE(OFFSET($H$3,0,0,'Données projet'!$E$15+1,1))</f>
        <v>288.41846134875794</v>
      </c>
      <c r="EP17" s="59">
        <f t="shared" si="46"/>
        <v>248.93951719818972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2.6666666666666665</v>
      </c>
      <c r="FE17" s="12">
        <f>IF('Données projet'!$A$218&gt;35,FE16+FD17-FM16,IF(A17&lt;'Données projet'!$A$218,$FB$205^A17,IF(A17='Données projet'!$A$218,'Données projet'!$B$218,FE16+FD17-FM16)))</f>
        <v>31.279225563578599</v>
      </c>
      <c r="FF17" s="17">
        <f>FE17*VLOOKUP('Données projet'!$B$16,Paramètres!$A$1:$I$89,3,0)*VLOOKUP('Données projet'!$B$16,Paramètres!$A$1:$I$89,5,0)</f>
        <v>14.232047631428262</v>
      </c>
      <c r="FG17" s="13">
        <f t="shared" si="47"/>
        <v>4.8148097289442999</v>
      </c>
      <c r="FH17" s="20">
        <f t="shared" si="22"/>
        <v>33.173276569315547</v>
      </c>
      <c r="FI17" s="59">
        <f t="shared" si="23"/>
        <v>326.50660990264885</v>
      </c>
      <c r="FJ17" s="59">
        <f ca="1">AVERAGE(OFFSET($FI$3,0,0,'Données projet'!$E$16+1,1))-AVERAGE(OFFSET($H$3,0,0,'Données projet'!$E$16+1,1))</f>
        <v>367.36535411813264</v>
      </c>
      <c r="FK17" s="59">
        <f t="shared" si="48"/>
        <v>293.19545174980556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4.8</v>
      </c>
      <c r="FZ17" s="12">
        <f>IF('Données projet'!$A$244&gt;35,FZ16+FY17-GH16,IF(A17&lt;'Données projet'!$A$244,$FW$205^A17,IF(A17='Données projet'!$A$244,'Données projet'!$B$244,FZ16+FY17-GH16)))</f>
        <v>24.411241270846887</v>
      </c>
      <c r="GA17" s="17">
        <f>FZ17*VLOOKUP('Données projet'!$B$17,Paramètres!$A$1:$I$89,3,0)*VLOOKUP('Données projet'!$B$17,Paramètres!$A$1:$I$89,5,0)</f>
        <v>11.741807051277354</v>
      </c>
      <c r="GB17" s="13">
        <f t="shared" si="49"/>
        <v>4.0622800259993692</v>
      </c>
      <c r="GC17" s="20">
        <f t="shared" si="25"/>
        <v>27.525451659590289</v>
      </c>
      <c r="GD17" s="59">
        <f t="shared" si="26"/>
        <v>320.85878499292357</v>
      </c>
      <c r="GE17" s="59">
        <f ca="1">AVERAGE(OFFSET($GD$3,0,0,'Données projet'!$E$17+1,1))-AVERAGE(OFFSET($H$3,0,0,'Données projet'!$E$17+1,1))</f>
        <v>312.64506496298173</v>
      </c>
      <c r="GF17" s="59">
        <f t="shared" si="50"/>
        <v>259.97532509897508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2.1</v>
      </c>
      <c r="GU17" s="12">
        <f>IF('Données projet'!$A$270&gt;35,GU16+GT17-HC16,IF(A17&lt;'Données projet'!$A$270,$GR$205^A17,IF(A17='Données projet'!$A$270,'Données projet'!$B$270,GU16+GT17-HC16)))</f>
        <v>13.685935953338433</v>
      </c>
      <c r="GV17" s="17">
        <f>GU17*VLOOKUP('Données projet'!$B$18,Paramètres!$A$1:$I$89,3,0)*VLOOKUP('Données projet'!$B$18,Paramètres!$A$1:$I$89,5,0)</f>
        <v>13.877539056685173</v>
      </c>
      <c r="GW17" s="13">
        <f t="shared" si="51"/>
        <v>4.7086819085950955</v>
      </c>
      <c r="GX17" s="20">
        <f t="shared" si="28"/>
        <v>32.371001514529802</v>
      </c>
      <c r="GY17" s="59">
        <f t="shared" si="29"/>
        <v>325.70433484786309</v>
      </c>
      <c r="GZ17" s="59">
        <f ca="1">AVERAGE(OFFSET($GY$3,0,0,'Données projet'!$E$18+1,1))-AVERAGE(OFFSET($H$3,0,0,'Données projet'!$E$18+1,1))</f>
        <v>308.80022073574963</v>
      </c>
      <c r="HA17" s="59">
        <f t="shared" si="52"/>
        <v>183.96267407004115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344.49457749226184</v>
      </c>
      <c r="T18" s="59">
        <f t="shared" si="34"/>
        <v>207.92972431357452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1.2</v>
      </c>
      <c r="AI18" s="13">
        <f>IF('Données projet'!$A$62&gt;35,AI17+AH18-AQ17,IF(A18&lt;'Données projet'!$A$62,$AF$205^A18,IF(A18='Données projet'!$A$62,'Données projet'!$B$62,AI17+AH18-AQ17)))</f>
        <v>7.6961363407260848</v>
      </c>
      <c r="AJ18" s="13">
        <f>AI18*VLOOKUP('Données projet'!$B$10,Paramètres!$A$1:$I$89,3,0)*VLOOKUP('Données projet'!$B$10,Paramètres!$A$1:$I$89,5,0)</f>
        <v>6.9634641610889609</v>
      </c>
      <c r="AK18" s="13">
        <f t="shared" si="35"/>
        <v>2.5601920195323435</v>
      </c>
      <c r="AL18" s="20">
        <f t="shared" si="4"/>
        <v>16.587034514582104</v>
      </c>
      <c r="AM18" s="59">
        <f t="shared" si="5"/>
        <v>309.92036784791543</v>
      </c>
      <c r="AN18" s="59">
        <f ca="1">AVERAGE(OFFSET($AM$3,0,0,'Données projet'!$E$10+1,1))-AVERAGE(OFFSET($H$3,0,0,'Données projet'!$E$10+1,1))</f>
        <v>183.0147113277086</v>
      </c>
      <c r="AO18" s="59">
        <f t="shared" si="36"/>
        <v>76.413905647258389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279.49721661620544</v>
      </c>
      <c r="BJ18" s="59">
        <f t="shared" si="38"/>
        <v>275.18739333988754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360.54113172026808</v>
      </c>
      <c r="CD18" s="59">
        <f ca="1">AVERAGE(OFFSET($CC$3,0,0,'Données projet'!$E$12+1,1))-AVERAGE(OFFSET($H$3,0,0,'Données projet'!$E$12+1,1))</f>
        <v>225.2323446080772</v>
      </c>
      <c r="CE18" s="59">
        <f t="shared" si="40"/>
        <v>222.29030402759292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9.6875999999999998</v>
      </c>
      <c r="CV18" s="13">
        <f t="shared" si="41"/>
        <v>3.4274623898019936</v>
      </c>
      <c r="CW18" s="20">
        <f t="shared" si="13"/>
        <v>22.842066995571802</v>
      </c>
      <c r="CX18" s="59">
        <f t="shared" si="14"/>
        <v>316.17540032890514</v>
      </c>
      <c r="CY18" s="59">
        <f ca="1">AVERAGE(OFFSET($CX$3,0,0,'Données projet'!$E$13+1,1))-AVERAGE(OFFSET($H$3,0,0,'Données projet'!$E$13+1,1))</f>
        <v>240.57184010337932</v>
      </c>
      <c r="CZ18" s="59">
        <f t="shared" si="42"/>
        <v>236.36473521227072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32</v>
      </c>
      <c r="DM18" s="12">
        <f>VLOOKUP(A18,'Données projet'!$A$165:$I$185,9,0)</f>
        <v>2.1333333333333333</v>
      </c>
      <c r="DN18" s="12">
        <f t="array" ref="DN18">INDEX(DM:DM,MIN(IF(ISNUMBER(DM18:DM214),ROW(DM18:DM214),"")))</f>
        <v>2.1333333333333333</v>
      </c>
      <c r="DO18" s="12">
        <f>IF('Données projet'!$A$166&gt;35,DO17+DN18-DW17,IF(A18&lt;'Données projet'!$A$166,$DL$205^A18,IF(A18='Données projet'!$A$166,'Données projet'!$B$166,DO17+DN18-DW17)))</f>
        <v>32</v>
      </c>
      <c r="DP18" s="17">
        <f>DO18*VLOOKUP('Données projet'!$B$14,Paramètres!$A$1:$I$89,3,0)*VLOOKUP('Données projet'!$B$14,Paramètres!$A$1:$I$89,5,0)</f>
        <v>14.975999999999999</v>
      </c>
      <c r="DQ18" s="13">
        <f t="shared" si="43"/>
        <v>5.0365345962274297</v>
      </c>
      <c r="DR18" s="20">
        <f t="shared" si="16"/>
        <v>34.855164421762773</v>
      </c>
      <c r="DS18" s="59">
        <f t="shared" si="17"/>
        <v>328.18849775509608</v>
      </c>
      <c r="DT18" s="59">
        <f ca="1">AVERAGE(OFFSET($DS$3,0,0,'Données projet'!$E$14+1,1))-AVERAGE(OFFSET($H$3,0,0,'Données projet'!$E$14+1,1))</f>
        <v>304.29617570272939</v>
      </c>
      <c r="DU18" s="59">
        <f t="shared" si="44"/>
        <v>246.20695736161576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57</v>
      </c>
      <c r="EH18" s="12">
        <f>VLOOKUP(A18,'Données projet'!$A$191:$I$211,9,0)</f>
        <v>3.8</v>
      </c>
      <c r="EI18" s="12">
        <f t="array" ref="EI18">INDEX(EH:EH,MIN(IF(ISNUMBER(EH18:EH214),ROW(EH18:EH214),"")))</f>
        <v>3.8</v>
      </c>
      <c r="EJ18" s="12">
        <f>IF('Données projet'!$A$192&gt;35,EJ17+EI18-ER17,IF(A18&lt;'Données projet'!$A$192,$EG$205^A18,IF(A18='Données projet'!$A$192,'Données projet'!$B$192,EJ17+EI18-ER17)))</f>
        <v>57</v>
      </c>
      <c r="EK18" s="17">
        <f>EJ18*VLOOKUP('Données projet'!$B$15,Paramètres!$A$1:$I$89,3,0)*VLOOKUP('Données projet'!$B$15,Paramètres!$A$1:$I$89,5,0)</f>
        <v>34.086000000000006</v>
      </c>
      <c r="EL18" s="13">
        <f t="shared" si="45"/>
        <v>10.416846235156795</v>
      </c>
      <c r="EM18" s="20">
        <f t="shared" si="19"/>
        <v>77.509123859564752</v>
      </c>
      <c r="EN18" s="59">
        <f t="shared" si="20"/>
        <v>370.84245719289805</v>
      </c>
      <c r="EO18" s="59">
        <f ca="1">AVERAGE(OFFSET($EN$3,0,0,'Données projet'!$E$15+1,1))-AVERAGE(OFFSET($H$3,0,0,'Données projet'!$E$15+1,1))</f>
        <v>288.41846134875794</v>
      </c>
      <c r="EP18" s="59">
        <f t="shared" si="46"/>
        <v>248.93951719818972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40</v>
      </c>
      <c r="FC18" s="12">
        <f>VLOOKUP(A18,'Données projet'!$A$217:$I$237,9,0)</f>
        <v>2.6666666666666665</v>
      </c>
      <c r="FD18" s="12">
        <f t="array" ref="FD18">INDEX(FC:FC,MIN(IF(ISNUMBER(FC18:FC214),ROW(FC18:FC214),"")))</f>
        <v>2.6666666666666665</v>
      </c>
      <c r="FE18" s="12">
        <f>IF('Données projet'!$A$218&gt;35,FE17+FD18-FM17,IF(A18&lt;'Données projet'!$A$218,$FB$205^A18,IF(A18='Données projet'!$A$218,'Données projet'!$B$218,FE17+FD18-FM17)))</f>
        <v>40</v>
      </c>
      <c r="FF18" s="17">
        <f>FE18*VLOOKUP('Données projet'!$B$16,Paramètres!$A$1:$I$89,3,0)*VLOOKUP('Données projet'!$B$16,Paramètres!$A$1:$I$89,5,0)</f>
        <v>18.2</v>
      </c>
      <c r="FG18" s="13">
        <f t="shared" si="47"/>
        <v>5.9834427950222064</v>
      </c>
      <c r="FH18" s="20">
        <f t="shared" si="22"/>
        <v>42.119496201330342</v>
      </c>
      <c r="FI18" s="59">
        <f t="shared" si="23"/>
        <v>335.45282953466364</v>
      </c>
      <c r="FJ18" s="59">
        <f ca="1">AVERAGE(OFFSET($FI$3,0,0,'Données projet'!$E$16+1,1))-AVERAGE(OFFSET($H$3,0,0,'Données projet'!$E$16+1,1))</f>
        <v>367.36535411813264</v>
      </c>
      <c r="FK18" s="59">
        <f t="shared" si="48"/>
        <v>293.19545174980556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4.8</v>
      </c>
      <c r="FZ18" s="12">
        <f>IF('Données projet'!$A$244&gt;35,FZ17+FY18-GH17,IF(A18&lt;'Données projet'!$A$244,$FW$205^A18,IF(A18='Données projet'!$A$244,'Données projet'!$B$244,FZ17+FY18-GH17)))</f>
        <v>30.669269003821089</v>
      </c>
      <c r="GA18" s="17">
        <f>FZ18*VLOOKUP('Données projet'!$B$17,Paramètres!$A$1:$I$89,3,0)*VLOOKUP('Données projet'!$B$17,Paramètres!$A$1:$I$89,5,0)</f>
        <v>14.751918390837945</v>
      </c>
      <c r="GB18" s="13">
        <f t="shared" si="49"/>
        <v>4.9698879860804466</v>
      </c>
      <c r="GC18" s="20">
        <f t="shared" si="25"/>
        <v>34.348812773132863</v>
      </c>
      <c r="GD18" s="59">
        <f t="shared" si="26"/>
        <v>327.68214610646618</v>
      </c>
      <c r="GE18" s="59">
        <f ca="1">AVERAGE(OFFSET($GD$3,0,0,'Données projet'!$E$17+1,1))-AVERAGE(OFFSET($H$3,0,0,'Données projet'!$E$17+1,1))</f>
        <v>312.64506496298173</v>
      </c>
      <c r="GF18" s="59">
        <f t="shared" si="50"/>
        <v>259.97532509897508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2.1</v>
      </c>
      <c r="GU18" s="12">
        <f>IF('Données projet'!$A$270&gt;35,GU17+GT18-HC17,IF(A18&lt;'Données projet'!$A$270,$GR$205^A18,IF(A18='Données projet'!$A$270,'Données projet'!$B$270,GU17+GT18-HC17)))</f>
        <v>16.498215337821566</v>
      </c>
      <c r="GV18" s="17">
        <f>GU18*VLOOKUP('Données projet'!$B$18,Paramètres!$A$1:$I$89,3,0)*VLOOKUP('Données projet'!$B$18,Paramètres!$A$1:$I$89,5,0)</f>
        <v>16.729190352551068</v>
      </c>
      <c r="GW18" s="13">
        <f t="shared" si="51"/>
        <v>5.5541103821765283</v>
      </c>
      <c r="GX18" s="20">
        <f t="shared" si="28"/>
        <v>38.810082112983899</v>
      </c>
      <c r="GY18" s="59">
        <f t="shared" si="29"/>
        <v>332.14341544631719</v>
      </c>
      <c r="GZ18" s="59">
        <f ca="1">AVERAGE(OFFSET($GY$3,0,0,'Données projet'!$E$18+1,1))-AVERAGE(OFFSET($H$3,0,0,'Données projet'!$E$18+1,1))</f>
        <v>308.80022073574963</v>
      </c>
      <c r="HA18" s="59">
        <f t="shared" si="52"/>
        <v>183.96267407004115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344.49457749226184</v>
      </c>
      <c r="T19" s="59">
        <f t="shared" si="34"/>
        <v>207.92972431357452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1.2</v>
      </c>
      <c r="AI19" s="13">
        <f>IF('Données projet'!$A$62&gt;35,AI18+AH19-AQ18,IF(A19&lt;'Données projet'!$A$62,$AF$205^A19,IF(A19='Données projet'!$A$62,'Données projet'!$B$62,AI18+AH19-AQ18)))</f>
        <v>8.8177463744060987</v>
      </c>
      <c r="AJ19" s="13">
        <f>AI19*VLOOKUP('Données projet'!$B$10,Paramètres!$A$1:$I$89,3,0)*VLOOKUP('Données projet'!$B$10,Paramètres!$A$1:$I$89,5,0)</f>
        <v>7.9782969195626388</v>
      </c>
      <c r="AK19" s="13">
        <f t="shared" si="35"/>
        <v>2.887220237089136</v>
      </c>
      <c r="AL19" s="20">
        <f t="shared" si="4"/>
        <v>18.924109047835174</v>
      </c>
      <c r="AM19" s="59">
        <f t="shared" si="5"/>
        <v>312.25744238116852</v>
      </c>
      <c r="AN19" s="59">
        <f ca="1">AVERAGE(OFFSET($AM$3,0,0,'Données projet'!$E$10+1,1))-AVERAGE(OFFSET($H$3,0,0,'Données projet'!$E$10+1,1))</f>
        <v>183.0147113277086</v>
      </c>
      <c r="AO19" s="59">
        <f t="shared" si="36"/>
        <v>76.413905647258389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279.49721661620544</v>
      </c>
      <c r="BJ19" s="59">
        <f t="shared" si="38"/>
        <v>275.18739333988754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354.52858650746725</v>
      </c>
      <c r="CD19" s="59">
        <f ca="1">AVERAGE(OFFSET($CC$3,0,0,'Données projet'!$E$12+1,1))-AVERAGE(OFFSET($H$3,0,0,'Données projet'!$E$12+1,1))</f>
        <v>225.2323446080772</v>
      </c>
      <c r="CE19" s="59">
        <f t="shared" si="40"/>
        <v>222.29030402759292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20.021039999999999</v>
      </c>
      <c r="CV19" s="13">
        <f t="shared" si="41"/>
        <v>6.5094703633412028</v>
      </c>
      <c r="CW19" s="20">
        <f t="shared" si="13"/>
        <v>46.20730554948593</v>
      </c>
      <c r="CX19" s="59">
        <f t="shared" si="14"/>
        <v>339.54063888281922</v>
      </c>
      <c r="CY19" s="59">
        <f ca="1">AVERAGE(OFFSET($CX$3,0,0,'Données projet'!$E$13+1,1))-AVERAGE(OFFSET($H$3,0,0,'Données projet'!$E$13+1,1))</f>
        <v>240.57184010337932</v>
      </c>
      <c r="CZ19" s="59">
        <f t="shared" si="42"/>
        <v>236.36473521227072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14.2</v>
      </c>
      <c r="DO19" s="12">
        <f>IF('Données projet'!$A$166&gt;35,DO18+DN19-DW18,IF(A19&lt;'Données projet'!$A$166,$DL$205^A19,IF(A19='Données projet'!$A$166,'Données projet'!$B$166,DO18+DN19-DW18)))</f>
        <v>46.2</v>
      </c>
      <c r="DP19" s="17">
        <f>DO19*VLOOKUP('Données projet'!$B$14,Paramètres!$A$1:$I$89,3,0)*VLOOKUP('Données projet'!$B$14,Paramètres!$A$1:$I$89,5,0)</f>
        <v>21.621600000000004</v>
      </c>
      <c r="DQ19" s="13">
        <f t="shared" si="43"/>
        <v>6.9672107919092996</v>
      </c>
      <c r="DR19" s="20">
        <f t="shared" si="16"/>
        <v>49.792178795908704</v>
      </c>
      <c r="DS19" s="59">
        <f t="shared" si="17"/>
        <v>343.125512129242</v>
      </c>
      <c r="DT19" s="59">
        <f ca="1">AVERAGE(OFFSET($DS$3,0,0,'Données projet'!$E$14+1,1))-AVERAGE(OFFSET($H$3,0,0,'Données projet'!$E$14+1,1))</f>
        <v>304.29617570272939</v>
      </c>
      <c r="DU19" s="59">
        <f t="shared" si="44"/>
        <v>246.20695736161576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</v>
      </c>
      <c r="EJ19" s="12">
        <f>IF('Données projet'!$A$192&gt;35,EJ18+EI19-ER18,IF(A19&lt;'Données projet'!$A$192,$EG$205^A19,IF(A19='Données projet'!$A$192,'Données projet'!$B$192,EJ18+EI19-ER18)))</f>
        <v>70</v>
      </c>
      <c r="EK19" s="17">
        <f>EJ19*VLOOKUP('Données projet'!$B$15,Paramètres!$A$1:$I$89,3,0)*VLOOKUP('Données projet'!$B$15,Paramètres!$A$1:$I$89,5,0)</f>
        <v>41.860000000000007</v>
      </c>
      <c r="EL19" s="13">
        <f t="shared" si="45"/>
        <v>12.490328459088218</v>
      </c>
      <c r="EM19" s="20">
        <f t="shared" si="19"/>
        <v>94.66015539957867</v>
      </c>
      <c r="EN19" s="59">
        <f t="shared" si="20"/>
        <v>387.993488732912</v>
      </c>
      <c r="EO19" s="59">
        <f ca="1">AVERAGE(OFFSET($EN$3,0,0,'Données projet'!$E$15+1,1))-AVERAGE(OFFSET($H$3,0,0,'Données projet'!$E$15+1,1))</f>
        <v>288.41846134875794</v>
      </c>
      <c r="EP19" s="59">
        <f t="shared" si="46"/>
        <v>248.93951719818972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21.4</v>
      </c>
      <c r="FE19" s="12">
        <f>IF('Données projet'!$A$218&gt;35,FE18+FD19-FM18,IF(A19&lt;'Données projet'!$A$218,$FB$205^A19,IF(A19='Données projet'!$A$218,'Données projet'!$B$218,FE18+FD19-FM18)))</f>
        <v>61.4</v>
      </c>
      <c r="FF19" s="17">
        <f>FE19*VLOOKUP('Données projet'!$B$16,Paramètres!$A$1:$I$89,3,0)*VLOOKUP('Données projet'!$B$16,Paramètres!$A$1:$I$89,5,0)</f>
        <v>27.936999999999998</v>
      </c>
      <c r="FG19" s="13">
        <f t="shared" si="47"/>
        <v>8.7376874882964746</v>
      </c>
      <c r="FH19" s="20">
        <f t="shared" si="22"/>
        <v>63.875080708783024</v>
      </c>
      <c r="FI19" s="59">
        <f t="shared" si="23"/>
        <v>357.20841404211632</v>
      </c>
      <c r="FJ19" s="59">
        <f ca="1">AVERAGE(OFFSET($FI$3,0,0,'Données projet'!$E$16+1,1))-AVERAGE(OFFSET($H$3,0,0,'Données projet'!$E$16+1,1))</f>
        <v>367.36535411813264</v>
      </c>
      <c r="FK19" s="59">
        <f t="shared" si="48"/>
        <v>293.19545174980556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4.8</v>
      </c>
      <c r="FZ19" s="12">
        <f>IF('Données projet'!$A$244&gt;35,FZ18+FY19-GH18,IF(A19&lt;'Données projet'!$A$244,$FW$205^A19,IF(A19='Données projet'!$A$244,'Données projet'!$B$244,FZ18+FY19-GH18)))</f>
        <v>38.531594964491077</v>
      </c>
      <c r="GA19" s="17">
        <f>FZ19*VLOOKUP('Données projet'!$B$17,Paramètres!$A$1:$I$89,3,0)*VLOOKUP('Données projet'!$B$17,Paramètres!$A$1:$I$89,5,0)</f>
        <v>18.533697177920207</v>
      </c>
      <c r="GB19" s="13">
        <f t="shared" si="49"/>
        <v>6.0802767007944762</v>
      </c>
      <c r="GC19" s="20">
        <f t="shared" si="25"/>
        <v>42.869337838761396</v>
      </c>
      <c r="GD19" s="59">
        <f t="shared" si="26"/>
        <v>336.20267117209471</v>
      </c>
      <c r="GE19" s="59">
        <f ca="1">AVERAGE(OFFSET($GD$3,0,0,'Données projet'!$E$17+1,1))-AVERAGE(OFFSET($H$3,0,0,'Données projet'!$E$17+1,1))</f>
        <v>312.64506496298173</v>
      </c>
      <c r="GF19" s="59">
        <f t="shared" si="50"/>
        <v>259.97532509897508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2.1</v>
      </c>
      <c r="GU19" s="12">
        <f>IF('Données projet'!$A$270&gt;35,GU18+GT19-HC18,IF(A19&lt;'Données projet'!$A$270,$GR$205^A19,IF(A19='Données projet'!$A$270,'Données projet'!$B$270,GU18+GT19-HC18)))</f>
        <v>19.888381054913147</v>
      </c>
      <c r="GV19" s="17">
        <f>GU19*VLOOKUP('Données projet'!$B$18,Paramètres!$A$1:$I$89,3,0)*VLOOKUP('Données projet'!$B$18,Paramètres!$A$1:$I$89,5,0)</f>
        <v>20.166818389681932</v>
      </c>
      <c r="GW19" s="13">
        <f t="shared" si="51"/>
        <v>6.5513327797938032</v>
      </c>
      <c r="GX19" s="20">
        <f t="shared" si="28"/>
        <v>46.534113286836906</v>
      </c>
      <c r="GY19" s="59">
        <f t="shared" si="29"/>
        <v>339.8674466201702</v>
      </c>
      <c r="GZ19" s="59">
        <f ca="1">AVERAGE(OFFSET($GY$3,0,0,'Données projet'!$E$18+1,1))-AVERAGE(OFFSET($H$3,0,0,'Données projet'!$E$18+1,1))</f>
        <v>308.80022073574963</v>
      </c>
      <c r="HA19" s="59">
        <f t="shared" si="52"/>
        <v>183.96267407004115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344.49457749226184</v>
      </c>
      <c r="T20" s="59">
        <f t="shared" si="34"/>
        <v>207.92972431357452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1.2</v>
      </c>
      <c r="AI20" s="13">
        <f>IF('Données projet'!$A$62&gt;35,AI19+AH20-AQ19,IF(A20&lt;'Données projet'!$A$62,$AF$205^A20,IF(A20='Données projet'!$A$62,'Données projet'!$B$62,AI19+AH20-AQ19)))</f>
        <v>10.102816228956828</v>
      </c>
      <c r="AJ20" s="13">
        <f>AI20*VLOOKUP('Données projet'!$B$10,Paramètres!$A$1:$I$89,3,0)*VLOOKUP('Données projet'!$B$10,Paramètres!$A$1:$I$89,5,0)</f>
        <v>9.1410281239601368</v>
      </c>
      <c r="AK20" s="13">
        <f t="shared" si="35"/>
        <v>3.2560216709759704</v>
      </c>
      <c r="AL20" s="20">
        <f t="shared" si="4"/>
        <v>21.591528392847053</v>
      </c>
      <c r="AM20" s="59">
        <f t="shared" si="5"/>
        <v>314.92486172618038</v>
      </c>
      <c r="AN20" s="59">
        <f ca="1">AVERAGE(OFFSET($AM$3,0,0,'Données projet'!$E$10+1,1))-AVERAGE(OFFSET($H$3,0,0,'Données projet'!$E$10+1,1))</f>
        <v>183.0147113277086</v>
      </c>
      <c r="AO20" s="59">
        <f t="shared" si="36"/>
        <v>76.413905647258389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279.49721661620544</v>
      </c>
      <c r="BJ20" s="59">
        <f t="shared" si="38"/>
        <v>275.18739333988754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374.98740496255414</v>
      </c>
      <c r="CD20" s="59">
        <f ca="1">AVERAGE(OFFSET($CC$3,0,0,'Données projet'!$E$12+1,1))-AVERAGE(OFFSET($H$3,0,0,'Données projet'!$E$12+1,1))</f>
        <v>225.2323446080772</v>
      </c>
      <c r="CE20" s="59">
        <f t="shared" si="40"/>
        <v>222.29030402759292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30.354480000000002</v>
      </c>
      <c r="CV20" s="13">
        <f t="shared" si="41"/>
        <v>9.4025170292470328</v>
      </c>
      <c r="CW20" s="20">
        <f t="shared" si="13"/>
        <v>69.243436492605255</v>
      </c>
      <c r="CX20" s="59">
        <f t="shared" si="14"/>
        <v>362.57676982593858</v>
      </c>
      <c r="CY20" s="59">
        <f ca="1">AVERAGE(OFFSET($CX$3,0,0,'Données projet'!$E$13+1,1))-AVERAGE(OFFSET($H$3,0,0,'Données projet'!$E$13+1,1))</f>
        <v>240.57184010337932</v>
      </c>
      <c r="CZ20" s="59">
        <f t="shared" si="42"/>
        <v>236.36473521227072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14.2</v>
      </c>
      <c r="DO20" s="12">
        <f>IF('Données projet'!$A$166&gt;35,DO19+DN20-DW19,IF(A20&lt;'Données projet'!$A$166,$DL$205^A20,IF(A20='Données projet'!$A$166,'Données projet'!$B$166,DO19+DN20-DW19)))</f>
        <v>60.400000000000006</v>
      </c>
      <c r="DP20" s="17">
        <f>DO20*VLOOKUP('Données projet'!$B$14,Paramètres!$A$1:$I$89,3,0)*VLOOKUP('Données projet'!$B$14,Paramètres!$A$1:$I$89,5,0)</f>
        <v>28.267199999999999</v>
      </c>
      <c r="DQ20" s="13">
        <f t="shared" si="43"/>
        <v>8.8288784870481614</v>
      </c>
      <c r="DR20" s="20">
        <f t="shared" si="16"/>
        <v>64.609003364942211</v>
      </c>
      <c r="DS20" s="59">
        <f t="shared" si="17"/>
        <v>357.94233669827554</v>
      </c>
      <c r="DT20" s="59">
        <f ca="1">AVERAGE(OFFSET($DS$3,0,0,'Données projet'!$E$14+1,1))-AVERAGE(OFFSET($H$3,0,0,'Données projet'!$E$14+1,1))</f>
        <v>304.29617570272939</v>
      </c>
      <c r="DU20" s="59">
        <f t="shared" si="44"/>
        <v>246.20695736161576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</v>
      </c>
      <c r="EJ20" s="12">
        <f>IF('Données projet'!$A$192&gt;35,EJ19+EI20-ER19,IF(A20&lt;'Données projet'!$A$192,$EG$205^A20,IF(A20='Données projet'!$A$192,'Données projet'!$B$192,EJ19+EI20-ER19)))</f>
        <v>83</v>
      </c>
      <c r="EK20" s="17">
        <f>EJ20*VLOOKUP('Données projet'!$B$15,Paramètres!$A$1:$I$89,3,0)*VLOOKUP('Données projet'!$B$15,Paramètres!$A$1:$I$89,5,0)</f>
        <v>49.634</v>
      </c>
      <c r="EL20" s="13">
        <f t="shared" si="45"/>
        <v>14.519198189037462</v>
      </c>
      <c r="EM20" s="20">
        <f t="shared" si="19"/>
        <v>111.73348684590691</v>
      </c>
      <c r="EN20" s="59">
        <f t="shared" si="20"/>
        <v>405.06682017924021</v>
      </c>
      <c r="EO20" s="59">
        <f ca="1">AVERAGE(OFFSET($EN$3,0,0,'Données projet'!$E$15+1,1))-AVERAGE(OFFSET($H$3,0,0,'Données projet'!$E$15+1,1))</f>
        <v>288.41846134875794</v>
      </c>
      <c r="EP20" s="59">
        <f t="shared" si="46"/>
        <v>248.93951719818972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21.4</v>
      </c>
      <c r="FE20" s="12">
        <f>IF('Données projet'!$A$218&gt;35,FE19+FD20-FM19,IF(A20&lt;'Données projet'!$A$218,$FB$205^A20,IF(A20='Données projet'!$A$218,'Données projet'!$B$218,FE19+FD20-FM19)))</f>
        <v>82.8</v>
      </c>
      <c r="FF20" s="17">
        <f>FE20*VLOOKUP('Données projet'!$B$16,Paramètres!$A$1:$I$89,3,0)*VLOOKUP('Données projet'!$B$16,Paramètres!$A$1:$I$89,5,0)</f>
        <v>37.673999999999999</v>
      </c>
      <c r="FG20" s="13">
        <f t="shared" si="47"/>
        <v>11.380007297126175</v>
      </c>
      <c r="FH20" s="20">
        <f t="shared" si="22"/>
        <v>85.435729375828089</v>
      </c>
      <c r="FI20" s="59">
        <f t="shared" si="23"/>
        <v>378.7690627091614</v>
      </c>
      <c r="FJ20" s="59">
        <f ca="1">AVERAGE(OFFSET($FI$3,0,0,'Données projet'!$E$16+1,1))-AVERAGE(OFFSET($H$3,0,0,'Données projet'!$E$16+1,1))</f>
        <v>367.36535411813264</v>
      </c>
      <c r="FK20" s="59">
        <f t="shared" si="48"/>
        <v>293.19545174980556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4.8</v>
      </c>
      <c r="FZ20" s="12">
        <f>IF('Données projet'!$A$244&gt;35,FZ19+FY20-GH19,IF(A20&lt;'Données projet'!$A$244,$FW$205^A20,IF(A20='Données projet'!$A$244,'Données projet'!$B$244,FZ19+FY20-GH19)))</f>
        <v>48.409494543955958</v>
      </c>
      <c r="GA20" s="17">
        <f>FZ20*VLOOKUP('Données projet'!$B$17,Paramètres!$A$1:$I$89,3,0)*VLOOKUP('Données projet'!$B$17,Paramètres!$A$1:$I$89,5,0)</f>
        <v>23.284966875642816</v>
      </c>
      <c r="GB20" s="13">
        <f t="shared" si="49"/>
        <v>7.4387521130794694</v>
      </c>
      <c r="GC20" s="20">
        <f t="shared" si="25"/>
        <v>53.510477238691315</v>
      </c>
      <c r="GD20" s="59">
        <f t="shared" si="26"/>
        <v>346.84381057202461</v>
      </c>
      <c r="GE20" s="59">
        <f ca="1">AVERAGE(OFFSET($GD$3,0,0,'Données projet'!$E$17+1,1))-AVERAGE(OFFSET($H$3,0,0,'Données projet'!$E$17+1,1))</f>
        <v>312.64506496298173</v>
      </c>
      <c r="GF20" s="59">
        <f t="shared" si="50"/>
        <v>259.97532509897508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2.1</v>
      </c>
      <c r="GU20" s="12">
        <f>IF('Données projet'!$A$270&gt;35,GU19+GT20-HC19,IF(A20&lt;'Données projet'!$A$270,$GR$205^A20,IF(A20='Données projet'!$A$270,'Données projet'!$B$270,GU19+GT20-HC19)))</f>
        <v>23.975181126327602</v>
      </c>
      <c r="GV20" s="17">
        <f>GU20*VLOOKUP('Données projet'!$B$18,Paramètres!$A$1:$I$89,3,0)*VLOOKUP('Données projet'!$B$18,Paramètres!$A$1:$I$89,5,0)</f>
        <v>24.31083366209619</v>
      </c>
      <c r="GW20" s="13">
        <f t="shared" si="51"/>
        <v>7.7276032052466093</v>
      </c>
      <c r="GX20" s="20">
        <f t="shared" si="28"/>
        <v>55.800277543955367</v>
      </c>
      <c r="GY20" s="59">
        <f t="shared" si="29"/>
        <v>349.13361087728867</v>
      </c>
      <c r="GZ20" s="59">
        <f ca="1">AVERAGE(OFFSET($GY$3,0,0,'Données projet'!$E$18+1,1))-AVERAGE(OFFSET($H$3,0,0,'Données projet'!$E$18+1,1))</f>
        <v>308.80022073574963</v>
      </c>
      <c r="HA20" s="59">
        <f t="shared" si="52"/>
        <v>183.96267407004115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344.49457749226184</v>
      </c>
      <c r="T21" s="59">
        <f t="shared" si="34"/>
        <v>207.92972431357452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1.2</v>
      </c>
      <c r="AI21" s="13">
        <f>IF('Données projet'!$A$62&gt;35,AI20+AH21-AQ20,IF(A21&lt;'Données projet'!$A$62,$AF$205^A21,IF(A21='Données projet'!$A$62,'Données projet'!$B$62,AI20+AH21-AQ20)))</f>
        <v>11.575168010312384</v>
      </c>
      <c r="AJ21" s="13">
        <f>AI21*VLOOKUP('Données projet'!$B$10,Paramètres!$A$1:$I$89,3,0)*VLOOKUP('Données projet'!$B$10,Paramètres!$A$1:$I$89,5,0)</f>
        <v>10.473212015730644</v>
      </c>
      <c r="AK21" s="13">
        <f t="shared" si="35"/>
        <v>3.6719322570811741</v>
      </c>
      <c r="AL21" s="20">
        <f t="shared" si="4"/>
        <v>24.636126275147248</v>
      </c>
      <c r="AM21" s="59">
        <f t="shared" si="5"/>
        <v>317.96945960848058</v>
      </c>
      <c r="AN21" s="59">
        <f ca="1">AVERAGE(OFFSET($AM$3,0,0,'Données projet'!$E$10+1,1))-AVERAGE(OFFSET($H$3,0,0,'Données projet'!$E$10+1,1))</f>
        <v>183.0147113277086</v>
      </c>
      <c r="AO21" s="59">
        <f t="shared" si="36"/>
        <v>76.413905647258389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279.49721661620544</v>
      </c>
      <c r="BJ21" s="59">
        <f t="shared" si="38"/>
        <v>275.18739333988754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395.315649192786</v>
      </c>
      <c r="CD21" s="59">
        <f ca="1">AVERAGE(OFFSET($CC$3,0,0,'Données projet'!$E$12+1,1))-AVERAGE(OFFSET($H$3,0,0,'Données projet'!$E$12+1,1))</f>
        <v>225.2323446080772</v>
      </c>
      <c r="CE21" s="59">
        <f t="shared" si="40"/>
        <v>222.29030402759292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40.687920000000005</v>
      </c>
      <c r="CV21" s="13">
        <f t="shared" si="41"/>
        <v>12.180798834294963</v>
      </c>
      <c r="CW21" s="20">
        <f t="shared" si="13"/>
        <v>92.079685303063741</v>
      </c>
      <c r="CX21" s="59">
        <f t="shared" si="14"/>
        <v>385.41301863639706</v>
      </c>
      <c r="CY21" s="59">
        <f ca="1">AVERAGE(OFFSET($CX$3,0,0,'Données projet'!$E$13+1,1))-AVERAGE(OFFSET($H$3,0,0,'Données projet'!$E$13+1,1))</f>
        <v>240.57184010337932</v>
      </c>
      <c r="CZ21" s="59">
        <f t="shared" si="42"/>
        <v>236.36473521227072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14.2</v>
      </c>
      <c r="DO21" s="12">
        <f>IF('Données projet'!$A$166&gt;35,DO20+DN21-DW20,IF(A21&lt;'Données projet'!$A$166,$DL$205^A21,IF(A21='Données projet'!$A$166,'Données projet'!$B$166,DO20+DN21-DW20)))</f>
        <v>74.600000000000009</v>
      </c>
      <c r="DP21" s="17">
        <f>DO21*VLOOKUP('Données projet'!$B$14,Paramètres!$A$1:$I$89,3,0)*VLOOKUP('Données projet'!$B$14,Paramètres!$A$1:$I$89,5,0)</f>
        <v>34.912800000000004</v>
      </c>
      <c r="DQ21" s="13">
        <f t="shared" si="43"/>
        <v>10.639796671768609</v>
      </c>
      <c r="DR21" s="20">
        <f t="shared" si="16"/>
        <v>79.337439203330334</v>
      </c>
      <c r="DS21" s="59">
        <f t="shared" si="17"/>
        <v>372.67077253666366</v>
      </c>
      <c r="DT21" s="59">
        <f ca="1">AVERAGE(OFFSET($DS$3,0,0,'Données projet'!$E$14+1,1))-AVERAGE(OFFSET($H$3,0,0,'Données projet'!$E$14+1,1))</f>
        <v>304.29617570272939</v>
      </c>
      <c r="DU21" s="59">
        <f t="shared" si="44"/>
        <v>246.20695736161576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</v>
      </c>
      <c r="EJ21" s="12">
        <f>IF('Données projet'!$A$192&gt;35,EJ20+EI21-ER20,IF(A21&lt;'Données projet'!$A$192,$EG$205^A21,IF(A21='Données projet'!$A$192,'Données projet'!$B$192,EJ20+EI21-ER20)))</f>
        <v>96</v>
      </c>
      <c r="EK21" s="17">
        <f>EJ21*VLOOKUP('Données projet'!$B$15,Paramètres!$A$1:$I$89,3,0)*VLOOKUP('Données projet'!$B$15,Paramètres!$A$1:$I$89,5,0)</f>
        <v>57.408000000000008</v>
      </c>
      <c r="EL21" s="13">
        <f t="shared" si="45"/>
        <v>16.511255298579947</v>
      </c>
      <c r="EM21" s="20">
        <f t="shared" si="19"/>
        <v>128.74270297836009</v>
      </c>
      <c r="EN21" s="59">
        <f t="shared" si="20"/>
        <v>422.07603631169343</v>
      </c>
      <c r="EO21" s="59">
        <f ca="1">AVERAGE(OFFSET($EN$3,0,0,'Données projet'!$E$15+1,1))-AVERAGE(OFFSET($H$3,0,0,'Données projet'!$E$15+1,1))</f>
        <v>288.41846134875794</v>
      </c>
      <c r="EP21" s="59">
        <f t="shared" si="46"/>
        <v>248.93951719818972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21.4</v>
      </c>
      <c r="FE21" s="12">
        <f>IF('Données projet'!$A$218&gt;35,FE20+FD21-FM20,IF(A21&lt;'Données projet'!$A$218,$FB$205^A21,IF(A21='Données projet'!$A$218,'Données projet'!$B$218,FE20+FD21-FM20)))</f>
        <v>104.19999999999999</v>
      </c>
      <c r="FF21" s="17">
        <f>FE21*VLOOKUP('Données projet'!$B$16,Paramètres!$A$1:$I$89,3,0)*VLOOKUP('Données projet'!$B$16,Paramètres!$A$1:$I$89,5,0)</f>
        <v>47.410999999999994</v>
      </c>
      <c r="FG21" s="13">
        <f t="shared" si="47"/>
        <v>13.943084245673987</v>
      </c>
      <c r="FH21" s="20">
        <f t="shared" si="22"/>
        <v>106.85836339454885</v>
      </c>
      <c r="FI21" s="59">
        <f t="shared" si="23"/>
        <v>400.19169672788217</v>
      </c>
      <c r="FJ21" s="59">
        <f ca="1">AVERAGE(OFFSET($FI$3,0,0,'Données projet'!$E$16+1,1))-AVERAGE(OFFSET($H$3,0,0,'Données projet'!$E$16+1,1))</f>
        <v>367.36535411813264</v>
      </c>
      <c r="FK21" s="59">
        <f t="shared" si="48"/>
        <v>293.19545174980556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4.8</v>
      </c>
      <c r="FZ21" s="12">
        <f>IF('Données projet'!$A$244&gt;35,FZ20+FY21-GH20,IF(A21&lt;'Données projet'!$A$244,$FW$205^A21,IF(A21='Données projet'!$A$244,'Données projet'!$B$244,FZ20+FY21-GH20)))</f>
        <v>60.819677051026375</v>
      </c>
      <c r="GA21" s="17">
        <f>FZ21*VLOOKUP('Données projet'!$B$17,Paramètres!$A$1:$I$89,3,0)*VLOOKUP('Données projet'!$B$17,Paramètres!$A$1:$I$89,5,0)</f>
        <v>29.254264661543687</v>
      </c>
      <c r="GB21" s="13">
        <f t="shared" si="49"/>
        <v>9.1007425686094034</v>
      </c>
      <c r="GC21" s="20">
        <f t="shared" si="25"/>
        <v>66.801637592516627</v>
      </c>
      <c r="GD21" s="59">
        <f t="shared" si="26"/>
        <v>360.13497092584993</v>
      </c>
      <c r="GE21" s="59">
        <f ca="1">AVERAGE(OFFSET($GD$3,0,0,'Données projet'!$E$17+1,1))-AVERAGE(OFFSET($H$3,0,0,'Données projet'!$E$17+1,1))</f>
        <v>312.64506496298173</v>
      </c>
      <c r="GF21" s="59">
        <f t="shared" si="50"/>
        <v>259.97532509897508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2.1</v>
      </c>
      <c r="GU21" s="12">
        <f>IF('Données projet'!$A$270&gt;35,GU20+GT21-HC20,IF(A21&lt;'Données projet'!$A$270,$GR$205^A21,IF(A21='Données projet'!$A$270,'Données projet'!$B$270,GU20+GT21-HC20)))</f>
        <v>28.901764726506816</v>
      </c>
      <c r="GV21" s="17">
        <f>GU21*VLOOKUP('Données projet'!$B$18,Paramètres!$A$1:$I$89,3,0)*VLOOKUP('Données projet'!$B$18,Paramètres!$A$1:$I$89,5,0)</f>
        <v>29.306389432677911</v>
      </c>
      <c r="GW21" s="13">
        <f t="shared" si="51"/>
        <v>9.1150691477493808</v>
      </c>
      <c r="GX21" s="20">
        <f t="shared" si="28"/>
        <v>66.917373694244205</v>
      </c>
      <c r="GY21" s="59">
        <f t="shared" si="29"/>
        <v>360.2507070275775</v>
      </c>
      <c r="GZ21" s="59">
        <f ca="1">AVERAGE(OFFSET($GY$3,0,0,'Données projet'!$E$18+1,1))-AVERAGE(OFFSET($H$3,0,0,'Données projet'!$E$18+1,1))</f>
        <v>308.80022073574963</v>
      </c>
      <c r="HA21" s="59">
        <f t="shared" si="52"/>
        <v>183.96267407004115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344.49457749226184</v>
      </c>
      <c r="T22" s="59">
        <f t="shared" si="34"/>
        <v>207.92972431357452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1.2</v>
      </c>
      <c r="AI22" s="13">
        <f>IF('Données projet'!$A$62&gt;35,AI21+AH22-AQ21,IF(A22&lt;'Données projet'!$A$62,$AF$205^A22,IF(A22='Données projet'!$A$62,'Données projet'!$B$62,AI21+AH22-AQ21)))</f>
        <v>13.262095581124292</v>
      </c>
      <c r="AJ22" s="13">
        <f>AI22*VLOOKUP('Données projet'!$B$10,Paramètres!$A$1:$I$89,3,0)*VLOOKUP('Données projet'!$B$10,Paramètres!$A$1:$I$89,5,0)</f>
        <v>11.999544081801259</v>
      </c>
      <c r="AK22" s="13">
        <f t="shared" si="35"/>
        <v>4.1409695214196116</v>
      </c>
      <c r="AL22" s="20">
        <f t="shared" si="4"/>
        <v>28.111394525609683</v>
      </c>
      <c r="AM22" s="59">
        <f t="shared" si="5"/>
        <v>321.444727858943</v>
      </c>
      <c r="AN22" s="59">
        <f ca="1">AVERAGE(OFFSET($AM$3,0,0,'Données projet'!$E$10+1,1))-AVERAGE(OFFSET($H$3,0,0,'Données projet'!$E$10+1,1))</f>
        <v>183.0147113277086</v>
      </c>
      <c r="AO22" s="59">
        <f t="shared" si="36"/>
        <v>76.413905647258389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279.49721661620544</v>
      </c>
      <c r="BJ22" s="59">
        <f t="shared" si="38"/>
        <v>275.18739333988754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415.54321006216128</v>
      </c>
      <c r="CD22" s="59">
        <f ca="1">AVERAGE(OFFSET($CC$3,0,0,'Données projet'!$E$12+1,1))-AVERAGE(OFFSET($H$3,0,0,'Données projet'!$E$12+1,1))</f>
        <v>225.2323446080772</v>
      </c>
      <c r="CE22" s="59">
        <f t="shared" si="40"/>
        <v>222.29030402759292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51.021360000000008</v>
      </c>
      <c r="CV22" s="13">
        <f t="shared" si="41"/>
        <v>14.877219108504418</v>
      </c>
      <c r="CW22" s="20">
        <f t="shared" si="13"/>
        <v>114.77335861397853</v>
      </c>
      <c r="CX22" s="59">
        <f t="shared" si="14"/>
        <v>408.10669194731184</v>
      </c>
      <c r="CY22" s="59">
        <f ca="1">AVERAGE(OFFSET($CX$3,0,0,'Données projet'!$E$13+1,1))-AVERAGE(OFFSET($H$3,0,0,'Données projet'!$E$13+1,1))</f>
        <v>240.57184010337932</v>
      </c>
      <c r="CZ22" s="59">
        <f t="shared" si="42"/>
        <v>236.36473521227072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14.2</v>
      </c>
      <c r="DO22" s="12">
        <f>IF('Données projet'!$A$166&gt;35,DO21+DN22-DW21,IF(A22&lt;'Données projet'!$A$166,$DL$205^A22,IF(A22='Données projet'!$A$166,'Données projet'!$B$166,DO21+DN22-DW21)))</f>
        <v>88.800000000000011</v>
      </c>
      <c r="DP22" s="17">
        <f>DO22*VLOOKUP('Données projet'!$B$14,Paramètres!$A$1:$I$89,3,0)*VLOOKUP('Données projet'!$B$14,Paramètres!$A$1:$I$89,5,0)</f>
        <v>41.558400000000006</v>
      </c>
      <c r="DQ22" s="13">
        <f t="shared" si="43"/>
        <v>12.410777715459892</v>
      </c>
      <c r="DR22" s="20">
        <f t="shared" si="16"/>
        <v>93.996317854425982</v>
      </c>
      <c r="DS22" s="59">
        <f t="shared" si="17"/>
        <v>387.32965118775928</v>
      </c>
      <c r="DT22" s="59">
        <f ca="1">AVERAGE(OFFSET($DS$3,0,0,'Données projet'!$E$14+1,1))-AVERAGE(OFFSET($H$3,0,0,'Données projet'!$E$14+1,1))</f>
        <v>304.29617570272939</v>
      </c>
      <c r="DU22" s="59">
        <f t="shared" si="44"/>
        <v>246.20695736161576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</v>
      </c>
      <c r="EJ22" s="12">
        <f>IF('Données projet'!$A$192&gt;35,EJ21+EI22-ER21,IF(A22&lt;'Données projet'!$A$192,$EG$205^A22,IF(A22='Données projet'!$A$192,'Données projet'!$B$192,EJ21+EI22-ER21)))</f>
        <v>109</v>
      </c>
      <c r="EK22" s="17">
        <f>EJ22*VLOOKUP('Données projet'!$B$15,Paramètres!$A$1:$I$89,3,0)*VLOOKUP('Données projet'!$B$15,Paramètres!$A$1:$I$89,5,0)</f>
        <v>65.182000000000002</v>
      </c>
      <c r="EL22" s="13">
        <f t="shared" si="45"/>
        <v>18.472058045906227</v>
      </c>
      <c r="EM22" s="20">
        <f t="shared" si="19"/>
        <v>145.69748442995333</v>
      </c>
      <c r="EN22" s="59">
        <f t="shared" si="20"/>
        <v>439.03081776328668</v>
      </c>
      <c r="EO22" s="59">
        <f ca="1">AVERAGE(OFFSET($EN$3,0,0,'Données projet'!$E$15+1,1))-AVERAGE(OFFSET($H$3,0,0,'Données projet'!$E$15+1,1))</f>
        <v>288.41846134875794</v>
      </c>
      <c r="EP22" s="59">
        <f t="shared" si="46"/>
        <v>248.93951719818972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21.4</v>
      </c>
      <c r="FE22" s="12">
        <f>IF('Données projet'!$A$218&gt;35,FE21+FD22-FM21,IF(A22&lt;'Données projet'!$A$218,$FB$205^A22,IF(A22='Données projet'!$A$218,'Données projet'!$B$218,FE21+FD22-FM21)))</f>
        <v>125.6</v>
      </c>
      <c r="FF22" s="17">
        <f>FE22*VLOOKUP('Données projet'!$B$16,Paramètres!$A$1:$I$89,3,0)*VLOOKUP('Données projet'!$B$16,Paramètres!$A$1:$I$89,5,0)</f>
        <v>57.147999999999996</v>
      </c>
      <c r="FG22" s="13">
        <f t="shared" si="47"/>
        <v>16.445162919776731</v>
      </c>
      <c r="FH22" s="20">
        <f t="shared" si="22"/>
        <v>128.17475875194447</v>
      </c>
      <c r="FI22" s="59">
        <f t="shared" si="23"/>
        <v>421.50809208527778</v>
      </c>
      <c r="FJ22" s="59">
        <f ca="1">AVERAGE(OFFSET($FI$3,0,0,'Données projet'!$E$16+1,1))-AVERAGE(OFFSET($H$3,0,0,'Données projet'!$E$16+1,1))</f>
        <v>367.36535411813264</v>
      </c>
      <c r="FK22" s="59">
        <f t="shared" si="48"/>
        <v>293.19545174980556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4.8</v>
      </c>
      <c r="FZ22" s="12">
        <f>IF('Données projet'!$A$244&gt;35,FZ21+FY22-GH21,IF(A22&lt;'Données projet'!$A$244,$FW$205^A22,IF(A22='Données projet'!$A$244,'Données projet'!$B$244,FZ21+FY22-GH21)))</f>
        <v>76.411314586902208</v>
      </c>
      <c r="GA22" s="17">
        <f>FZ22*VLOOKUP('Données projet'!$B$17,Paramètres!$A$1:$I$89,3,0)*VLOOKUP('Données projet'!$B$17,Paramètres!$A$1:$I$89,5,0)</f>
        <v>36.753842316299966</v>
      </c>
      <c r="GB22" s="13">
        <f t="shared" si="49"/>
        <v>11.134060396295732</v>
      </c>
      <c r="GC22" s="20">
        <f t="shared" si="25"/>
        <v>83.404763891104167</v>
      </c>
      <c r="GD22" s="59">
        <f t="shared" si="26"/>
        <v>376.73809722443747</v>
      </c>
      <c r="GE22" s="59">
        <f ca="1">AVERAGE(OFFSET($GD$3,0,0,'Données projet'!$E$17+1,1))-AVERAGE(OFFSET($H$3,0,0,'Données projet'!$E$17+1,1))</f>
        <v>312.64506496298173</v>
      </c>
      <c r="GF22" s="59">
        <f t="shared" si="50"/>
        <v>259.97532509897508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2.1</v>
      </c>
      <c r="GU22" s="12">
        <f>IF('Données projet'!$A$270&gt;35,GU21+GT22-HC21,IF(A22&lt;'Données projet'!$A$270,$GR$205^A22,IF(A22='Données projet'!$A$270,'Données projet'!$B$270,GU21+GT22-HC21)))</f>
        <v>34.840696297767764</v>
      </c>
      <c r="GV22" s="17">
        <f>GU22*VLOOKUP('Données projet'!$B$18,Paramètres!$A$1:$I$89,3,0)*VLOOKUP('Données projet'!$B$18,Paramètres!$A$1:$I$89,5,0)</f>
        <v>35.328466045936516</v>
      </c>
      <c r="GW22" s="13">
        <f t="shared" si="51"/>
        <v>10.751650073316766</v>
      </c>
      <c r="GX22" s="20">
        <f t="shared" si="28"/>
        <v>80.256202241032796</v>
      </c>
      <c r="GY22" s="59">
        <f t="shared" si="29"/>
        <v>373.5895355743661</v>
      </c>
      <c r="GZ22" s="59">
        <f ca="1">AVERAGE(OFFSET($GY$3,0,0,'Données projet'!$E$18+1,1))-AVERAGE(OFFSET($H$3,0,0,'Données projet'!$E$18+1,1))</f>
        <v>308.80022073574963</v>
      </c>
      <c r="HA22" s="59">
        <f t="shared" si="52"/>
        <v>183.96267407004115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344.49457749226184</v>
      </c>
      <c r="T23" s="59">
        <f t="shared" si="34"/>
        <v>207.92972431357452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1.2</v>
      </c>
      <c r="AI23" s="13">
        <f>IF('Données projet'!$A$62&gt;35,AI22+AH23-AQ22,IF(A23&lt;'Données projet'!$A$62,$AF$205^A23,IF(A23='Données projet'!$A$62,'Données projet'!$B$62,AI22+AH23-AQ22)))</f>
        <v>15.194870523363559</v>
      </c>
      <c r="AJ23" s="13">
        <f>AI23*VLOOKUP('Données projet'!$B$10,Paramètres!$A$1:$I$89,3,0)*VLOOKUP('Données projet'!$B$10,Paramètres!$A$1:$I$89,5,0)</f>
        <v>13.748318849539347</v>
      </c>
      <c r="AK23" s="13">
        <f t="shared" si="35"/>
        <v>4.6699196436038939</v>
      </c>
      <c r="AL23" s="20">
        <f t="shared" si="4"/>
        <v>32.078432042224485</v>
      </c>
      <c r="AM23" s="59">
        <f t="shared" si="5"/>
        <v>325.41176537555782</v>
      </c>
      <c r="AN23" s="59">
        <f ca="1">AVERAGE(OFFSET($AM$3,0,0,'Données projet'!$E$10+1,1))-AVERAGE(OFFSET($H$3,0,0,'Données projet'!$E$10+1,1))</f>
        <v>183.0147113277086</v>
      </c>
      <c r="AO23" s="59">
        <f t="shared" si="36"/>
        <v>76.413905647258389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279.49721661620544</v>
      </c>
      <c r="BJ23" s="59">
        <f t="shared" si="38"/>
        <v>275.18739333988754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435.689164940159</v>
      </c>
      <c r="CD23" s="59">
        <f ca="1">AVERAGE(OFFSET($CC$3,0,0,'Données projet'!$E$12+1,1))-AVERAGE(OFFSET($H$3,0,0,'Données projet'!$E$12+1,1))</f>
        <v>225.2323446080772</v>
      </c>
      <c r="CE23" s="59">
        <f t="shared" si="40"/>
        <v>222.29030402759292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61.354800000000012</v>
      </c>
      <c r="CV23" s="13">
        <f t="shared" si="41"/>
        <v>17.510358551572629</v>
      </c>
      <c r="CW23" s="20">
        <f t="shared" si="13"/>
        <v>137.35681781065568</v>
      </c>
      <c r="CX23" s="59">
        <f t="shared" si="14"/>
        <v>430.690151143989</v>
      </c>
      <c r="CY23" s="59">
        <f ca="1">AVERAGE(OFFSET($CX$3,0,0,'Données projet'!$E$13+1,1))-AVERAGE(OFFSET($H$3,0,0,'Données projet'!$E$13+1,1))</f>
        <v>240.57184010337932</v>
      </c>
      <c r="CZ23" s="59">
        <f t="shared" si="42"/>
        <v>236.36473521227072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103</v>
      </c>
      <c r="DM23" s="12">
        <f>VLOOKUP(A23,'Données projet'!$A$165:$I$185,9,0)</f>
        <v>14.2</v>
      </c>
      <c r="DN23" s="12">
        <f t="array" ref="DN23">INDEX(DM:DM,MIN(IF(ISNUMBER(DM23:DM219),ROW(DM23:DM219),"")))</f>
        <v>14.2</v>
      </c>
      <c r="DO23" s="12">
        <f>IF('Données projet'!$A$166&gt;35,DO22+DN23-DW22,IF(A23&lt;'Données projet'!$A$166,$DL$205^A23,IF(A23='Données projet'!$A$166,'Données projet'!$B$166,DO22+DN23-DW22)))</f>
        <v>103.00000000000001</v>
      </c>
      <c r="DP23" s="17">
        <f>DO23*VLOOKUP('Données projet'!$B$14,Paramètres!$A$1:$I$89,3,0)*VLOOKUP('Données projet'!$B$14,Paramètres!$A$1:$I$89,5,0)</f>
        <v>48.204000000000008</v>
      </c>
      <c r="DQ23" s="13">
        <f t="shared" si="43"/>
        <v>14.148951972009984</v>
      </c>
      <c r="DR23" s="20">
        <f t="shared" si="16"/>
        <v>108.59805801791741</v>
      </c>
      <c r="DS23" s="59">
        <f t="shared" si="17"/>
        <v>401.93139135125074</v>
      </c>
      <c r="DT23" s="59">
        <f ca="1">AVERAGE(OFFSET($DS$3,0,0,'Données projet'!$E$14+1,1))-AVERAGE(OFFSET($H$3,0,0,'Données projet'!$E$14+1,1))</f>
        <v>304.29617570272939</v>
      </c>
      <c r="DU23" s="59">
        <f t="shared" si="44"/>
        <v>246.20695736161576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122</v>
      </c>
      <c r="EH23" s="12">
        <f>VLOOKUP(A23,'Données projet'!$A$191:$I$211,9,0)</f>
        <v>13</v>
      </c>
      <c r="EI23" s="12">
        <f t="array" ref="EI23">INDEX(EH:EH,MIN(IF(ISNUMBER(EH23:EH219),ROW(EH23:EH219),"")))</f>
        <v>13</v>
      </c>
      <c r="EJ23" s="12">
        <f>IF('Données projet'!$A$192&gt;35,EJ22+EI23-ER22,IF(A23&lt;'Données projet'!$A$192,$EG$205^A23,IF(A23='Données projet'!$A$192,'Données projet'!$B$192,EJ22+EI23-ER22)))</f>
        <v>122</v>
      </c>
      <c r="EK23" s="17">
        <f>EJ23*VLOOKUP('Données projet'!$B$15,Paramètres!$A$1:$I$89,3,0)*VLOOKUP('Données projet'!$B$15,Paramètres!$A$1:$I$89,5,0)</f>
        <v>72.956000000000003</v>
      </c>
      <c r="EL23" s="13">
        <f t="shared" si="45"/>
        <v>20.405760140212273</v>
      </c>
      <c r="EM23" s="20">
        <f t="shared" si="19"/>
        <v>162.60506557753638</v>
      </c>
      <c r="EN23" s="59">
        <f t="shared" si="20"/>
        <v>455.93839891086969</v>
      </c>
      <c r="EO23" s="59">
        <f ca="1">AVERAGE(OFFSET($EN$3,0,0,'Données projet'!$E$15+1,1))-AVERAGE(OFFSET($H$3,0,0,'Données projet'!$E$15+1,1))</f>
        <v>288.41846134875794</v>
      </c>
      <c r="EP23" s="59">
        <f t="shared" si="46"/>
        <v>248.93951719818972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1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15.57272302017901</v>
      </c>
      <c r="EY23" s="22">
        <f t="shared" si="21"/>
        <v>15.57272302017901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147</v>
      </c>
      <c r="FC23" s="12">
        <f>VLOOKUP(A23,'Données projet'!$A$217:$I$237,9,0)</f>
        <v>21.4</v>
      </c>
      <c r="FD23" s="12">
        <f t="array" ref="FD23">INDEX(FC:FC,MIN(IF(ISNUMBER(FC23:FC219),ROW(FC23:FC219),"")))</f>
        <v>21.4</v>
      </c>
      <c r="FE23" s="12">
        <f>IF('Données projet'!$A$218&gt;35,FE22+FD23-FM22,IF(A23&lt;'Données projet'!$A$218,$FB$205^A23,IF(A23='Données projet'!$A$218,'Données projet'!$B$218,FE22+FD23-FM22)))</f>
        <v>147</v>
      </c>
      <c r="FF23" s="17">
        <f>FE23*VLOOKUP('Données projet'!$B$16,Paramètres!$A$1:$I$89,3,0)*VLOOKUP('Données projet'!$B$16,Paramètres!$A$1:$I$89,5,0)</f>
        <v>66.884999999999991</v>
      </c>
      <c r="FG23" s="13">
        <f t="shared" si="47"/>
        <v>18.897855850266328</v>
      </c>
      <c r="FH23" s="20">
        <f t="shared" si="22"/>
        <v>149.40514060588049</v>
      </c>
      <c r="FI23" s="59">
        <f t="shared" si="23"/>
        <v>442.7384739392138</v>
      </c>
      <c r="FJ23" s="59">
        <f ca="1">AVERAGE(OFFSET($FI$3,0,0,'Données projet'!$E$16+1,1))-AVERAGE(OFFSET($H$3,0,0,'Données projet'!$E$16+1,1))</f>
        <v>367.36535411813264</v>
      </c>
      <c r="FK23" s="59">
        <f t="shared" si="48"/>
        <v>293.19545174980556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45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1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23.18245629185439</v>
      </c>
      <c r="FT23" s="22">
        <f t="shared" si="24"/>
        <v>23.18245629185439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96</v>
      </c>
      <c r="FX23" s="12">
        <f>VLOOKUP(A23,'Données projet'!$A$243:$I$263,9,0)</f>
        <v>4.8</v>
      </c>
      <c r="FY23" s="12">
        <f t="array" ref="FY23">INDEX(FX:FX,MIN(IF(ISNUMBER(FX23:FX219),ROW(FX23:FX219),"")))</f>
        <v>4.8</v>
      </c>
      <c r="FZ23" s="12">
        <f>IF('Données projet'!$A$244&gt;35,FZ22+FY23-GH22,IF(A23&lt;'Données projet'!$A$244,$FW$205^A23,IF(A23='Données projet'!$A$244,'Données projet'!$B$244,FZ22+FY23-GH22)))</f>
        <v>96</v>
      </c>
      <c r="GA23" s="17">
        <f>FZ23*VLOOKUP('Données projet'!$B$17,Paramètres!$A$1:$I$89,3,0)*VLOOKUP('Données projet'!$B$17,Paramètres!$A$1:$I$89,5,0)</f>
        <v>46.175999999999995</v>
      </c>
      <c r="GB23" s="13">
        <f t="shared" si="49"/>
        <v>13.621668778540489</v>
      </c>
      <c r="GC23" s="20">
        <f t="shared" si="25"/>
        <v>104.14760645595801</v>
      </c>
      <c r="GD23" s="59">
        <f t="shared" si="26"/>
        <v>397.48093978929131</v>
      </c>
      <c r="GE23" s="59">
        <f ca="1">AVERAGE(OFFSET($GD$3,0,0,'Données projet'!$E$17+1,1))-AVERAGE(OFFSET($H$3,0,0,'Données projet'!$E$17+1,1))</f>
        <v>312.64506496298173</v>
      </c>
      <c r="GF23" s="59">
        <f t="shared" si="50"/>
        <v>259.97532509897508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42</v>
      </c>
      <c r="GS23" s="12">
        <f>VLOOKUP(A23,'Données projet'!$A$269:$I$289,9,0)</f>
        <v>2.1</v>
      </c>
      <c r="GT23" s="12">
        <f t="array" ref="GT23">INDEX(GS:GS,MIN(IF(ISNUMBER(GS23:GS219),ROW(GS23:GS219),"")))</f>
        <v>2.1</v>
      </c>
      <c r="GU23" s="12">
        <f>IF('Données projet'!$A$270&gt;35,GU22+GT23-HC22,IF(A23&lt;'Données projet'!$A$270,$GR$205^A23,IF(A23='Données projet'!$A$270,'Données projet'!$B$270,GU22+GT23-HC22)))</f>
        <v>42</v>
      </c>
      <c r="GV23" s="17">
        <f>GU23*VLOOKUP('Données projet'!$B$18,Paramètres!$A$1:$I$89,3,0)*VLOOKUP('Données projet'!$B$18,Paramètres!$A$1:$I$89,5,0)</f>
        <v>42.588000000000001</v>
      </c>
      <c r="GW23" s="13">
        <f t="shared" si="51"/>
        <v>12.682073764365764</v>
      </c>
      <c r="GX23" s="20">
        <f t="shared" si="28"/>
        <v>96.262045139603686</v>
      </c>
      <c r="GY23" s="59">
        <f t="shared" si="29"/>
        <v>389.595378472937</v>
      </c>
      <c r="GZ23" s="59">
        <f ca="1">AVERAGE(OFFSET($GY$3,0,0,'Données projet'!$E$18+1,1))-AVERAGE(OFFSET($H$3,0,0,'Données projet'!$E$18+1,1))</f>
        <v>308.80022073574963</v>
      </c>
      <c r="HA23" s="59">
        <f t="shared" si="52"/>
        <v>183.96267407004115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443.2850952483584</v>
      </c>
      <c r="S24" s="59">
        <f ca="1">AVERAGE(OFFSET($R$3,0,0,'Données projet'!$E$9+1,1))-AVERAGE(OFFSET($H$3,0,0,'Données projet'!$E$9+1,1))</f>
        <v>344.49457749226184</v>
      </c>
      <c r="T24" s="59">
        <f t="shared" si="34"/>
        <v>207.92972431357452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1.2</v>
      </c>
      <c r="AI24" s="13">
        <f>IF('Données projet'!$A$62&gt;35,AI23+AH24-AQ23,IF(A24&lt;'Données projet'!$A$62,$AF$205^A24,IF(A24='Données projet'!$A$62,'Données projet'!$B$62,AI23+AH24-AQ23)))</f>
        <v>17.409321838276906</v>
      </c>
      <c r="AJ24" s="13">
        <f>AI24*VLOOKUP('Données projet'!$B$10,Paramètres!$A$1:$I$89,3,0)*VLOOKUP('Données projet'!$B$10,Paramètres!$A$1:$I$89,5,0)</f>
        <v>15.751954399272945</v>
      </c>
      <c r="AK24" s="13">
        <f t="shared" si="35"/>
        <v>5.2664356414391653</v>
      </c>
      <c r="AL24" s="20">
        <f t="shared" si="4"/>
        <v>36.607029320906918</v>
      </c>
      <c r="AM24" s="59">
        <f t="shared" si="5"/>
        <v>329.94036265424023</v>
      </c>
      <c r="AN24" s="59">
        <f ca="1">AVERAGE(OFFSET($AM$3,0,0,'Données projet'!$E$10+1,1))-AVERAGE(OFFSET($H$3,0,0,'Données projet'!$E$10+1,1))</f>
        <v>183.0147113277086</v>
      </c>
      <c r="AO24" s="59">
        <f t="shared" si="36"/>
        <v>76.413905647258389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279.49721661620544</v>
      </c>
      <c r="BJ24" s="59">
        <f t="shared" si="38"/>
        <v>275.18739333988754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408.92670698014001</v>
      </c>
      <c r="CD24" s="59">
        <f ca="1">AVERAGE(OFFSET($CC$3,0,0,'Données projet'!$E$12+1,1))-AVERAGE(OFFSET($H$3,0,0,'Données projet'!$E$12+1,1))</f>
        <v>225.2323446080772</v>
      </c>
      <c r="CE24" s="59">
        <f t="shared" si="40"/>
        <v>222.29030402759292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49.514400000000002</v>
      </c>
      <c r="CV24" s="13">
        <f t="shared" si="41"/>
        <v>14.48828020274955</v>
      </c>
      <c r="CW24" s="20">
        <f t="shared" si="13"/>
        <v>111.47133468645548</v>
      </c>
      <c r="CX24" s="59">
        <f t="shared" si="14"/>
        <v>404.80466801978878</v>
      </c>
      <c r="CY24" s="59">
        <f ca="1">AVERAGE(OFFSET($CX$3,0,0,'Données projet'!$E$13+1,1))-AVERAGE(OFFSET($H$3,0,0,'Données projet'!$E$13+1,1))</f>
        <v>240.57184010337932</v>
      </c>
      <c r="CZ24" s="59">
        <f t="shared" si="42"/>
        <v>236.36473521227072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19.600000000000001</v>
      </c>
      <c r="DO24" s="12">
        <f>IF('Données projet'!$A$166&gt;35,DO23+DN24-DW23,IF(A24&lt;'Données projet'!$A$166,$DL$205^A24,IF(A24='Données projet'!$A$166,'Données projet'!$B$166,DO23+DN24-DW23)))</f>
        <v>122.60000000000002</v>
      </c>
      <c r="DP24" s="17">
        <f>DO24*VLOOKUP('Données projet'!$B$14,Paramètres!$A$1:$I$89,3,0)*VLOOKUP('Données projet'!$B$14,Paramètres!$A$1:$I$89,5,0)</f>
        <v>57.376800000000017</v>
      </c>
      <c r="DQ24" s="13">
        <f t="shared" si="43"/>
        <v>16.50332605578512</v>
      </c>
      <c r="DR24" s="20">
        <f t="shared" si="16"/>
        <v>128.67455288049243</v>
      </c>
      <c r="DS24" s="59">
        <f t="shared" si="17"/>
        <v>422.00788621382571</v>
      </c>
      <c r="DT24" s="59">
        <f ca="1">AVERAGE(OFFSET($DS$3,0,0,'Données projet'!$E$14+1,1))-AVERAGE(OFFSET($H$3,0,0,'Données projet'!$E$14+1,1))</f>
        <v>304.29617570272939</v>
      </c>
      <c r="DU24" s="59">
        <f t="shared" si="44"/>
        <v>246.20695736161576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15.4</v>
      </c>
      <c r="EJ24" s="12">
        <f>IF('Données projet'!$A$192&gt;35,EJ23+EI24-ER23,IF(A24&lt;'Données projet'!$A$192,$EG$205^A24,IF(A24='Données projet'!$A$192,'Données projet'!$B$192,EJ23+EI24-ER23)))</f>
        <v>114.4</v>
      </c>
      <c r="EK24" s="17">
        <f>EJ24*VLOOKUP('Données projet'!$B$15,Paramètres!$A$1:$I$89,3,0)*VLOOKUP('Données projet'!$B$15,Paramètres!$A$1:$I$89,5,0)</f>
        <v>68.411200000000008</v>
      </c>
      <c r="EL24" s="13">
        <f t="shared" si="45"/>
        <v>19.278376882353381</v>
      </c>
      <c r="EM24" s="20">
        <f t="shared" si="19"/>
        <v>152.72601307009882</v>
      </c>
      <c r="EN24" s="59">
        <f t="shared" si="20"/>
        <v>446.05934640343213</v>
      </c>
      <c r="EO24" s="59">
        <f ca="1">AVERAGE(OFFSET($EN$3,0,0,'Données projet'!$E$15+1,1))-AVERAGE(OFFSET($H$3,0,0,'Données projet'!$E$15+1,1))</f>
        <v>288.41846134875794</v>
      </c>
      <c r="EP24" s="59">
        <f t="shared" si="46"/>
        <v>248.93951719818972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11.011578049108431</v>
      </c>
      <c r="EY24" s="22">
        <f t="shared" si="21"/>
        <v>11.011578049108431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28</v>
      </c>
      <c r="FE24" s="12">
        <f>IF('Données projet'!$A$218&gt;35,FE23+FD24-FM23,IF(A24&lt;'Données projet'!$A$218,$FB$205^A24,IF(A24='Données projet'!$A$218,'Données projet'!$B$218,FE23+FD24-FM23)))</f>
        <v>130</v>
      </c>
      <c r="FF24" s="17">
        <f>FE24*VLOOKUP('Données projet'!$B$16,Paramètres!$A$1:$I$89,3,0)*VLOOKUP('Données projet'!$B$16,Paramètres!$A$1:$I$89,5,0)</f>
        <v>59.15</v>
      </c>
      <c r="FG24" s="13">
        <f t="shared" si="47"/>
        <v>16.953184212013671</v>
      </c>
      <c r="FH24" s="20">
        <f t="shared" si="22"/>
        <v>132.54637916925714</v>
      </c>
      <c r="FI24" s="59">
        <f t="shared" si="23"/>
        <v>425.87971250259045</v>
      </c>
      <c r="FJ24" s="59">
        <f ca="1">AVERAGE(OFFSET($FI$3,0,0,'Données projet'!$E$16+1,1))-AVERAGE(OFFSET($H$3,0,0,'Données projet'!$E$16+1,1))</f>
        <v>367.36535411813264</v>
      </c>
      <c r="FK24" s="59">
        <f t="shared" si="48"/>
        <v>293.19545174980556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16.392472048530983</v>
      </c>
      <c r="FT24" s="22">
        <f t="shared" si="24"/>
        <v>16.392472048530983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21.8</v>
      </c>
      <c r="FZ24" s="12">
        <f>IF('Données projet'!$A$244&gt;35,FZ23+FY24-GH23,IF(A24&lt;'Données projet'!$A$244,$FW$205^A24,IF(A24='Données projet'!$A$244,'Données projet'!$B$244,FZ23+FY24-GH23)))</f>
        <v>117.8</v>
      </c>
      <c r="GA24" s="17">
        <f>FZ24*VLOOKUP('Données projet'!$B$17,Paramètres!$A$1:$I$89,3,0)*VLOOKUP('Données projet'!$B$17,Paramètres!$A$1:$I$89,5,0)</f>
        <v>56.661799999999999</v>
      </c>
      <c r="GB24" s="13">
        <f t="shared" si="49"/>
        <v>16.321476084573483</v>
      </c>
      <c r="GC24" s="20">
        <f t="shared" si="25"/>
        <v>127.11253918063214</v>
      </c>
      <c r="GD24" s="59">
        <f t="shared" si="26"/>
        <v>420.44587251396547</v>
      </c>
      <c r="GE24" s="59">
        <f ca="1">AVERAGE(OFFSET($GD$3,0,0,'Données projet'!$E$17+1,1))-AVERAGE(OFFSET($H$3,0,0,'Données projet'!$E$17+1,1))</f>
        <v>312.64506496298173</v>
      </c>
      <c r="GF24" s="59">
        <f t="shared" si="50"/>
        <v>259.97532509897508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5.6</v>
      </c>
      <c r="GU24" s="12">
        <f>IF('Données projet'!$A$270&gt;35,GU23+GT24-HC23,IF(A24&lt;'Données projet'!$A$270,$GR$205^A24,IF(A24='Données projet'!$A$270,'Données projet'!$B$270,GU23+GT24-HC23)))</f>
        <v>47.6</v>
      </c>
      <c r="GV24" s="17">
        <f>GU24*VLOOKUP('Données projet'!$B$18,Paramètres!$A$1:$I$89,3,0)*VLOOKUP('Données projet'!$B$18,Paramètres!$A$1:$I$89,5,0)</f>
        <v>48.266400000000004</v>
      </c>
      <c r="GW24" s="13">
        <f t="shared" si="51"/>
        <v>14.165134590154434</v>
      </c>
      <c r="GX24" s="20">
        <f t="shared" si="28"/>
        <v>108.73492274451898</v>
      </c>
      <c r="GY24" s="59">
        <f t="shared" si="29"/>
        <v>402.06825607785231</v>
      </c>
      <c r="GZ24" s="59">
        <f ca="1">AVERAGE(OFFSET($GY$3,0,0,'Données projet'!$E$18+1,1))-AVERAGE(OFFSET($H$3,0,0,'Données projet'!$E$18+1,1))</f>
        <v>308.80022073574963</v>
      </c>
      <c r="HA24" s="59">
        <f t="shared" si="52"/>
        <v>183.96267407004115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457.4472396337602</v>
      </c>
      <c r="S25" s="59">
        <f ca="1">AVERAGE(OFFSET($R$3,0,0,'Données projet'!$E$9+1,1))-AVERAGE(OFFSET($H$3,0,0,'Données projet'!$E$9+1,1))</f>
        <v>344.49457749226184</v>
      </c>
      <c r="T25" s="59">
        <f t="shared" si="34"/>
        <v>207.92972431357452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1.2</v>
      </c>
      <c r="AI25" s="13">
        <f>IF('Données projet'!$A$62&gt;35,AI24+AH25-AQ24,IF(A25&lt;'Données projet'!$A$62,$AF$205^A25,IF(A25='Données projet'!$A$62,'Données projet'!$B$62,AI24+AH25-AQ24)))</f>
        <v>19.946500129940819</v>
      </c>
      <c r="AJ25" s="13">
        <f>AI25*VLOOKUP('Données projet'!$B$10,Paramètres!$A$1:$I$89,3,0)*VLOOKUP('Données projet'!$B$10,Paramètres!$A$1:$I$89,5,0)</f>
        <v>18.047593317570453</v>
      </c>
      <c r="AK25" s="13">
        <f t="shared" si="35"/>
        <v>5.9391480972072355</v>
      </c>
      <c r="AL25" s="20">
        <f t="shared" si="4"/>
        <v>41.776907964071142</v>
      </c>
      <c r="AM25" s="59">
        <f t="shared" si="5"/>
        <v>335.11024129740446</v>
      </c>
      <c r="AN25" s="59">
        <f ca="1">AVERAGE(OFFSET($AM$3,0,0,'Données projet'!$E$10+1,1))-AVERAGE(OFFSET($H$3,0,0,'Données projet'!$E$10+1,1))</f>
        <v>183.0147113277086</v>
      </c>
      <c r="AO25" s="59">
        <f t="shared" si="36"/>
        <v>76.413905647258389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279.49721661620544</v>
      </c>
      <c r="BJ25" s="59">
        <f t="shared" si="38"/>
        <v>275.18739333988754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430.83304006554124</v>
      </c>
      <c r="CD25" s="59">
        <f ca="1">AVERAGE(OFFSET($CC$3,0,0,'Données projet'!$E$12+1,1))-AVERAGE(OFFSET($H$3,0,0,'Données projet'!$E$12+1,1))</f>
        <v>225.2323446080772</v>
      </c>
      <c r="CE25" s="59">
        <f t="shared" si="40"/>
        <v>222.29030402759292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60.278400000000005</v>
      </c>
      <c r="CV25" s="13">
        <f t="shared" si="41"/>
        <v>17.238638291828391</v>
      </c>
      <c r="CW25" s="20">
        <f t="shared" si="13"/>
        <v>135.00884169160113</v>
      </c>
      <c r="CX25" s="59">
        <f t="shared" si="14"/>
        <v>428.34217502493448</v>
      </c>
      <c r="CY25" s="59">
        <f ca="1">AVERAGE(OFFSET($CX$3,0,0,'Données projet'!$E$13+1,1))-AVERAGE(OFFSET($H$3,0,0,'Données projet'!$E$13+1,1))</f>
        <v>240.57184010337932</v>
      </c>
      <c r="CZ25" s="59">
        <f t="shared" si="42"/>
        <v>236.36473521227072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19.600000000000001</v>
      </c>
      <c r="DO25" s="12">
        <f>IF('Données projet'!$A$166&gt;35,DO24+DN25-DW24,IF(A25&lt;'Données projet'!$A$166,$DL$205^A25,IF(A25='Données projet'!$A$166,'Données projet'!$B$166,DO24+DN25-DW24)))</f>
        <v>142.20000000000002</v>
      </c>
      <c r="DP25" s="17">
        <f>DO25*VLOOKUP('Données projet'!$B$14,Paramètres!$A$1:$I$89,3,0)*VLOOKUP('Données projet'!$B$14,Paramètres!$A$1:$I$89,5,0)</f>
        <v>66.549600000000012</v>
      </c>
      <c r="DQ25" s="13">
        <f t="shared" si="43"/>
        <v>18.814097226522279</v>
      </c>
      <c r="DR25" s="20">
        <f t="shared" si="16"/>
        <v>148.67510600285965</v>
      </c>
      <c r="DS25" s="59">
        <f t="shared" si="17"/>
        <v>442.00843933619296</v>
      </c>
      <c r="DT25" s="59">
        <f ca="1">AVERAGE(OFFSET($DS$3,0,0,'Données projet'!$E$14+1,1))-AVERAGE(OFFSET($H$3,0,0,'Données projet'!$E$14+1,1))</f>
        <v>304.29617570272939</v>
      </c>
      <c r="DU25" s="59">
        <f t="shared" si="44"/>
        <v>246.20695736161576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15.4</v>
      </c>
      <c r="EJ25" s="12">
        <f>IF('Données projet'!$A$192&gt;35,EJ24+EI25-ER24,IF(A25&lt;'Données projet'!$A$192,$EG$205^A25,IF(A25='Données projet'!$A$192,'Données projet'!$B$192,EJ24+EI25-ER24)))</f>
        <v>129.80000000000001</v>
      </c>
      <c r="EK25" s="17">
        <f>EJ25*VLOOKUP('Données projet'!$B$15,Paramètres!$A$1:$I$89,3,0)*VLOOKUP('Données projet'!$B$15,Paramètres!$A$1:$I$89,5,0)</f>
        <v>77.620400000000004</v>
      </c>
      <c r="EL25" s="13">
        <f t="shared" si="45"/>
        <v>21.554340999058081</v>
      </c>
      <c r="EM25" s="20">
        <f t="shared" si="19"/>
        <v>172.72934057335951</v>
      </c>
      <c r="EN25" s="59">
        <f t="shared" si="20"/>
        <v>466.06267390669279</v>
      </c>
      <c r="EO25" s="59">
        <f ca="1">AVERAGE(OFFSET($EN$3,0,0,'Données projet'!$E$15+1,1))-AVERAGE(OFFSET($H$3,0,0,'Données projet'!$E$15+1,1))</f>
        <v>288.41846134875794</v>
      </c>
      <c r="EP25" s="59">
        <f t="shared" si="46"/>
        <v>248.93951719818972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7.7863615100895061</v>
      </c>
      <c r="EY25" s="22">
        <f t="shared" si="21"/>
        <v>7.7863615100895061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28</v>
      </c>
      <c r="FE25" s="12">
        <f>IF('Données projet'!$A$218&gt;35,FE24+FD25-FM24,IF(A25&lt;'Données projet'!$A$218,$FB$205^A25,IF(A25='Données projet'!$A$218,'Données projet'!$B$218,FE24+FD25-FM24)))</f>
        <v>158</v>
      </c>
      <c r="FF25" s="17">
        <f>FE25*VLOOKUP('Données projet'!$B$16,Paramètres!$A$1:$I$89,3,0)*VLOOKUP('Données projet'!$B$16,Paramètres!$A$1:$I$89,5,0)</f>
        <v>71.89</v>
      </c>
      <c r="FG25" s="13">
        <f t="shared" si="47"/>
        <v>20.142080947499331</v>
      </c>
      <c r="FH25" s="20">
        <f t="shared" si="22"/>
        <v>160.28920765022801</v>
      </c>
      <c r="FI25" s="59">
        <f t="shared" si="23"/>
        <v>453.62254098356129</v>
      </c>
      <c r="FJ25" s="59">
        <f ca="1">AVERAGE(OFFSET($FI$3,0,0,'Données projet'!$E$16+1,1))-AVERAGE(OFFSET($H$3,0,0,'Données projet'!$E$16+1,1))</f>
        <v>367.36535411813264</v>
      </c>
      <c r="FK25" s="59">
        <f t="shared" si="48"/>
        <v>293.19545174980556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11.591228145927195</v>
      </c>
      <c r="FT25" s="22">
        <f t="shared" si="24"/>
        <v>11.591228145927195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21.8</v>
      </c>
      <c r="FZ25" s="12">
        <f>IF('Données projet'!$A$244&gt;35,FZ24+FY25-GH24,IF(A25&lt;'Données projet'!$A$244,$FW$205^A25,IF(A25='Données projet'!$A$244,'Données projet'!$B$244,FZ24+FY25-GH24)))</f>
        <v>139.6</v>
      </c>
      <c r="GA25" s="17">
        <f>FZ25*VLOOKUP('Données projet'!$B$17,Paramètres!$A$1:$I$89,3,0)*VLOOKUP('Données projet'!$B$17,Paramètres!$A$1:$I$89,5,0)</f>
        <v>67.147599999999997</v>
      </c>
      <c r="GB25" s="13">
        <f t="shared" si="49"/>
        <v>18.963400179892353</v>
      </c>
      <c r="GC25" s="20">
        <f t="shared" si="25"/>
        <v>149.97665864664586</v>
      </c>
      <c r="GD25" s="59">
        <f t="shared" si="26"/>
        <v>443.30999197997915</v>
      </c>
      <c r="GE25" s="59">
        <f ca="1">AVERAGE(OFFSET($GD$3,0,0,'Données projet'!$E$17+1,1))-AVERAGE(OFFSET($H$3,0,0,'Données projet'!$E$17+1,1))</f>
        <v>312.64506496298173</v>
      </c>
      <c r="GF25" s="59">
        <f t="shared" si="50"/>
        <v>259.97532509897508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5.6</v>
      </c>
      <c r="GU25" s="12">
        <f>IF('Données projet'!$A$270&gt;35,GU24+GT25-HC24,IF(A25&lt;'Données projet'!$A$270,$GR$205^A25,IF(A25='Données projet'!$A$270,'Données projet'!$B$270,GU24+GT25-HC24)))</f>
        <v>53.2</v>
      </c>
      <c r="GV25" s="17">
        <f>GU25*VLOOKUP('Données projet'!$B$18,Paramètres!$A$1:$I$89,3,0)*VLOOKUP('Données projet'!$B$18,Paramètres!$A$1:$I$89,5,0)</f>
        <v>53.944800000000008</v>
      </c>
      <c r="GW25" s="13">
        <f t="shared" si="51"/>
        <v>15.627975445731321</v>
      </c>
      <c r="GX25" s="20">
        <f t="shared" si="28"/>
        <v>121.17258390131538</v>
      </c>
      <c r="GY25" s="59">
        <f t="shared" si="29"/>
        <v>414.50591723464868</v>
      </c>
      <c r="GZ25" s="59">
        <f ca="1">AVERAGE(OFFSET($GY$3,0,0,'Données projet'!$E$18+1,1))-AVERAGE(OFFSET($H$3,0,0,'Données projet'!$E$18+1,1))</f>
        <v>308.80022073574963</v>
      </c>
      <c r="HA25" s="59">
        <f t="shared" si="52"/>
        <v>183.96267407004115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471.5805004860498</v>
      </c>
      <c r="S26" s="59">
        <f ca="1">AVERAGE(OFFSET($R$3,0,0,'Données projet'!$E$9+1,1))-AVERAGE(OFFSET($H$3,0,0,'Données projet'!$E$9+1,1))</f>
        <v>344.49457749226184</v>
      </c>
      <c r="T26" s="59">
        <f t="shared" si="34"/>
        <v>207.92972431357452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1.2</v>
      </c>
      <c r="AI26" s="13">
        <f>IF('Données projet'!$A$62&gt;35,AI25+AH26-AQ25,IF(A26&lt;'Données projet'!$A$62,$AF$205^A26,IF(A26='Données projet'!$A$62,'Données projet'!$B$62,AI25+AH26-AQ25)))</f>
        <v>22.853438584779923</v>
      </c>
      <c r="AJ26" s="13">
        <f>AI26*VLOOKUP('Données projet'!$B$10,Paramètres!$A$1:$I$89,3,0)*VLOOKUP('Données projet'!$B$10,Paramètres!$A$1:$I$89,5,0)</f>
        <v>20.677791231508873</v>
      </c>
      <c r="AK26" s="13">
        <f t="shared" si="35"/>
        <v>6.6977900276630162</v>
      </c>
      <c r="AL26" s="20">
        <f t="shared" si="4"/>
        <v>47.679137359724372</v>
      </c>
      <c r="AM26" s="59">
        <f t="shared" si="5"/>
        <v>341.01247069305771</v>
      </c>
      <c r="AN26" s="59">
        <f ca="1">AVERAGE(OFFSET($AM$3,0,0,'Données projet'!$E$10+1,1))-AVERAGE(OFFSET($H$3,0,0,'Données projet'!$E$10+1,1))</f>
        <v>183.0147113277086</v>
      </c>
      <c r="AO26" s="59">
        <f t="shared" si="36"/>
        <v>76.413905647258389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279.49721661620544</v>
      </c>
      <c r="BJ26" s="59">
        <f t="shared" si="38"/>
        <v>275.18739333988754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452.65529504095446</v>
      </c>
      <c r="CD26" s="59">
        <f ca="1">AVERAGE(OFFSET($CC$3,0,0,'Données projet'!$E$12+1,1))-AVERAGE(OFFSET($H$3,0,0,'Données projet'!$E$12+1,1))</f>
        <v>225.2323446080772</v>
      </c>
      <c r="CE26" s="59">
        <f t="shared" si="40"/>
        <v>222.29030402759292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71.042400000000001</v>
      </c>
      <c r="CV26" s="13">
        <f t="shared" si="41"/>
        <v>19.932099110622822</v>
      </c>
      <c r="CW26" s="20">
        <f t="shared" si="13"/>
        <v>158.44725261766806</v>
      </c>
      <c r="CX26" s="59">
        <f t="shared" si="14"/>
        <v>451.7805859510014</v>
      </c>
      <c r="CY26" s="59">
        <f ca="1">AVERAGE(OFFSET($CX$3,0,0,'Données projet'!$E$13+1,1))-AVERAGE(OFFSET($H$3,0,0,'Données projet'!$E$13+1,1))</f>
        <v>240.57184010337932</v>
      </c>
      <c r="CZ26" s="59">
        <f t="shared" si="42"/>
        <v>236.36473521227072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19.600000000000001</v>
      </c>
      <c r="DO26" s="12">
        <f>IF('Données projet'!$A$166&gt;35,DO25+DN26-DW25,IF(A26&lt;'Données projet'!$A$166,$DL$205^A26,IF(A26='Données projet'!$A$166,'Données projet'!$B$166,DO25+DN26-DW25)))</f>
        <v>161.80000000000001</v>
      </c>
      <c r="DP26" s="17">
        <f>DO26*VLOOKUP('Données projet'!$B$14,Paramètres!$A$1:$I$89,3,0)*VLOOKUP('Données projet'!$B$14,Paramètres!$A$1:$I$89,5,0)</f>
        <v>75.722400000000007</v>
      </c>
      <c r="DQ26" s="13">
        <f t="shared" si="43"/>
        <v>21.087967253107756</v>
      </c>
      <c r="DR26" s="20">
        <f t="shared" si="16"/>
        <v>168.61138963249601</v>
      </c>
      <c r="DS26" s="59">
        <f t="shared" si="17"/>
        <v>461.94472296582933</v>
      </c>
      <c r="DT26" s="59">
        <f ca="1">AVERAGE(OFFSET($DS$3,0,0,'Données projet'!$E$14+1,1))-AVERAGE(OFFSET($H$3,0,0,'Données projet'!$E$14+1,1))</f>
        <v>304.29617570272939</v>
      </c>
      <c r="DU26" s="59">
        <f t="shared" si="44"/>
        <v>246.20695736161576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15.4</v>
      </c>
      <c r="EJ26" s="12">
        <f>IF('Données projet'!$A$192&gt;35,EJ25+EI26-ER25,IF(A26&lt;'Données projet'!$A$192,$EG$205^A26,IF(A26='Données projet'!$A$192,'Données projet'!$B$192,EJ25+EI26-ER25)))</f>
        <v>145.20000000000002</v>
      </c>
      <c r="EK26" s="17">
        <f>EJ26*VLOOKUP('Données projet'!$B$15,Paramètres!$A$1:$I$89,3,0)*VLOOKUP('Données projet'!$B$15,Paramètres!$A$1:$I$89,5,0)</f>
        <v>86.829600000000028</v>
      </c>
      <c r="EL26" s="13">
        <f t="shared" si="45"/>
        <v>23.799012289012015</v>
      </c>
      <c r="EM26" s="20">
        <f t="shared" si="19"/>
        <v>192.67816640336261</v>
      </c>
      <c r="EN26" s="59">
        <f t="shared" si="20"/>
        <v>486.0114997366959</v>
      </c>
      <c r="EO26" s="59">
        <f ca="1">AVERAGE(OFFSET($EN$3,0,0,'Données projet'!$E$15+1,1))-AVERAGE(OFFSET($H$3,0,0,'Données projet'!$E$15+1,1))</f>
        <v>288.41846134875794</v>
      </c>
      <c r="EP26" s="59">
        <f t="shared" si="46"/>
        <v>248.93951719818972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5.5057890245542165</v>
      </c>
      <c r="EY26" s="22">
        <f t="shared" si="21"/>
        <v>5.5057890245542165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28</v>
      </c>
      <c r="FE26" s="12">
        <f>IF('Données projet'!$A$218&gt;35,FE25+FD26-FM25,IF(A26&lt;'Données projet'!$A$218,$FB$205^A26,IF(A26='Données projet'!$A$218,'Données projet'!$B$218,FE25+FD26-FM25)))</f>
        <v>186</v>
      </c>
      <c r="FF26" s="17">
        <f>FE26*VLOOKUP('Données projet'!$B$16,Paramètres!$A$1:$I$89,3,0)*VLOOKUP('Données projet'!$B$16,Paramètres!$A$1:$I$89,5,0)</f>
        <v>84.63</v>
      </c>
      <c r="FG26" s="13">
        <f t="shared" si="47"/>
        <v>23.265509752734509</v>
      </c>
      <c r="FH26" s="20">
        <f t="shared" si="22"/>
        <v>187.9180128193459</v>
      </c>
      <c r="FI26" s="59">
        <f t="shared" si="23"/>
        <v>481.25134615267922</v>
      </c>
      <c r="FJ26" s="59">
        <f ca="1">AVERAGE(OFFSET($FI$3,0,0,'Données projet'!$E$16+1,1))-AVERAGE(OFFSET($H$3,0,0,'Données projet'!$E$16+1,1))</f>
        <v>367.36535411813264</v>
      </c>
      <c r="FK26" s="59">
        <f t="shared" si="48"/>
        <v>293.19545174980556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8.1962360242654917</v>
      </c>
      <c r="FT26" s="22">
        <f t="shared" si="24"/>
        <v>8.1962360242654917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21.8</v>
      </c>
      <c r="FZ26" s="12">
        <f>IF('Données projet'!$A$244&gt;35,FZ25+FY26-GH25,IF(A26&lt;'Données projet'!$A$244,$FW$205^A26,IF(A26='Données projet'!$A$244,'Données projet'!$B$244,FZ25+FY26-GH25)))</f>
        <v>161.4</v>
      </c>
      <c r="GA26" s="17">
        <f>FZ26*VLOOKUP('Données projet'!$B$17,Paramètres!$A$1:$I$89,3,0)*VLOOKUP('Données projet'!$B$17,Paramètres!$A$1:$I$89,5,0)</f>
        <v>77.633400000000009</v>
      </c>
      <c r="GB26" s="13">
        <f t="shared" si="49"/>
        <v>21.557530727415145</v>
      </c>
      <c r="GC26" s="20">
        <f t="shared" si="25"/>
        <v>172.75753768358138</v>
      </c>
      <c r="GD26" s="59">
        <f t="shared" si="26"/>
        <v>466.09087101691466</v>
      </c>
      <c r="GE26" s="59">
        <f ca="1">AVERAGE(OFFSET($GD$3,0,0,'Données projet'!$E$17+1,1))-AVERAGE(OFFSET($H$3,0,0,'Données projet'!$E$17+1,1))</f>
        <v>312.64506496298173</v>
      </c>
      <c r="GF26" s="59">
        <f t="shared" si="50"/>
        <v>259.97532509897508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5.6</v>
      </c>
      <c r="GU26" s="12">
        <f>IF('Données projet'!$A$270&gt;35,GU25+GT26-HC25,IF(A26&lt;'Données projet'!$A$270,$GR$205^A26,IF(A26='Données projet'!$A$270,'Données projet'!$B$270,GU25+GT26-HC25)))</f>
        <v>58.800000000000004</v>
      </c>
      <c r="GV26" s="17">
        <f>GU26*VLOOKUP('Données projet'!$B$18,Paramètres!$A$1:$I$89,3,0)*VLOOKUP('Données projet'!$B$18,Paramètres!$A$1:$I$89,5,0)</f>
        <v>59.623200000000011</v>
      </c>
      <c r="GW26" s="13">
        <f t="shared" si="51"/>
        <v>17.072967249098898</v>
      </c>
      <c r="GX26" s="20">
        <f t="shared" si="28"/>
        <v>133.57915795884725</v>
      </c>
      <c r="GY26" s="59">
        <f t="shared" si="29"/>
        <v>426.91249129218056</v>
      </c>
      <c r="GZ26" s="59">
        <f ca="1">AVERAGE(OFFSET($GY$3,0,0,'Données projet'!$E$18+1,1))-AVERAGE(OFFSET($H$3,0,0,'Données projet'!$E$18+1,1))</f>
        <v>308.80022073574963</v>
      </c>
      <c r="HA26" s="59">
        <f t="shared" si="52"/>
        <v>183.96267407004115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485.6874918520171</v>
      </c>
      <c r="S27" s="59">
        <f ca="1">AVERAGE(OFFSET($R$3,0,0,'Données projet'!$E$9+1,1))-AVERAGE(OFFSET($H$3,0,0,'Données projet'!$E$9+1,1))</f>
        <v>344.49457749226184</v>
      </c>
      <c r="T27" s="59">
        <f t="shared" si="34"/>
        <v>207.92972431357452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1.2</v>
      </c>
      <c r="AI27" s="13">
        <f>IF('Données projet'!$A$62&gt;35,AI26+AH27-AQ26,IF(A27&lt;'Données projet'!$A$62,$AF$205^A27,IF(A27='Données projet'!$A$62,'Données projet'!$B$62,AI26+AH27-AQ26)))</f>
        <v>26.184024853780567</v>
      </c>
      <c r="AJ27" s="13">
        <f>AI27*VLOOKUP('Données projet'!$B$10,Paramètres!$A$1:$I$89,3,0)*VLOOKUP('Données projet'!$B$10,Paramètres!$A$1:$I$89,5,0)</f>
        <v>23.691305687700655</v>
      </c>
      <c r="AK27" s="13">
        <f t="shared" si="35"/>
        <v>7.5533377044018843</v>
      </c>
      <c r="AL27" s="20">
        <f t="shared" si="4"/>
        <v>54.417753907911923</v>
      </c>
      <c r="AM27" s="59">
        <f t="shared" si="5"/>
        <v>347.75108724124522</v>
      </c>
      <c r="AN27" s="59">
        <f ca="1">AVERAGE(OFFSET($AM$3,0,0,'Données projet'!$E$10+1,1))-AVERAGE(OFFSET($H$3,0,0,'Données projet'!$E$10+1,1))</f>
        <v>183.0147113277086</v>
      </c>
      <c r="AO27" s="59">
        <f t="shared" si="36"/>
        <v>76.413905647258389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279.49721661620544</v>
      </c>
      <c r="BJ27" s="59">
        <f t="shared" si="38"/>
        <v>275.18739333988754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474.40662856938241</v>
      </c>
      <c r="CD27" s="59">
        <f ca="1">AVERAGE(OFFSET($CC$3,0,0,'Données projet'!$E$12+1,1))-AVERAGE(OFFSET($H$3,0,0,'Données projet'!$E$12+1,1))</f>
        <v>225.2323446080772</v>
      </c>
      <c r="CE27" s="59">
        <f t="shared" si="40"/>
        <v>222.29030402759292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81.806399999999996</v>
      </c>
      <c r="CV27" s="13">
        <f t="shared" si="41"/>
        <v>22.578282710556032</v>
      </c>
      <c r="CW27" s="20">
        <f t="shared" si="13"/>
        <v>181.80332238755173</v>
      </c>
      <c r="CX27" s="59">
        <f t="shared" si="14"/>
        <v>475.13665572088507</v>
      </c>
      <c r="CY27" s="59">
        <f ca="1">AVERAGE(OFFSET($CX$3,0,0,'Données projet'!$E$13+1,1))-AVERAGE(OFFSET($H$3,0,0,'Données projet'!$E$13+1,1))</f>
        <v>240.57184010337932</v>
      </c>
      <c r="CZ27" s="59">
        <f t="shared" si="42"/>
        <v>236.36473521227072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19.600000000000001</v>
      </c>
      <c r="DO27" s="12">
        <f>IF('Données projet'!$A$166&gt;35,DO26+DN27-DW26,IF(A27&lt;'Données projet'!$A$166,$DL$205^A27,IF(A27='Données projet'!$A$166,'Données projet'!$B$166,DO26+DN27-DW26)))</f>
        <v>181.4</v>
      </c>
      <c r="DP27" s="17">
        <f>DO27*VLOOKUP('Données projet'!$B$14,Paramètres!$A$1:$I$89,3,0)*VLOOKUP('Données projet'!$B$14,Paramètres!$A$1:$I$89,5,0)</f>
        <v>84.895200000000003</v>
      </c>
      <c r="DQ27" s="13">
        <f t="shared" si="43"/>
        <v>23.329917533864627</v>
      </c>
      <c r="DR27" s="20">
        <f t="shared" si="16"/>
        <v>188.49207970481424</v>
      </c>
      <c r="DS27" s="59">
        <f t="shared" si="17"/>
        <v>481.82541303814753</v>
      </c>
      <c r="DT27" s="59">
        <f ca="1">AVERAGE(OFFSET($DS$3,0,0,'Données projet'!$E$14+1,1))-AVERAGE(OFFSET($H$3,0,0,'Données projet'!$E$14+1,1))</f>
        <v>304.29617570272939</v>
      </c>
      <c r="DU27" s="59">
        <f t="shared" si="44"/>
        <v>246.20695736161576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15.4</v>
      </c>
      <c r="EJ27" s="12">
        <f>IF('Données projet'!$A$192&gt;35,EJ26+EI27-ER26,IF(A27&lt;'Données projet'!$A$192,$EG$205^A27,IF(A27='Données projet'!$A$192,'Données projet'!$B$192,EJ26+EI27-ER26)))</f>
        <v>160.60000000000002</v>
      </c>
      <c r="EK27" s="17">
        <f>EJ27*VLOOKUP('Données projet'!$B$15,Paramètres!$A$1:$I$89,3,0)*VLOOKUP('Données projet'!$B$15,Paramètres!$A$1:$I$89,5,0)</f>
        <v>96.038800000000023</v>
      </c>
      <c r="EL27" s="13">
        <f t="shared" si="45"/>
        <v>26.016087885665684</v>
      </c>
      <c r="EM27" s="20">
        <f t="shared" si="19"/>
        <v>212.5789297342011</v>
      </c>
      <c r="EN27" s="59">
        <f t="shared" si="20"/>
        <v>505.91226306753441</v>
      </c>
      <c r="EO27" s="59">
        <f ca="1">AVERAGE(OFFSET($EN$3,0,0,'Données projet'!$E$15+1,1))-AVERAGE(OFFSET($H$3,0,0,'Données projet'!$E$15+1,1))</f>
        <v>288.41846134875794</v>
      </c>
      <c r="EP27" s="59">
        <f t="shared" si="46"/>
        <v>248.93951719818972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3.8931807550447535</v>
      </c>
      <c r="EY27" s="22">
        <f t="shared" si="21"/>
        <v>3.8931807550447535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28</v>
      </c>
      <c r="FE27" s="12">
        <f>IF('Données projet'!$A$218&gt;35,FE26+FD27-FM26,IF(A27&lt;'Données projet'!$A$218,$FB$205^A27,IF(A27='Données projet'!$A$218,'Données projet'!$B$218,FE26+FD27-FM26)))</f>
        <v>214</v>
      </c>
      <c r="FF27" s="17">
        <f>FE27*VLOOKUP('Données projet'!$B$16,Paramètres!$A$1:$I$89,3,0)*VLOOKUP('Données projet'!$B$16,Paramètres!$A$1:$I$89,5,0)</f>
        <v>97.36999999999999</v>
      </c>
      <c r="FG27" s="13">
        <f t="shared" si="47"/>
        <v>26.33446774380598</v>
      </c>
      <c r="FH27" s="20">
        <f t="shared" si="22"/>
        <v>215.4519479871287</v>
      </c>
      <c r="FI27" s="59">
        <f t="shared" si="23"/>
        <v>508.78528132046199</v>
      </c>
      <c r="FJ27" s="59">
        <f ca="1">AVERAGE(OFFSET($FI$3,0,0,'Données projet'!$E$16+1,1))-AVERAGE(OFFSET($H$3,0,0,'Données projet'!$E$16+1,1))</f>
        <v>367.36535411813264</v>
      </c>
      <c r="FK27" s="59">
        <f t="shared" si="48"/>
        <v>293.19545174980556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5.7956140729635974</v>
      </c>
      <c r="FT27" s="22">
        <f t="shared" si="24"/>
        <v>5.7956140729635974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21.8</v>
      </c>
      <c r="FZ27" s="12">
        <f>IF('Données projet'!$A$244&gt;35,FZ26+FY27-GH26,IF(A27&lt;'Données projet'!$A$244,$FW$205^A27,IF(A27='Données projet'!$A$244,'Données projet'!$B$244,FZ26+FY27-GH26)))</f>
        <v>183.20000000000002</v>
      </c>
      <c r="GA27" s="17">
        <f>FZ27*VLOOKUP('Données projet'!$B$17,Paramètres!$A$1:$I$89,3,0)*VLOOKUP('Données projet'!$B$17,Paramètres!$A$1:$I$89,5,0)</f>
        <v>88.119200000000006</v>
      </c>
      <c r="GB27" s="13">
        <f t="shared" si="49"/>
        <v>24.111065289238994</v>
      </c>
      <c r="GC27" s="20">
        <f t="shared" si="25"/>
        <v>195.46771204542458</v>
      </c>
      <c r="GD27" s="59">
        <f t="shared" si="26"/>
        <v>488.80104537875786</v>
      </c>
      <c r="GE27" s="59">
        <f ca="1">AVERAGE(OFFSET($GD$3,0,0,'Données projet'!$E$17+1,1))-AVERAGE(OFFSET($H$3,0,0,'Données projet'!$E$17+1,1))</f>
        <v>312.64506496298173</v>
      </c>
      <c r="GF27" s="59">
        <f t="shared" si="50"/>
        <v>259.97532509897508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5.6</v>
      </c>
      <c r="GU27" s="12">
        <f>IF('Données projet'!$A$270&gt;35,GU26+GT27-HC26,IF(A27&lt;'Données projet'!$A$270,$GR$205^A27,IF(A27='Données projet'!$A$270,'Données projet'!$B$270,GU26+GT27-HC26)))</f>
        <v>64.400000000000006</v>
      </c>
      <c r="GV27" s="17">
        <f>GU27*VLOOKUP('Données projet'!$B$18,Paramètres!$A$1:$I$89,3,0)*VLOOKUP('Données projet'!$B$18,Paramètres!$A$1:$I$89,5,0)</f>
        <v>65.301600000000008</v>
      </c>
      <c r="GW27" s="13">
        <f t="shared" si="51"/>
        <v>18.502003309535596</v>
      </c>
      <c r="GX27" s="20">
        <f t="shared" si="28"/>
        <v>145.95794243077449</v>
      </c>
      <c r="GY27" s="59">
        <f t="shared" si="29"/>
        <v>439.29127576410781</v>
      </c>
      <c r="GZ27" s="59">
        <f ca="1">AVERAGE(OFFSET($GY$3,0,0,'Données projet'!$E$18+1,1))-AVERAGE(OFFSET($H$3,0,0,'Données projet'!$E$18+1,1))</f>
        <v>308.80022073574963</v>
      </c>
      <c r="HA27" s="59">
        <f t="shared" si="52"/>
        <v>183.96267407004115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499.7704125517941</v>
      </c>
      <c r="S28" s="59">
        <f ca="1">AVERAGE(OFFSET($R$3,0,0,'Données projet'!$E$9+1,1))-AVERAGE(OFFSET($H$3,0,0,'Données projet'!$E$9+1,1))</f>
        <v>344.49457749226184</v>
      </c>
      <c r="T28" s="59">
        <f t="shared" si="34"/>
        <v>207.92972431357452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30</v>
      </c>
      <c r="AG28" s="12">
        <f>VLOOKUP(A28,'Données projet'!$A$61:$I$81,9,0)</f>
        <v>1.2</v>
      </c>
      <c r="AH28" s="12">
        <f t="array" ref="AH28">INDEX(AG:AG,MIN(IF(ISNUMBER(AG28:AG224),ROW(AG28:AG224),"")))</f>
        <v>1.2</v>
      </c>
      <c r="AI28" s="13">
        <f>IF('Données projet'!$A$62&gt;35,AI27+AH28-AQ27,IF(A28&lt;'Données projet'!$A$62,$AF$205^A28,IF(A28='Données projet'!$A$62,'Données projet'!$B$62,AI27+AH28-AQ27)))</f>
        <v>30</v>
      </c>
      <c r="AJ28" s="13">
        <f>AI28*VLOOKUP('Données projet'!$B$10,Paramètres!$A$1:$I$89,3,0)*VLOOKUP('Données projet'!$B$10,Paramètres!$A$1:$I$89,5,0)</f>
        <v>27.143999999999998</v>
      </c>
      <c r="AK28" s="13">
        <f t="shared" si="35"/>
        <v>8.5181694620316346</v>
      </c>
      <c r="AL28" s="20">
        <f t="shared" si="4"/>
        <v>62.111611813038422</v>
      </c>
      <c r="AM28" s="59">
        <f t="shared" si="5"/>
        <v>355.44494514637177</v>
      </c>
      <c r="AN28" s="59">
        <f ca="1">AVERAGE(OFFSET($AM$3,0,0,'Données projet'!$E$10+1,1))-AVERAGE(OFFSET($H$3,0,0,'Données projet'!$E$10+1,1))</f>
        <v>183.0147113277086</v>
      </c>
      <c r="AO28" s="59">
        <f t="shared" si="36"/>
        <v>76.413905647258389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279.49721661620544</v>
      </c>
      <c r="BJ28" s="59">
        <f t="shared" si="38"/>
        <v>275.18739333988754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496.09676608956136</v>
      </c>
      <c r="CD28" s="59">
        <f ca="1">AVERAGE(OFFSET($CC$3,0,0,'Données projet'!$E$12+1,1))-AVERAGE(OFFSET($H$3,0,0,'Données projet'!$E$12+1,1))</f>
        <v>225.2323446080772</v>
      </c>
      <c r="CE28" s="59">
        <f t="shared" si="40"/>
        <v>222.29030402759292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92.570399999999992</v>
      </c>
      <c r="CV28" s="13">
        <f t="shared" si="41"/>
        <v>25.184123943972491</v>
      </c>
      <c r="CW28" s="20">
        <f t="shared" si="13"/>
        <v>205.08912920241872</v>
      </c>
      <c r="CX28" s="59">
        <f t="shared" si="14"/>
        <v>498.42246253575206</v>
      </c>
      <c r="CY28" s="59">
        <f ca="1">AVERAGE(OFFSET($CX$3,0,0,'Données projet'!$E$13+1,1))-AVERAGE(OFFSET($H$3,0,0,'Données projet'!$E$13+1,1))</f>
        <v>240.57184010337932</v>
      </c>
      <c r="CZ28" s="59">
        <f t="shared" si="42"/>
        <v>236.36473521227072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201</v>
      </c>
      <c r="DM28" s="12">
        <f>VLOOKUP(A28,'Données projet'!$A$165:$I$185,9,0)</f>
        <v>19.600000000000001</v>
      </c>
      <c r="DN28" s="12">
        <f t="array" ref="DN28">INDEX(DM:DM,MIN(IF(ISNUMBER(DM28:DM224),ROW(DM28:DM224),"")))</f>
        <v>19.600000000000001</v>
      </c>
      <c r="DO28" s="12">
        <f>IF('Données projet'!$A$166&gt;35,DO27+DN28-DW27,IF(A28&lt;'Données projet'!$A$166,$DL$205^A28,IF(A28='Données projet'!$A$166,'Données projet'!$B$166,DO27+DN28-DW27)))</f>
        <v>201</v>
      </c>
      <c r="DP28" s="17">
        <f>DO28*VLOOKUP('Données projet'!$B$14,Paramètres!$A$1:$I$89,3,0)*VLOOKUP('Données projet'!$B$14,Paramètres!$A$1:$I$89,5,0)</f>
        <v>94.067999999999998</v>
      </c>
      <c r="DQ28" s="13">
        <f t="shared" si="43"/>
        <v>25.543790108694029</v>
      </c>
      <c r="DR28" s="20">
        <f t="shared" si="16"/>
        <v>208.32386777264207</v>
      </c>
      <c r="DS28" s="59">
        <f t="shared" si="17"/>
        <v>501.65720110597539</v>
      </c>
      <c r="DT28" s="59">
        <f ca="1">AVERAGE(OFFSET($DS$3,0,0,'Données projet'!$E$14+1,1))-AVERAGE(OFFSET($H$3,0,0,'Données projet'!$E$14+1,1))</f>
        <v>304.29617570272939</v>
      </c>
      <c r="DU28" s="59">
        <f t="shared" si="44"/>
        <v>246.20695736161576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1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22.255158040180209</v>
      </c>
      <c r="ED28" s="22">
        <f t="shared" si="18"/>
        <v>22.255158040180209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176</v>
      </c>
      <c r="EH28" s="12">
        <f>VLOOKUP(A28,'Données projet'!$A$191:$I$211,9,0)</f>
        <v>15.4</v>
      </c>
      <c r="EI28" s="12">
        <f t="array" ref="EI28">INDEX(EH:EH,MIN(IF(ISNUMBER(EH28:EH224),ROW(EH28:EH224),"")))</f>
        <v>15.4</v>
      </c>
      <c r="EJ28" s="12">
        <f>IF('Données projet'!$A$192&gt;35,EJ27+EI28-ER27,IF(A28&lt;'Données projet'!$A$192,$EG$205^A28,IF(A28='Données projet'!$A$192,'Données projet'!$B$192,EJ27+EI28-ER27)))</f>
        <v>176.00000000000003</v>
      </c>
      <c r="EK28" s="17">
        <f>EJ28*VLOOKUP('Données projet'!$B$15,Paramètres!$A$1:$I$89,3,0)*VLOOKUP('Données projet'!$B$15,Paramètres!$A$1:$I$89,5,0)</f>
        <v>105.24800000000003</v>
      </c>
      <c r="EL28" s="13">
        <f t="shared" si="45"/>
        <v>28.208515027560551</v>
      </c>
      <c r="EM28" s="20">
        <f t="shared" si="19"/>
        <v>232.43676367300134</v>
      </c>
      <c r="EN28" s="59">
        <f t="shared" si="20"/>
        <v>525.77009700633471</v>
      </c>
      <c r="EO28" s="59">
        <f ca="1">AVERAGE(OFFSET($EN$3,0,0,'Données projet'!$E$15+1,1))-AVERAGE(OFFSET($H$3,0,0,'Données projet'!$E$15+1,1))</f>
        <v>288.41846134875794</v>
      </c>
      <c r="EP28" s="59">
        <f t="shared" si="46"/>
        <v>248.93951719818972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42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0.45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14.934063253395607</v>
      </c>
      <c r="EX28" s="21">
        <f>EXP(-LN(2)/2)*EX27+(1-EXP(-LN(2)/2))/(LN(2)/2)*ER28*EU28*VLOOKUP('Données projet'!$B$15,Paramètres!$A$1:$I$89,3,0)*0.475*44/12</f>
        <v>2.7528945122771087</v>
      </c>
      <c r="EY28" s="22">
        <f t="shared" si="21"/>
        <v>17.686957765672716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242</v>
      </c>
      <c r="FC28" s="12">
        <f>VLOOKUP(A28,'Données projet'!$A$217:$I$237,9,0)</f>
        <v>28</v>
      </c>
      <c r="FD28" s="12">
        <f t="array" ref="FD28">INDEX(FC:FC,MIN(IF(ISNUMBER(FC28:FC224),ROW(FC28:FC224),"")))</f>
        <v>28</v>
      </c>
      <c r="FE28" s="12">
        <f>IF('Données projet'!$A$218&gt;35,FE27+FD28-FM27,IF(A28&lt;'Données projet'!$A$218,$FB$205^A28,IF(A28='Données projet'!$A$218,'Données projet'!$B$218,FE27+FD28-FM27)))</f>
        <v>242</v>
      </c>
      <c r="FF28" s="17">
        <f>FE28*VLOOKUP('Données projet'!$B$16,Paramètres!$A$1:$I$89,3,0)*VLOOKUP('Données projet'!$B$16,Paramètres!$A$1:$I$89,5,0)</f>
        <v>110.10999999999999</v>
      </c>
      <c r="FG28" s="13">
        <f t="shared" si="47"/>
        <v>29.356899922727216</v>
      </c>
      <c r="FH28" s="20">
        <f t="shared" si="22"/>
        <v>242.90485069874987</v>
      </c>
      <c r="FI28" s="59">
        <f t="shared" si="23"/>
        <v>536.23818403208315</v>
      </c>
      <c r="FJ28" s="59">
        <f ca="1">AVERAGE(OFFSET($FI$3,0,0,'Données projet'!$E$16+1,1))-AVERAGE(OFFSET($H$3,0,0,'Données projet'!$E$16+1,1))</f>
        <v>367.36535411813264</v>
      </c>
      <c r="FK28" s="59">
        <f t="shared" si="48"/>
        <v>293.19545174980556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70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0.55000000000000004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23.146595622211382</v>
      </c>
      <c r="FS28" s="21">
        <f>EXP(-LN(2)/2)*FS27+(1-EXP(-LN(2)/2))/(LN(2)/2)*FM28*FP28*VLOOKUP('Données projet'!$B$16,Paramètres!$A$1:$I$89,3,0)*0.475*44/12</f>
        <v>4.0981180121327458</v>
      </c>
      <c r="FT28" s="22">
        <f t="shared" si="24"/>
        <v>27.24471363434413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205</v>
      </c>
      <c r="FX28" s="12">
        <f>VLOOKUP(A28,'Données projet'!$A$243:$I$263,9,0)</f>
        <v>21.8</v>
      </c>
      <c r="FY28" s="12">
        <f t="array" ref="FY28">INDEX(FX:FX,MIN(IF(ISNUMBER(FX28:FX224),ROW(FX28:FX224),"")))</f>
        <v>21.8</v>
      </c>
      <c r="FZ28" s="12">
        <f>IF('Données projet'!$A$244&gt;35,FZ27+FY28-GH27,IF(A28&lt;'Données projet'!$A$244,$FW$205^A28,IF(A28='Données projet'!$A$244,'Données projet'!$B$244,FZ27+FY28-GH27)))</f>
        <v>205.00000000000003</v>
      </c>
      <c r="GA28" s="17">
        <f>FZ28*VLOOKUP('Données projet'!$B$17,Paramètres!$A$1:$I$89,3,0)*VLOOKUP('Données projet'!$B$17,Paramètres!$A$1:$I$89,5,0)</f>
        <v>98.605000000000018</v>
      </c>
      <c r="GB28" s="13">
        <f t="shared" si="49"/>
        <v>26.629386800651595</v>
      </c>
      <c r="GC28" s="20">
        <f t="shared" si="25"/>
        <v>218.11655701113489</v>
      </c>
      <c r="GD28" s="59">
        <f t="shared" si="26"/>
        <v>511.4498903444682</v>
      </c>
      <c r="GE28" s="59">
        <f ca="1">AVERAGE(OFFSET($GD$3,0,0,'Données projet'!$E$17+1,1))-AVERAGE(OFFSET($H$3,0,0,'Données projet'!$E$17+1,1))</f>
        <v>312.64506496298173</v>
      </c>
      <c r="GF28" s="59">
        <f t="shared" si="50"/>
        <v>259.97532509897508</v>
      </c>
      <c r="GG28" s="15">
        <f>IF(ISNA(VLOOKUP(A28,'Données projet'!$A$243:$I$263,3,0)),0,VLOOKUP(A28,'Données projet'!$A$243:$I$263,3,0))</f>
        <v>1</v>
      </c>
      <c r="GH28" s="15">
        <f>IF(ISNA(VLOOKUP(A28,'Données projet'!$A$243:$I$263,4,0)),0,VLOOKUP(A28,'Données projet'!$A$243:$I$263,4,0))</f>
        <v>40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1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21.784149404409202</v>
      </c>
      <c r="GO28" s="21">
        <f t="shared" si="27"/>
        <v>21.784149404409202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70</v>
      </c>
      <c r="GS28" s="12">
        <f>VLOOKUP(A28,'Données projet'!$A$269:$I$289,9,0)</f>
        <v>5.6</v>
      </c>
      <c r="GT28" s="12">
        <f t="array" ref="GT28">INDEX(GS:GS,MIN(IF(ISNUMBER(GS28:GS224),ROW(GS28:GS224),"")))</f>
        <v>5.6</v>
      </c>
      <c r="GU28" s="12">
        <f>IF('Données projet'!$A$270&gt;35,GU27+GT28-HC27,IF(A28&lt;'Données projet'!$A$270,$GR$205^A28,IF(A28='Données projet'!$A$270,'Données projet'!$B$270,GU27+GT28-HC27)))</f>
        <v>70</v>
      </c>
      <c r="GV28" s="17">
        <f>GU28*VLOOKUP('Données projet'!$B$18,Paramètres!$A$1:$I$89,3,0)*VLOOKUP('Données projet'!$B$18,Paramètres!$A$1:$I$89,5,0)</f>
        <v>70.98</v>
      </c>
      <c r="GW28" s="13">
        <f t="shared" si="51"/>
        <v>19.916628839746853</v>
      </c>
      <c r="GX28" s="20">
        <f t="shared" si="28"/>
        <v>158.31162856255909</v>
      </c>
      <c r="GY28" s="59">
        <f t="shared" si="29"/>
        <v>451.64496189589238</v>
      </c>
      <c r="GZ28" s="59">
        <f ca="1">AVERAGE(OFFSET($GY$3,0,0,'Données projet'!$E$18+1,1))-AVERAGE(OFFSET($H$3,0,0,'Données projet'!$E$18+1,1))</f>
        <v>308.80022073574963</v>
      </c>
      <c r="HA28" s="59">
        <f t="shared" si="52"/>
        <v>183.96267407004115</v>
      </c>
      <c r="HB28" s="15">
        <f>IF(ISNA(VLOOKUP(A28,'Données projet'!$A$269:$I$289,3,0)),0,VLOOKUP(A28,'Données projet'!$A$269:$I$289,3,0))</f>
        <v>1</v>
      </c>
      <c r="HC28" s="15">
        <f>IF(ISNA(VLOOKUP(A28,'Données projet'!$A$269:$I$289,4,0)),0,VLOOKUP(A28,'Données projet'!$A$269:$I$289,4,0))</f>
        <v>8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462.94678562222634</v>
      </c>
      <c r="S29" s="59">
        <f ca="1">AVERAGE(OFFSET($R$3,0,0,'Données projet'!$E$9+1,1))-AVERAGE(OFFSET($H$3,0,0,'Données projet'!$E$9+1,1))</f>
        <v>344.49457749226184</v>
      </c>
      <c r="T29" s="59">
        <f t="shared" si="34"/>
        <v>207.92972431357452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</v>
      </c>
      <c r="AI29" s="13">
        <f>IF('Données projet'!$A$62&gt;35,AI28+AH29-AQ28,IF(A29&lt;'Données projet'!$A$62,$AF$205^A29,IF(A29='Données projet'!$A$62,'Données projet'!$B$62,AI28+AH29-AQ28)))</f>
        <v>34.799999999999997</v>
      </c>
      <c r="AJ29" s="13">
        <f>AI29*VLOOKUP('Données projet'!$B$10,Paramètres!$A$1:$I$89,3,0)*VLOOKUP('Données projet'!$B$10,Paramètres!$A$1:$I$89,5,0)</f>
        <v>31.487039999999997</v>
      </c>
      <c r="AK29" s="13">
        <f t="shared" si="35"/>
        <v>9.7118363356135369</v>
      </c>
      <c r="AL29" s="20">
        <f t="shared" si="4"/>
        <v>71.754709617860229</v>
      </c>
      <c r="AM29" s="59">
        <f t="shared" si="5"/>
        <v>365.08804295119353</v>
      </c>
      <c r="AN29" s="59">
        <f ca="1">AVERAGE(OFFSET($AM$3,0,0,'Données projet'!$E$10+1,1))-AVERAGE(OFFSET($H$3,0,0,'Données projet'!$E$10+1,1))</f>
        <v>183.0147113277086</v>
      </c>
      <c r="AO29" s="59">
        <f t="shared" si="36"/>
        <v>76.413905647258389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279.49721661620544</v>
      </c>
      <c r="BJ29" s="59">
        <f t="shared" si="38"/>
        <v>275.18739333988754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468.19858172834711</v>
      </c>
      <c r="CD29" s="59">
        <f ca="1">AVERAGE(OFFSET($CC$3,0,0,'Données projet'!$E$12+1,1))-AVERAGE(OFFSET($H$3,0,0,'Données projet'!$E$12+1,1))</f>
        <v>225.2323446080772</v>
      </c>
      <c r="CE29" s="59">
        <f t="shared" si="40"/>
        <v>222.29030402759292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80.514719999999997</v>
      </c>
      <c r="CV29" s="13">
        <f t="shared" si="41"/>
        <v>22.262988830706398</v>
      </c>
      <c r="CW29" s="20">
        <f t="shared" si="13"/>
        <v>179.00450954681364</v>
      </c>
      <c r="CX29" s="59">
        <f t="shared" si="14"/>
        <v>472.33784288014692</v>
      </c>
      <c r="CY29" s="59">
        <f ca="1">AVERAGE(OFFSET($CX$3,0,0,'Données projet'!$E$13+1,1))-AVERAGE(OFFSET($H$3,0,0,'Données projet'!$E$13+1,1))</f>
        <v>240.57184010337932</v>
      </c>
      <c r="CZ29" s="59">
        <f t="shared" si="42"/>
        <v>236.36473521227072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22.6</v>
      </c>
      <c r="DO29" s="12">
        <f>IF('Données projet'!$A$166&gt;35,DO28+DN29-DW28,IF(A29&lt;'Données projet'!$A$166,$DL$205^A29,IF(A29='Données projet'!$A$166,'Données projet'!$B$166,DO28+DN29-DW28)))</f>
        <v>181.6</v>
      </c>
      <c r="DP29" s="17">
        <f>DO29*VLOOKUP('Données projet'!$B$14,Paramètres!$A$1:$I$89,3,0)*VLOOKUP('Données projet'!$B$14,Paramètres!$A$1:$I$89,5,0)</f>
        <v>84.988799999999998</v>
      </c>
      <c r="DQ29" s="13">
        <f t="shared" si="43"/>
        <v>23.352644097155146</v>
      </c>
      <c r="DR29" s="20">
        <f t="shared" si="16"/>
        <v>188.6946818025452</v>
      </c>
      <c r="DS29" s="59">
        <f t="shared" si="17"/>
        <v>482.02801513587849</v>
      </c>
      <c r="DT29" s="59">
        <f ca="1">AVERAGE(OFFSET($DS$3,0,0,'Données projet'!$E$14+1,1))-AVERAGE(OFFSET($H$3,0,0,'Données projet'!$E$14+1,1))</f>
        <v>304.29617570272939</v>
      </c>
      <c r="DU29" s="59">
        <f t="shared" si="44"/>
        <v>246.20695736161576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15.736773166589742</v>
      </c>
      <c r="ED29" s="22">
        <f t="shared" si="18"/>
        <v>15.736773166589742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16.2</v>
      </c>
      <c r="EJ29" s="12">
        <f>IF('Données projet'!$A$192&gt;35,EJ28+EI29-ER28,IF(A29&lt;'Données projet'!$A$192,$EG$205^A29,IF(A29='Données projet'!$A$192,'Données projet'!$B$192,EJ28+EI29-ER28)))</f>
        <v>150.20000000000002</v>
      </c>
      <c r="EK29" s="17">
        <f>EJ29*VLOOKUP('Données projet'!$B$15,Paramètres!$A$1:$I$89,3,0)*VLOOKUP('Données projet'!$B$15,Paramètres!$A$1:$I$89,5,0)</f>
        <v>89.819600000000023</v>
      </c>
      <c r="EL29" s="13">
        <f t="shared" si="45"/>
        <v>24.521711778541039</v>
      </c>
      <c r="EM29" s="20">
        <f t="shared" si="19"/>
        <v>199.1444513476257</v>
      </c>
      <c r="EN29" s="59">
        <f t="shared" si="20"/>
        <v>492.47778468095902</v>
      </c>
      <c r="EO29" s="59">
        <f ca="1">AVERAGE(OFFSET($EN$3,0,0,'Données projet'!$E$15+1,1))-AVERAGE(OFFSET($H$3,0,0,'Données projet'!$E$15+1,1))</f>
        <v>288.41846134875794</v>
      </c>
      <c r="EP29" s="59">
        <f t="shared" si="46"/>
        <v>248.93951719818972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14.525690508383249</v>
      </c>
      <c r="EX29" s="21">
        <f>EXP(-LN(2)/2)*EX28+(1-EXP(-LN(2)/2))/(LN(2)/2)*ER29*EU29*VLOOKUP('Données projet'!$B$15,Paramètres!$A$1:$I$89,3,0)*0.475*44/12</f>
        <v>1.9465903775223772</v>
      </c>
      <c r="EY29" s="22">
        <f t="shared" si="21"/>
        <v>16.472280885905626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31.2</v>
      </c>
      <c r="FE29" s="12">
        <f>IF('Données projet'!$A$218&gt;35,FE28+FD29-FM28,IF(A29&lt;'Données projet'!$A$218,$FB$205^A29,IF(A29='Données projet'!$A$218,'Données projet'!$B$218,FE28+FD29-FM28)))</f>
        <v>203.2</v>
      </c>
      <c r="FF29" s="17">
        <f>FE29*VLOOKUP('Données projet'!$B$16,Paramètres!$A$1:$I$89,3,0)*VLOOKUP('Données projet'!$B$16,Paramètres!$A$1:$I$89,5,0)</f>
        <v>92.455999999999989</v>
      </c>
      <c r="FG29" s="13">
        <f t="shared" si="47"/>
        <v>25.156621727947371</v>
      </c>
      <c r="FH29" s="20">
        <f t="shared" si="22"/>
        <v>204.84198284284165</v>
      </c>
      <c r="FI29" s="59">
        <f t="shared" si="23"/>
        <v>498.17531617617499</v>
      </c>
      <c r="FJ29" s="59">
        <f ca="1">AVERAGE(OFFSET($FI$3,0,0,'Données projet'!$E$16+1,1))-AVERAGE(OFFSET($H$3,0,0,'Données projet'!$E$16+1,1))</f>
        <v>367.36535411813264</v>
      </c>
      <c r="FK29" s="59">
        <f t="shared" si="48"/>
        <v>293.19545174980556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22.513650747695451</v>
      </c>
      <c r="FS29" s="21">
        <f>EXP(-LN(2)/2)*FS28+(1-EXP(-LN(2)/2))/(LN(2)/2)*FM29*FP29*VLOOKUP('Données projet'!$B$16,Paramètres!$A$1:$I$89,3,0)*0.475*44/12</f>
        <v>2.8978070364817987</v>
      </c>
      <c r="FT29" s="22">
        <f t="shared" si="24"/>
        <v>25.411457784177248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22.6</v>
      </c>
      <c r="FZ29" s="12">
        <f>IF('Données projet'!$A$244&gt;35,FZ28+FY29-GH28,IF(A29&lt;'Données projet'!$A$244,$FW$205^A29,IF(A29='Données projet'!$A$244,'Données projet'!$B$244,FZ28+FY29-GH28)))</f>
        <v>187.60000000000002</v>
      </c>
      <c r="GA29" s="17">
        <f>FZ29*VLOOKUP('Données projet'!$B$17,Paramètres!$A$1:$I$89,3,0)*VLOOKUP('Données projet'!$B$17,Paramètres!$A$1:$I$89,5,0)</f>
        <v>90.235600000000005</v>
      </c>
      <c r="GB29" s="13">
        <f t="shared" si="49"/>
        <v>24.622037392143501</v>
      </c>
      <c r="GC29" s="20">
        <f t="shared" si="25"/>
        <v>200.04371845798326</v>
      </c>
      <c r="GD29" s="59">
        <f t="shared" si="26"/>
        <v>493.3770517913166</v>
      </c>
      <c r="GE29" s="59">
        <f ca="1">AVERAGE(OFFSET($GD$3,0,0,'Données projet'!$E$17+1,1))-AVERAGE(OFFSET($H$3,0,0,'Données projet'!$E$17+1,1))</f>
        <v>312.64506496298173</v>
      </c>
      <c r="GF29" s="59">
        <f t="shared" si="50"/>
        <v>259.97532509897508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15.403719766238638</v>
      </c>
      <c r="GO29" s="21">
        <f t="shared" si="27"/>
        <v>15.403719766238638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7</v>
      </c>
      <c r="GU29" s="12">
        <f>IF('Données projet'!$A$270&gt;35,GU28+GT29-HC28,IF(A29&lt;'Données projet'!$A$270,$GR$205^A29,IF(A29='Données projet'!$A$270,'Données projet'!$B$270,GU28+GT29-HC28)))</f>
        <v>69</v>
      </c>
      <c r="GV29" s="17">
        <f>GU29*VLOOKUP('Données projet'!$B$18,Paramètres!$A$1:$I$89,3,0)*VLOOKUP('Données projet'!$B$18,Paramètres!$A$1:$I$89,5,0)</f>
        <v>69.966000000000008</v>
      </c>
      <c r="GW29" s="13">
        <f t="shared" si="51"/>
        <v>19.665013934342461</v>
      </c>
      <c r="GX29" s="20">
        <f t="shared" si="28"/>
        <v>156.10734926897979</v>
      </c>
      <c r="GY29" s="59">
        <f t="shared" si="29"/>
        <v>449.44068260231313</v>
      </c>
      <c r="GZ29" s="59">
        <f ca="1">AVERAGE(OFFSET($GY$3,0,0,'Données projet'!$E$18+1,1))-AVERAGE(OFFSET($H$3,0,0,'Données projet'!$E$18+1,1))</f>
        <v>308.80022073574963</v>
      </c>
      <c r="HA29" s="59">
        <f t="shared" si="52"/>
        <v>183.96267407004115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480.9879370704989</v>
      </c>
      <c r="S30" s="59">
        <f ca="1">AVERAGE(OFFSET($R$3,0,0,'Données projet'!$E$9+1,1))-AVERAGE(OFFSET($H$3,0,0,'Données projet'!$E$9+1,1))</f>
        <v>344.49457749226184</v>
      </c>
      <c r="T30" s="59">
        <f t="shared" si="34"/>
        <v>207.92972431357452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</v>
      </c>
      <c r="AI30" s="13">
        <f>IF('Données projet'!$A$62&gt;35,AI29+AH30-AQ29,IF(A30&lt;'Données projet'!$A$62,$AF$205^A30,IF(A30='Données projet'!$A$62,'Données projet'!$B$62,AI29+AH30-AQ29)))</f>
        <v>39.599999999999994</v>
      </c>
      <c r="AJ30" s="13">
        <f>AI30*VLOOKUP('Données projet'!$B$10,Paramètres!$A$1:$I$89,3,0)*VLOOKUP('Données projet'!$B$10,Paramètres!$A$1:$I$89,5,0)</f>
        <v>35.830079999999995</v>
      </c>
      <c r="AK30" s="13">
        <f t="shared" si="35"/>
        <v>10.886427918882697</v>
      </c>
      <c r="AL30" s="20">
        <f t="shared" si="4"/>
        <v>81.364584625387351</v>
      </c>
      <c r="AM30" s="59">
        <f t="shared" si="5"/>
        <v>374.69791795872067</v>
      </c>
      <c r="AN30" s="59">
        <f ca="1">AVERAGE(OFFSET($AM$3,0,0,'Données projet'!$E$10+1,1))-AVERAGE(OFFSET($H$3,0,0,'Données projet'!$E$10+1,1))</f>
        <v>183.0147113277086</v>
      </c>
      <c r="AO30" s="59">
        <f t="shared" si="36"/>
        <v>76.413905647258389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279.49721661620544</v>
      </c>
      <c r="BJ30" s="59">
        <f t="shared" si="38"/>
        <v>275.18739333988754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488.52888068943241</v>
      </c>
      <c r="CD30" s="59">
        <f ca="1">AVERAGE(OFFSET($CC$3,0,0,'Données projet'!$E$12+1,1))-AVERAGE(OFFSET($H$3,0,0,'Données projet'!$E$12+1,1))</f>
        <v>225.2323446080772</v>
      </c>
      <c r="CE30" s="59">
        <f t="shared" si="40"/>
        <v>222.29030402759292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91.063439999999986</v>
      </c>
      <c r="CV30" s="13">
        <f t="shared" si="41"/>
        <v>24.821525508693981</v>
      </c>
      <c r="CW30" s="20">
        <f t="shared" si="13"/>
        <v>201.83298159430865</v>
      </c>
      <c r="CX30" s="59">
        <f t="shared" si="14"/>
        <v>495.16631492764196</v>
      </c>
      <c r="CY30" s="59">
        <f ca="1">AVERAGE(OFFSET($CX$3,0,0,'Données projet'!$E$13+1,1))-AVERAGE(OFFSET($H$3,0,0,'Données projet'!$E$13+1,1))</f>
        <v>240.57184010337932</v>
      </c>
      <c r="CZ30" s="59">
        <f t="shared" si="42"/>
        <v>236.36473521227072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22.6</v>
      </c>
      <c r="DO30" s="12">
        <f>IF('Données projet'!$A$166&gt;35,DO29+DN30-DW29,IF(A30&lt;'Données projet'!$A$166,$DL$205^A30,IF(A30='Données projet'!$A$166,'Données projet'!$B$166,DO29+DN30-DW29)))</f>
        <v>204.2</v>
      </c>
      <c r="DP30" s="17">
        <f>DO30*VLOOKUP('Données projet'!$B$14,Paramètres!$A$1:$I$89,3,0)*VLOOKUP('Données projet'!$B$14,Paramètres!$A$1:$I$89,5,0)</f>
        <v>95.565599999999989</v>
      </c>
      <c r="DQ30" s="13">
        <f t="shared" si="43"/>
        <v>25.902790351141551</v>
      </c>
      <c r="DR30" s="20">
        <f t="shared" si="16"/>
        <v>211.55744652823816</v>
      </c>
      <c r="DS30" s="59">
        <f t="shared" si="17"/>
        <v>504.89077986157145</v>
      </c>
      <c r="DT30" s="59">
        <f ca="1">AVERAGE(OFFSET($DS$3,0,0,'Données projet'!$E$14+1,1))-AVERAGE(OFFSET($H$3,0,0,'Données projet'!$E$14+1,1))</f>
        <v>304.29617570272939</v>
      </c>
      <c r="DU30" s="59">
        <f t="shared" si="44"/>
        <v>246.20695736161576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11.127579020090106</v>
      </c>
      <c r="ED30" s="22">
        <f t="shared" si="18"/>
        <v>11.127579020090106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16.2</v>
      </c>
      <c r="EJ30" s="12">
        <f>IF('Données projet'!$A$192&gt;35,EJ29+EI30-ER29,IF(A30&lt;'Données projet'!$A$192,$EG$205^A30,IF(A30='Données projet'!$A$192,'Données projet'!$B$192,EJ29+EI30-ER29)))</f>
        <v>166.4</v>
      </c>
      <c r="EK30" s="17">
        <f>EJ30*VLOOKUP('Données projet'!$B$15,Paramètres!$A$1:$I$89,3,0)*VLOOKUP('Données projet'!$B$15,Paramètres!$A$1:$I$89,5,0)</f>
        <v>99.507200000000012</v>
      </c>
      <c r="EL30" s="13">
        <f t="shared" si="45"/>
        <v>26.844561009733273</v>
      </c>
      <c r="EM30" s="20">
        <f t="shared" si="19"/>
        <v>220.06265042528548</v>
      </c>
      <c r="EN30" s="59">
        <f t="shared" si="20"/>
        <v>513.39598375861874</v>
      </c>
      <c r="EO30" s="59">
        <f ca="1">AVERAGE(OFFSET($EN$3,0,0,'Données projet'!$E$15+1,1))-AVERAGE(OFFSET($H$3,0,0,'Données projet'!$E$15+1,1))</f>
        <v>288.41846134875794</v>
      </c>
      <c r="EP30" s="59">
        <f t="shared" si="46"/>
        <v>248.93951719818972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14.128484737558644</v>
      </c>
      <c r="EX30" s="21">
        <f>EXP(-LN(2)/2)*EX29+(1-EXP(-LN(2)/2))/(LN(2)/2)*ER30*EU30*VLOOKUP('Données projet'!$B$15,Paramètres!$A$1:$I$89,3,0)*0.475*44/12</f>
        <v>1.3764472561385546</v>
      </c>
      <c r="EY30" s="22">
        <f t="shared" si="21"/>
        <v>15.504931993697198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31.2</v>
      </c>
      <c r="FE30" s="12">
        <f>IF('Données projet'!$A$218&gt;35,FE29+FD30-FM29,IF(A30&lt;'Données projet'!$A$218,$FB$205^A30,IF(A30='Données projet'!$A$218,'Données projet'!$B$218,FE29+FD30-FM29)))</f>
        <v>234.39999999999998</v>
      </c>
      <c r="FF30" s="17">
        <f>FE30*VLOOKUP('Données projet'!$B$16,Paramètres!$A$1:$I$89,3,0)*VLOOKUP('Données projet'!$B$16,Paramètres!$A$1:$I$89,5,0)</f>
        <v>106.65199999999999</v>
      </c>
      <c r="FG30" s="13">
        <f t="shared" si="47"/>
        <v>28.540756269047343</v>
      </c>
      <c r="FH30" s="20">
        <f t="shared" si="22"/>
        <v>235.46071716859072</v>
      </c>
      <c r="FI30" s="59">
        <f t="shared" si="23"/>
        <v>528.79405050192406</v>
      </c>
      <c r="FJ30" s="59">
        <f ca="1">AVERAGE(OFFSET($FI$3,0,0,'Données projet'!$E$16+1,1))-AVERAGE(OFFSET($H$3,0,0,'Données projet'!$E$16+1,1))</f>
        <v>367.36535411813264</v>
      </c>
      <c r="FK30" s="59">
        <f t="shared" si="48"/>
        <v>293.19545174980556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21.898013784058282</v>
      </c>
      <c r="FS30" s="21">
        <f>EXP(-LN(2)/2)*FS29+(1-EXP(-LN(2)/2))/(LN(2)/2)*FM30*FP30*VLOOKUP('Données projet'!$B$16,Paramètres!$A$1:$I$89,3,0)*0.475*44/12</f>
        <v>2.0490590060663729</v>
      </c>
      <c r="FT30" s="22">
        <f t="shared" si="24"/>
        <v>23.947072790124654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22.6</v>
      </c>
      <c r="FZ30" s="12">
        <f>IF('Données projet'!$A$244&gt;35,FZ29+FY30-GH29,IF(A30&lt;'Données projet'!$A$244,$FW$205^A30,IF(A30='Données projet'!$A$244,'Données projet'!$B$244,FZ29+FY30-GH29)))</f>
        <v>210.20000000000002</v>
      </c>
      <c r="GA30" s="17">
        <f>FZ30*VLOOKUP('Données projet'!$B$17,Paramètres!$A$1:$I$89,3,0)*VLOOKUP('Données projet'!$B$17,Paramètres!$A$1:$I$89,5,0)</f>
        <v>101.1062</v>
      </c>
      <c r="GB30" s="13">
        <f t="shared" si="49"/>
        <v>27.225365471340744</v>
      </c>
      <c r="GC30" s="20">
        <f t="shared" si="25"/>
        <v>223.51080986258512</v>
      </c>
      <c r="GD30" s="59">
        <f t="shared" si="26"/>
        <v>516.84414319591838</v>
      </c>
      <c r="GE30" s="59">
        <f ca="1">AVERAGE(OFFSET($GD$3,0,0,'Données projet'!$E$17+1,1))-AVERAGE(OFFSET($H$3,0,0,'Données projet'!$E$17+1,1))</f>
        <v>312.64506496298173</v>
      </c>
      <c r="GF30" s="59">
        <f t="shared" si="50"/>
        <v>259.97532509897508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10.892074702204601</v>
      </c>
      <c r="GO30" s="21">
        <f t="shared" si="27"/>
        <v>10.892074702204601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7</v>
      </c>
      <c r="GU30" s="12">
        <f>IF('Données projet'!$A$270&gt;35,GU29+GT30-HC29,IF(A30&lt;'Données projet'!$A$270,$GR$205^A30,IF(A30='Données projet'!$A$270,'Données projet'!$B$270,GU29+GT30-HC29)))</f>
        <v>76</v>
      </c>
      <c r="GV30" s="17">
        <f>GU30*VLOOKUP('Données projet'!$B$18,Paramètres!$A$1:$I$89,3,0)*VLOOKUP('Données projet'!$B$18,Paramètres!$A$1:$I$89,5,0)</f>
        <v>77.064000000000007</v>
      </c>
      <c r="GW30" s="13">
        <f t="shared" si="51"/>
        <v>21.417762186678065</v>
      </c>
      <c r="GX30" s="20">
        <f t="shared" si="28"/>
        <v>171.52240247513097</v>
      </c>
      <c r="GY30" s="59">
        <f t="shared" si="29"/>
        <v>464.85573580846426</v>
      </c>
      <c r="GZ30" s="59">
        <f ca="1">AVERAGE(OFFSET($GY$3,0,0,'Données projet'!$E$18+1,1))-AVERAGE(OFFSET($H$3,0,0,'Données projet'!$E$18+1,1))</f>
        <v>308.80022073574963</v>
      </c>
      <c r="HA30" s="59">
        <f t="shared" si="52"/>
        <v>183.96267407004115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498.9886264212779</v>
      </c>
      <c r="S31" s="59">
        <f ca="1">AVERAGE(OFFSET($R$3,0,0,'Données projet'!$E$9+1,1))-AVERAGE(OFFSET($H$3,0,0,'Données projet'!$E$9+1,1))</f>
        <v>344.49457749226184</v>
      </c>
      <c r="T31" s="59">
        <f t="shared" si="34"/>
        <v>207.92972431357452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</v>
      </c>
      <c r="AI31" s="13">
        <f>IF('Données projet'!$A$62&gt;35,AI30+AH31-AQ30,IF(A31&lt;'Données projet'!$A$62,$AF$205^A31,IF(A31='Données projet'!$A$62,'Données projet'!$B$62,AI30+AH31-AQ30)))</f>
        <v>44.399999999999991</v>
      </c>
      <c r="AJ31" s="13">
        <f>AI31*VLOOKUP('Données projet'!$B$10,Paramètres!$A$1:$I$89,3,0)*VLOOKUP('Données projet'!$B$10,Paramètres!$A$1:$I$89,5,0)</f>
        <v>40.17311999999999</v>
      </c>
      <c r="AK31" s="13">
        <f t="shared" si="35"/>
        <v>12.044520842267836</v>
      </c>
      <c r="AL31" s="20">
        <f t="shared" si="4"/>
        <v>90.945724466949798</v>
      </c>
      <c r="AM31" s="59">
        <f t="shared" si="5"/>
        <v>384.27905780028311</v>
      </c>
      <c r="AN31" s="59">
        <f ca="1">AVERAGE(OFFSET($AM$3,0,0,'Données projet'!$E$10+1,1))-AVERAGE(OFFSET($H$3,0,0,'Données projet'!$E$10+1,1))</f>
        <v>183.0147113277086</v>
      </c>
      <c r="AO31" s="59">
        <f t="shared" si="36"/>
        <v>76.413905647258389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279.49721661620544</v>
      </c>
      <c r="BJ31" s="59">
        <f t="shared" si="38"/>
        <v>275.18739333988754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508.80996748042526</v>
      </c>
      <c r="CD31" s="59">
        <f ca="1">AVERAGE(OFFSET($CC$3,0,0,'Données projet'!$E$12+1,1))-AVERAGE(OFFSET($H$3,0,0,'Données projet'!$E$12+1,1))</f>
        <v>225.2323446080772</v>
      </c>
      <c r="CE31" s="59">
        <f t="shared" si="40"/>
        <v>222.29030402759292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101.61216</v>
      </c>
      <c r="CV31" s="13">
        <f t="shared" si="41"/>
        <v>27.345714212259665</v>
      </c>
      <c r="CW31" s="20">
        <f t="shared" si="13"/>
        <v>224.60163091968559</v>
      </c>
      <c r="CX31" s="59">
        <f t="shared" si="14"/>
        <v>517.93496425301896</v>
      </c>
      <c r="CY31" s="59">
        <f ca="1">AVERAGE(OFFSET($CX$3,0,0,'Données projet'!$E$13+1,1))-AVERAGE(OFFSET($H$3,0,0,'Données projet'!$E$13+1,1))</f>
        <v>240.57184010337932</v>
      </c>
      <c r="CZ31" s="59">
        <f t="shared" si="42"/>
        <v>236.36473521227072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22.6</v>
      </c>
      <c r="DO31" s="12">
        <f>IF('Données projet'!$A$166&gt;35,DO30+DN31-DW30,IF(A31&lt;'Données projet'!$A$166,$DL$205^A31,IF(A31='Données projet'!$A$166,'Données projet'!$B$166,DO30+DN31-DW30)))</f>
        <v>226.79999999999998</v>
      </c>
      <c r="DP31" s="17">
        <f>DO31*VLOOKUP('Données projet'!$B$14,Paramètres!$A$1:$I$89,3,0)*VLOOKUP('Données projet'!$B$14,Paramètres!$A$1:$I$89,5,0)</f>
        <v>106.14239999999999</v>
      </c>
      <c r="DQ31" s="13">
        <f t="shared" si="43"/>
        <v>28.420224211524975</v>
      </c>
      <c r="DR31" s="20">
        <f t="shared" si="16"/>
        <v>234.36323716840596</v>
      </c>
      <c r="DS31" s="59">
        <f t="shared" si="17"/>
        <v>527.6965705017393</v>
      </c>
      <c r="DT31" s="59">
        <f ca="1">AVERAGE(OFFSET($DS$3,0,0,'Données projet'!$E$14+1,1))-AVERAGE(OFFSET($H$3,0,0,'Données projet'!$E$14+1,1))</f>
        <v>304.29617570272939</v>
      </c>
      <c r="DU31" s="59">
        <f t="shared" si="44"/>
        <v>246.20695736161576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7.8683865832948721</v>
      </c>
      <c r="ED31" s="22">
        <f t="shared" si="18"/>
        <v>7.8683865832948721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16.2</v>
      </c>
      <c r="EJ31" s="12">
        <f>IF('Données projet'!$A$192&gt;35,EJ30+EI31-ER30,IF(A31&lt;'Données projet'!$A$192,$EG$205^A31,IF(A31='Données projet'!$A$192,'Données projet'!$B$192,EJ30+EI31-ER30)))</f>
        <v>182.6</v>
      </c>
      <c r="EK31" s="17">
        <f>EJ31*VLOOKUP('Données projet'!$B$15,Paramètres!$A$1:$I$89,3,0)*VLOOKUP('Données projet'!$B$15,Paramètres!$A$1:$I$89,5,0)</f>
        <v>109.1948</v>
      </c>
      <c r="EL31" s="13">
        <f t="shared" si="45"/>
        <v>29.141192129605439</v>
      </c>
      <c r="EM31" s="20">
        <f t="shared" si="19"/>
        <v>240.93518629239611</v>
      </c>
      <c r="EN31" s="59">
        <f t="shared" si="20"/>
        <v>534.26851962572937</v>
      </c>
      <c r="EO31" s="59">
        <f ca="1">AVERAGE(OFFSET($EN$3,0,0,'Données projet'!$E$15+1,1))-AVERAGE(OFFSET($H$3,0,0,'Données projet'!$E$15+1,1))</f>
        <v>288.41846134875794</v>
      </c>
      <c r="EP31" s="59">
        <f t="shared" si="46"/>
        <v>248.93951719818972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13.742140579425381</v>
      </c>
      <c r="EX31" s="21">
        <f>EXP(-LN(2)/2)*EX30+(1-EXP(-LN(2)/2))/(LN(2)/2)*ER31*EU31*VLOOKUP('Données projet'!$B$15,Paramètres!$A$1:$I$89,3,0)*0.475*44/12</f>
        <v>0.9732951887611887</v>
      </c>
      <c r="EY31" s="22">
        <f t="shared" si="21"/>
        <v>14.71543576818657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31.2</v>
      </c>
      <c r="FE31" s="12">
        <f>IF('Données projet'!$A$218&gt;35,FE30+FD31-FM30,IF(A31&lt;'Données projet'!$A$218,$FB$205^A31,IF(A31='Données projet'!$A$218,'Données projet'!$B$218,FE30+FD31-FM30)))</f>
        <v>265.59999999999997</v>
      </c>
      <c r="FF31" s="17">
        <f>FE31*VLOOKUP('Données projet'!$B$16,Paramètres!$A$1:$I$89,3,0)*VLOOKUP('Données projet'!$B$16,Paramètres!$A$1:$I$89,5,0)</f>
        <v>120.84799999999997</v>
      </c>
      <c r="FG31" s="13">
        <f t="shared" si="47"/>
        <v>31.872700237687575</v>
      </c>
      <c r="FH31" s="20">
        <f t="shared" si="22"/>
        <v>265.98855291397246</v>
      </c>
      <c r="FI31" s="59">
        <f t="shared" si="23"/>
        <v>559.32188624730577</v>
      </c>
      <c r="FJ31" s="59">
        <f ca="1">AVERAGE(OFFSET($FI$3,0,0,'Données projet'!$E$16+1,1))-AVERAGE(OFFSET($H$3,0,0,'Données projet'!$E$16+1,1))</f>
        <v>367.36535411813264</v>
      </c>
      <c r="FK31" s="59">
        <f t="shared" si="48"/>
        <v>293.19545174980556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21.299211445566712</v>
      </c>
      <c r="FS31" s="21">
        <f>EXP(-LN(2)/2)*FS30+(1-EXP(-LN(2)/2))/(LN(2)/2)*FM31*FP31*VLOOKUP('Données projet'!$B$16,Paramètres!$A$1:$I$89,3,0)*0.475*44/12</f>
        <v>1.4489035182408994</v>
      </c>
      <c r="FT31" s="22">
        <f t="shared" si="24"/>
        <v>22.748114963807613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22.6</v>
      </c>
      <c r="FZ31" s="12">
        <f>IF('Données projet'!$A$244&gt;35,FZ30+FY31-GH30,IF(A31&lt;'Données projet'!$A$244,$FW$205^A31,IF(A31='Données projet'!$A$244,'Données projet'!$B$244,FZ30+FY31-GH30)))</f>
        <v>232.8</v>
      </c>
      <c r="GA31" s="17">
        <f>FZ31*VLOOKUP('Données projet'!$B$17,Paramètres!$A$1:$I$89,3,0)*VLOOKUP('Données projet'!$B$17,Paramètres!$A$1:$I$89,5,0)</f>
        <v>111.97680000000001</v>
      </c>
      <c r="GB31" s="13">
        <f t="shared" si="49"/>
        <v>29.796250167500443</v>
      </c>
      <c r="GC31" s="20">
        <f t="shared" si="25"/>
        <v>246.92139570839663</v>
      </c>
      <c r="GD31" s="59">
        <f t="shared" si="26"/>
        <v>540.25472904172989</v>
      </c>
      <c r="GE31" s="59">
        <f ca="1">AVERAGE(OFFSET($GD$3,0,0,'Données projet'!$E$17+1,1))-AVERAGE(OFFSET($H$3,0,0,'Données projet'!$E$17+1,1))</f>
        <v>312.64506496298173</v>
      </c>
      <c r="GF31" s="59">
        <f t="shared" si="50"/>
        <v>259.97532509897508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7.7018598831193188</v>
      </c>
      <c r="GO31" s="21">
        <f t="shared" si="27"/>
        <v>7.7018598831193188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7</v>
      </c>
      <c r="GU31" s="12">
        <f>IF('Données projet'!$A$270&gt;35,GU30+GT31-HC30,IF(A31&lt;'Données projet'!$A$270,$GR$205^A31,IF(A31='Données projet'!$A$270,'Données projet'!$B$270,GU30+GT31-HC30)))</f>
        <v>83</v>
      </c>
      <c r="GV31" s="17">
        <f>GU31*VLOOKUP('Données projet'!$B$18,Paramètres!$A$1:$I$89,3,0)*VLOOKUP('Données projet'!$B$18,Paramètres!$A$1:$I$89,5,0)</f>
        <v>84.162000000000006</v>
      </c>
      <c r="GW31" s="13">
        <f t="shared" si="51"/>
        <v>23.151791590506594</v>
      </c>
      <c r="GX31" s="20">
        <f t="shared" si="28"/>
        <v>186.90485368679899</v>
      </c>
      <c r="GY31" s="59">
        <f t="shared" si="29"/>
        <v>480.23818702013227</v>
      </c>
      <c r="GZ31" s="59">
        <f ca="1">AVERAGE(OFFSET($GY$3,0,0,'Données projet'!$E$18+1,1))-AVERAGE(OFFSET($H$3,0,0,'Données projet'!$E$18+1,1))</f>
        <v>308.80022073574963</v>
      </c>
      <c r="HA31" s="59">
        <f t="shared" si="52"/>
        <v>183.96267407004115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516.95289444408968</v>
      </c>
      <c r="S32" s="59">
        <f ca="1">AVERAGE(OFFSET($R$3,0,0,'Données projet'!$E$9+1,1))-AVERAGE(OFFSET($H$3,0,0,'Données projet'!$E$9+1,1))</f>
        <v>344.49457749226184</v>
      </c>
      <c r="T32" s="59">
        <f t="shared" si="34"/>
        <v>207.92972431357452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</v>
      </c>
      <c r="AI32" s="13">
        <f>IF('Données projet'!$A$62&gt;35,AI31+AH32-AQ31,IF(A32&lt;'Données projet'!$A$62,$AF$205^A32,IF(A32='Données projet'!$A$62,'Données projet'!$B$62,AI31+AH32-AQ31)))</f>
        <v>49.199999999999989</v>
      </c>
      <c r="AJ32" s="13">
        <f>AI32*VLOOKUP('Données projet'!$B$10,Paramètres!$A$1:$I$89,3,0)*VLOOKUP('Données projet'!$B$10,Paramètres!$A$1:$I$89,5,0)</f>
        <v>44.516159999999985</v>
      </c>
      <c r="AK32" s="13">
        <f t="shared" si="35"/>
        <v>13.188102074986608</v>
      </c>
      <c r="AL32" s="20">
        <f t="shared" si="4"/>
        <v>100.50158978060165</v>
      </c>
      <c r="AM32" s="59">
        <f t="shared" si="5"/>
        <v>393.83492311393496</v>
      </c>
      <c r="AN32" s="59">
        <f ca="1">AVERAGE(OFFSET($AM$3,0,0,'Données projet'!$E$10+1,1))-AVERAGE(OFFSET($H$3,0,0,'Données projet'!$E$10+1,1))</f>
        <v>183.0147113277086</v>
      </c>
      <c r="AO32" s="59">
        <f t="shared" si="36"/>
        <v>76.413905647258389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279.49721661620544</v>
      </c>
      <c r="BJ32" s="59">
        <f t="shared" si="38"/>
        <v>275.18739333988754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529.04712624298168</v>
      </c>
      <c r="CD32" s="59">
        <f ca="1">AVERAGE(OFFSET($CC$3,0,0,'Données projet'!$E$12+1,1))-AVERAGE(OFFSET($H$3,0,0,'Données projet'!$E$12+1,1))</f>
        <v>225.2323446080772</v>
      </c>
      <c r="CE32" s="59">
        <f t="shared" si="40"/>
        <v>222.29030402759292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112.16087999999998</v>
      </c>
      <c r="CV32" s="13">
        <f t="shared" si="41"/>
        <v>29.839526888181876</v>
      </c>
      <c r="CW32" s="20">
        <f t="shared" si="13"/>
        <v>247.31737533025003</v>
      </c>
      <c r="CX32" s="59">
        <f t="shared" si="14"/>
        <v>540.65070866358337</v>
      </c>
      <c r="CY32" s="59">
        <f ca="1">AVERAGE(OFFSET($CX$3,0,0,'Données projet'!$E$13+1,1))-AVERAGE(OFFSET($H$3,0,0,'Données projet'!$E$13+1,1))</f>
        <v>240.57184010337932</v>
      </c>
      <c r="CZ32" s="59">
        <f t="shared" si="42"/>
        <v>236.36473521227072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22.6</v>
      </c>
      <c r="DO32" s="12">
        <f>IF('Données projet'!$A$166&gt;35,DO31+DN32-DW31,IF(A32&lt;'Données projet'!$A$166,$DL$205^A32,IF(A32='Données projet'!$A$166,'Données projet'!$B$166,DO31+DN32-DW31)))</f>
        <v>249.39999999999998</v>
      </c>
      <c r="DP32" s="17">
        <f>DO32*VLOOKUP('Données projet'!$B$14,Paramètres!$A$1:$I$89,3,0)*VLOOKUP('Données projet'!$B$14,Paramètres!$A$1:$I$89,5,0)</f>
        <v>116.71919999999999</v>
      </c>
      <c r="DQ32" s="13">
        <f t="shared" si="43"/>
        <v>30.908576435525887</v>
      </c>
      <c r="DR32" s="20">
        <f t="shared" si="16"/>
        <v>257.1183772918742</v>
      </c>
      <c r="DS32" s="59">
        <f t="shared" si="17"/>
        <v>550.45171062520751</v>
      </c>
      <c r="DT32" s="59">
        <f ca="1">AVERAGE(OFFSET($DS$3,0,0,'Données projet'!$E$14+1,1))-AVERAGE(OFFSET($H$3,0,0,'Données projet'!$E$14+1,1))</f>
        <v>304.29617570272939</v>
      </c>
      <c r="DU32" s="59">
        <f t="shared" si="44"/>
        <v>246.20695736161576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5.5637895100450541</v>
      </c>
      <c r="ED32" s="22">
        <f t="shared" si="18"/>
        <v>5.5637895100450541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16.2</v>
      </c>
      <c r="EJ32" s="12">
        <f>IF('Données projet'!$A$192&gt;35,EJ31+EI32-ER31,IF(A32&lt;'Données projet'!$A$192,$EG$205^A32,IF(A32='Données projet'!$A$192,'Données projet'!$B$192,EJ31+EI32-ER31)))</f>
        <v>198.79999999999998</v>
      </c>
      <c r="EK32" s="17">
        <f>EJ32*VLOOKUP('Données projet'!$B$15,Paramètres!$A$1:$I$89,3,0)*VLOOKUP('Données projet'!$B$15,Paramètres!$A$1:$I$89,5,0)</f>
        <v>118.88239999999999</v>
      </c>
      <c r="EL32" s="13">
        <f t="shared" si="45"/>
        <v>31.414195666990082</v>
      </c>
      <c r="EM32" s="20">
        <f t="shared" si="19"/>
        <v>261.76657078667432</v>
      </c>
      <c r="EN32" s="59">
        <f t="shared" si="20"/>
        <v>555.09990412000764</v>
      </c>
      <c r="EO32" s="59">
        <f ca="1">AVERAGE(OFFSET($EN$3,0,0,'Données projet'!$E$15+1,1))-AVERAGE(OFFSET($H$3,0,0,'Données projet'!$E$15+1,1))</f>
        <v>288.41846134875794</v>
      </c>
      <c r="EP32" s="59">
        <f t="shared" si="46"/>
        <v>248.93951719818972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13.36636102261323</v>
      </c>
      <c r="EX32" s="21">
        <f>EXP(-LN(2)/2)*EX31+(1-EXP(-LN(2)/2))/(LN(2)/2)*ER32*EU32*VLOOKUP('Données projet'!$B$15,Paramètres!$A$1:$I$89,3,0)*0.475*44/12</f>
        <v>0.68822362806927739</v>
      </c>
      <c r="EY32" s="22">
        <f t="shared" si="21"/>
        <v>14.054584650682507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31.2</v>
      </c>
      <c r="FE32" s="12">
        <f>IF('Données projet'!$A$218&gt;35,FE31+FD32-FM31,IF(A32&lt;'Données projet'!$A$218,$FB$205^A32,IF(A32='Données projet'!$A$218,'Données projet'!$B$218,FE31+FD32-FM31)))</f>
        <v>296.79999999999995</v>
      </c>
      <c r="FF32" s="17">
        <f>FE32*VLOOKUP('Données projet'!$B$16,Paramètres!$A$1:$I$89,3,0)*VLOOKUP('Données projet'!$B$16,Paramètres!$A$1:$I$89,5,0)</f>
        <v>135.04399999999998</v>
      </c>
      <c r="FG32" s="13">
        <f t="shared" si="47"/>
        <v>35.15928494562894</v>
      </c>
      <c r="FH32" s="20">
        <f t="shared" si="22"/>
        <v>296.43738794697032</v>
      </c>
      <c r="FI32" s="59">
        <f t="shared" si="23"/>
        <v>589.77072128030363</v>
      </c>
      <c r="FJ32" s="59">
        <f ca="1">AVERAGE(OFFSET($FI$3,0,0,'Données projet'!$E$16+1,1))-AVERAGE(OFFSET($H$3,0,0,'Données projet'!$E$16+1,1))</f>
        <v>367.36535411813264</v>
      </c>
      <c r="FK32" s="59">
        <f t="shared" si="48"/>
        <v>293.19545174980556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20.716783388510841</v>
      </c>
      <c r="FS32" s="21">
        <f>EXP(-LN(2)/2)*FS31+(1-EXP(-LN(2)/2))/(LN(2)/2)*FM32*FP32*VLOOKUP('Données projet'!$B$16,Paramètres!$A$1:$I$89,3,0)*0.475*44/12</f>
        <v>1.0245295030331865</v>
      </c>
      <c r="FT32" s="22">
        <f t="shared" si="24"/>
        <v>21.741312891544027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22.6</v>
      </c>
      <c r="FZ32" s="12">
        <f>IF('Données projet'!$A$244&gt;35,FZ31+FY32-GH31,IF(A32&lt;'Données projet'!$A$244,$FW$205^A32,IF(A32='Données projet'!$A$244,'Données projet'!$B$244,FZ31+FY32-GH31)))</f>
        <v>255.4</v>
      </c>
      <c r="GA32" s="17">
        <f>FZ32*VLOOKUP('Données projet'!$B$17,Paramètres!$A$1:$I$89,3,0)*VLOOKUP('Données projet'!$B$17,Paramètres!$A$1:$I$89,5,0)</f>
        <v>122.84740000000001</v>
      </c>
      <c r="GB32" s="13">
        <f t="shared" si="49"/>
        <v>32.338199455021801</v>
      </c>
      <c r="GC32" s="20">
        <f t="shared" si="25"/>
        <v>270.28158571749628</v>
      </c>
      <c r="GD32" s="59">
        <f t="shared" si="26"/>
        <v>563.6149190508296</v>
      </c>
      <c r="GE32" s="59">
        <f ca="1">AVERAGE(OFFSET($GD$3,0,0,'Données projet'!$E$17+1,1))-AVERAGE(OFFSET($H$3,0,0,'Données projet'!$E$17+1,1))</f>
        <v>312.64506496298173</v>
      </c>
      <c r="GF32" s="59">
        <f t="shared" si="50"/>
        <v>259.97532509897508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5.4460373511023006</v>
      </c>
      <c r="GO32" s="21">
        <f t="shared" si="27"/>
        <v>5.4460373511023006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7</v>
      </c>
      <c r="GU32" s="12">
        <f>IF('Données projet'!$A$270&gt;35,GU31+GT32-HC31,IF(A32&lt;'Données projet'!$A$270,$GR$205^A32,IF(A32='Données projet'!$A$270,'Données projet'!$B$270,GU31+GT32-HC31)))</f>
        <v>90</v>
      </c>
      <c r="GV32" s="17">
        <f>GU32*VLOOKUP('Données projet'!$B$18,Paramètres!$A$1:$I$89,3,0)*VLOOKUP('Données projet'!$B$18,Paramètres!$A$1:$I$89,5,0)</f>
        <v>91.26</v>
      </c>
      <c r="GW32" s="13">
        <f t="shared" si="51"/>
        <v>24.868860330902777</v>
      </c>
      <c r="GX32" s="20">
        <f t="shared" si="28"/>
        <v>202.25776507632233</v>
      </c>
      <c r="GY32" s="59">
        <f t="shared" si="29"/>
        <v>495.59109840965561</v>
      </c>
      <c r="GZ32" s="59">
        <f ca="1">AVERAGE(OFFSET($GY$3,0,0,'Données projet'!$E$18+1,1))-AVERAGE(OFFSET($H$3,0,0,'Données projet'!$E$18+1,1))</f>
        <v>308.80022073574963</v>
      </c>
      <c r="HA32" s="59">
        <f t="shared" si="52"/>
        <v>183.96267407004115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344.49457749226184</v>
      </c>
      <c r="T33" s="59">
        <f t="shared" si="34"/>
        <v>207.92972431357452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4.8</v>
      </c>
      <c r="AH33" s="12">
        <f t="array" ref="AH33">INDEX(AG:AG,MIN(IF(ISNUMBER(AG33:AG229),ROW(AG33:AG229),"")))</f>
        <v>4.8</v>
      </c>
      <c r="AI33" s="13">
        <f>IF('Données projet'!$A$62&gt;35,AI32+AH33-AQ32,IF(A33&lt;'Données projet'!$A$62,$AF$205^A33,IF(A33='Données projet'!$A$62,'Données projet'!$B$62,AI32+AH33-AQ32)))</f>
        <v>53.999999999999986</v>
      </c>
      <c r="AJ33" s="13">
        <f>AI33*VLOOKUP('Données projet'!$B$10,Paramètres!$A$1:$I$89,3,0)*VLOOKUP('Données projet'!$B$10,Paramètres!$A$1:$I$89,5,0)</f>
        <v>48.859199999999987</v>
      </c>
      <c r="AK33" s="13">
        <f t="shared" si="35"/>
        <v>14.318748507569309</v>
      </c>
      <c r="AL33" s="20">
        <f t="shared" si="4"/>
        <v>110.03492698401652</v>
      </c>
      <c r="AM33" s="59">
        <f t="shared" si="5"/>
        <v>403.36826031734984</v>
      </c>
      <c r="AN33" s="59">
        <f ca="1">AVERAGE(OFFSET($AM$3,0,0,'Données projet'!$E$10+1,1))-AVERAGE(OFFSET($H$3,0,0,'Données projet'!$E$10+1,1))</f>
        <v>183.0147113277086</v>
      </c>
      <c r="AO33" s="59">
        <f t="shared" si="36"/>
        <v>76.413905647258389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279.49721661620544</v>
      </c>
      <c r="BJ33" s="59">
        <f t="shared" si="38"/>
        <v>275.18739333988754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225.2323446080772</v>
      </c>
      <c r="CE33" s="59">
        <f t="shared" si="40"/>
        <v>222.29030402759292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122.70959999999998</v>
      </c>
      <c r="CV33" s="13">
        <f t="shared" si="41"/>
        <v>32.306145387002253</v>
      </c>
      <c r="CW33" s="20">
        <f t="shared" si="13"/>
        <v>269.98575654902885</v>
      </c>
      <c r="CX33" s="59">
        <f t="shared" si="14"/>
        <v>563.31908988236216</v>
      </c>
      <c r="CY33" s="59">
        <f ca="1">AVERAGE(OFFSET($CX$3,0,0,'Données projet'!$E$13+1,1))-AVERAGE(OFFSET($H$3,0,0,'Données projet'!$E$13+1,1))</f>
        <v>240.57184010337932</v>
      </c>
      <c r="CZ33" s="59">
        <f t="shared" si="42"/>
        <v>236.36473521227072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272</v>
      </c>
      <c r="DM33" s="12">
        <f>VLOOKUP(A33,'Données projet'!$A$165:$I$185,9,0)</f>
        <v>22.6</v>
      </c>
      <c r="DN33" s="12">
        <f t="array" ref="DN33">INDEX(DM:DM,MIN(IF(ISNUMBER(DM33:DM229),ROW(DM33:DM229),"")))</f>
        <v>22.6</v>
      </c>
      <c r="DO33" s="12">
        <f>IF('Données projet'!$A$166&gt;35,DO32+DN33-DW32,IF(A33&lt;'Données projet'!$A$166,$DL$205^A33,IF(A33='Données projet'!$A$166,'Données projet'!$B$166,DO32+DN33-DW32)))</f>
        <v>272</v>
      </c>
      <c r="DP33" s="17">
        <f>DO33*VLOOKUP('Données projet'!$B$14,Paramètres!$A$1:$I$89,3,0)*VLOOKUP('Données projet'!$B$14,Paramètres!$A$1:$I$89,5,0)</f>
        <v>127.29600000000001</v>
      </c>
      <c r="DQ33" s="13">
        <f t="shared" si="43"/>
        <v>33.370782027774453</v>
      </c>
      <c r="DR33" s="20">
        <f t="shared" si="16"/>
        <v>279.82797869837384</v>
      </c>
      <c r="DS33" s="59">
        <f t="shared" si="17"/>
        <v>573.16131203170721</v>
      </c>
      <c r="DT33" s="59">
        <f ca="1">AVERAGE(OFFSET($DS$3,0,0,'Données projet'!$E$14+1,1))-AVERAGE(OFFSET($H$3,0,0,'Données projet'!$E$14+1,1))</f>
        <v>304.29617570272939</v>
      </c>
      <c r="DU33" s="59">
        <f t="shared" si="44"/>
        <v>246.20695736161576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0.55000000000000004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19.046341540562508</v>
      </c>
      <c r="EC33" s="21">
        <f>EXP(-LN(2)/2)*EC32+(1-EXP(-LN(2)/2))/(LN(2)/2)*DW33*DZ33*VLOOKUP('Données projet'!$B$14,Paramètres!$A$1:$I$89,3,0)*0.475*44/12</f>
        <v>3.9341932916474369</v>
      </c>
      <c r="ED33" s="22">
        <f t="shared" si="18"/>
        <v>22.980534832209944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215</v>
      </c>
      <c r="EH33" s="12">
        <f>VLOOKUP(A33,'Données projet'!$A$191:$I$211,9,0)</f>
        <v>16.2</v>
      </c>
      <c r="EI33" s="12">
        <f t="array" ref="EI33">INDEX(EH:EH,MIN(IF(ISNUMBER(EH33:EH229),ROW(EH33:EH229),"")))</f>
        <v>16.2</v>
      </c>
      <c r="EJ33" s="12">
        <f>IF('Données projet'!$A$192&gt;35,EJ32+EI33-ER32,IF(A33&lt;'Données projet'!$A$192,$EG$205^A33,IF(A33='Données projet'!$A$192,'Données projet'!$B$192,EJ32+EI33-ER32)))</f>
        <v>214.99999999999997</v>
      </c>
      <c r="EK33" s="17">
        <f>EJ33*VLOOKUP('Données projet'!$B$15,Paramètres!$A$1:$I$89,3,0)*VLOOKUP('Données projet'!$B$15,Paramètres!$A$1:$I$89,5,0)</f>
        <v>128.57</v>
      </c>
      <c r="EL33" s="13">
        <f t="shared" si="45"/>
        <v>33.665715905233249</v>
      </c>
      <c r="EM33" s="20">
        <f t="shared" si="19"/>
        <v>282.56053853494785</v>
      </c>
      <c r="EN33" s="59">
        <f t="shared" si="20"/>
        <v>575.89387186828117</v>
      </c>
      <c r="EO33" s="59">
        <f ca="1">AVERAGE(OFFSET($EN$3,0,0,'Données projet'!$E$15+1,1))-AVERAGE(OFFSET($H$3,0,0,'Données projet'!$E$15+1,1))</f>
        <v>288.41846134875794</v>
      </c>
      <c r="EP33" s="59">
        <f t="shared" si="46"/>
        <v>248.93951719818972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42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0.45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27.934920430939101</v>
      </c>
      <c r="EX33" s="21">
        <f>EXP(-LN(2)/2)*EX32+(1-EXP(-LN(2)/2))/(LN(2)/2)*ER33*EU33*VLOOKUP('Données projet'!$B$15,Paramètres!$A$1:$I$89,3,0)*0.475*44/12</f>
        <v>0.48664759438059441</v>
      </c>
      <c r="EY33" s="22">
        <f t="shared" si="21"/>
        <v>28.421568025319697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328</v>
      </c>
      <c r="FC33" s="12">
        <f>VLOOKUP(A33,'Données projet'!$A$217:$I$237,9,0)</f>
        <v>31.2</v>
      </c>
      <c r="FD33" s="12">
        <f t="array" ref="FD33">INDEX(FC:FC,MIN(IF(ISNUMBER(FC33:FC229),ROW(FC33:FC229),"")))</f>
        <v>31.2</v>
      </c>
      <c r="FE33" s="12">
        <f>IF('Données projet'!$A$218&gt;35,FE32+FD33-FM32,IF(A33&lt;'Données projet'!$A$218,$FB$205^A33,IF(A33='Données projet'!$A$218,'Données projet'!$B$218,FE32+FD33-FM32)))</f>
        <v>327.99999999999994</v>
      </c>
      <c r="FF33" s="17">
        <f>FE33*VLOOKUP('Données projet'!$B$16,Paramètres!$A$1:$I$89,3,0)*VLOOKUP('Données projet'!$B$16,Paramètres!$A$1:$I$89,5,0)</f>
        <v>149.23999999999995</v>
      </c>
      <c r="FG33" s="13">
        <f t="shared" si="47"/>
        <v>38.405821867883496</v>
      </c>
      <c r="FH33" s="20">
        <f t="shared" si="22"/>
        <v>326.81647308656369</v>
      </c>
      <c r="FI33" s="59">
        <f t="shared" si="23"/>
        <v>620.149806419897</v>
      </c>
      <c r="FJ33" s="59">
        <f ca="1">AVERAGE(OFFSET($FI$3,0,0,'Données projet'!$E$16+1,1))-AVERAGE(OFFSET($H$3,0,0,'Données projet'!$E$16+1,1))</f>
        <v>367.36535411813264</v>
      </c>
      <c r="FK33" s="59">
        <f t="shared" si="48"/>
        <v>293.19545174980556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70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0.55000000000000004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43.296877479515103</v>
      </c>
      <c r="FS33" s="21">
        <f>EXP(-LN(2)/2)*FS32+(1-EXP(-LN(2)/2))/(LN(2)/2)*FM33*FP33*VLOOKUP('Données projet'!$B$16,Paramètres!$A$1:$I$89,3,0)*0.475*44/12</f>
        <v>0.72445175912044968</v>
      </c>
      <c r="FT33" s="22">
        <f t="shared" si="24"/>
        <v>44.021329238635552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278</v>
      </c>
      <c r="FX33" s="12">
        <f>VLOOKUP(A33,'Données projet'!$A$243:$I$263,9,0)</f>
        <v>22.6</v>
      </c>
      <c r="FY33" s="12">
        <f t="array" ref="FY33">INDEX(FX:FX,MIN(IF(ISNUMBER(FX33:FX229),ROW(FX33:FX229),"")))</f>
        <v>22.6</v>
      </c>
      <c r="FZ33" s="12">
        <f>IF('Données projet'!$A$244&gt;35,FZ32+FY33-GH32,IF(A33&lt;'Données projet'!$A$244,$FW$205^A33,IF(A33='Données projet'!$A$244,'Données projet'!$B$244,FZ32+FY33-GH32)))</f>
        <v>278</v>
      </c>
      <c r="GA33" s="17">
        <f>FZ33*VLOOKUP('Données projet'!$B$17,Paramètres!$A$1:$I$89,3,0)*VLOOKUP('Données projet'!$B$17,Paramètres!$A$1:$I$89,5,0)</f>
        <v>133.71800000000002</v>
      </c>
      <c r="GB33" s="13">
        <f t="shared" si="49"/>
        <v>34.854064939176951</v>
      </c>
      <c r="GC33" s="20">
        <f t="shared" si="25"/>
        <v>293.59634643573321</v>
      </c>
      <c r="GD33" s="59">
        <f t="shared" si="26"/>
        <v>586.92967976906652</v>
      </c>
      <c r="GE33" s="59">
        <f ca="1">AVERAGE(OFFSET($GD$3,0,0,'Données projet'!$E$17+1,1))-AVERAGE(OFFSET($H$3,0,0,'Données projet'!$E$17+1,1))</f>
        <v>312.64506496298173</v>
      </c>
      <c r="GF33" s="59">
        <f t="shared" si="50"/>
        <v>259.97532509897508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56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0.55000000000000004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19.57540658335591</v>
      </c>
      <c r="GN33" s="21">
        <f>EXP(-LN(2)/2)*GN32+(1-EXP(-LN(2)/2))/(LN(2)/2)*GH33*GK33*VLOOKUP('Données projet'!$B$17,Paramètres!$A$1:$I$89,3,0)*0.475*44/12</f>
        <v>3.8509299415596594</v>
      </c>
      <c r="GO33" s="21">
        <f t="shared" si="27"/>
        <v>23.42633652491557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97</v>
      </c>
      <c r="GS33" s="12">
        <f>VLOOKUP(A33,'Données projet'!$A$269:$I$289,9,0)</f>
        <v>7</v>
      </c>
      <c r="GT33" s="12">
        <f t="array" ref="GT33">INDEX(GS:GS,MIN(IF(ISNUMBER(GS33:GS229),ROW(GS33:GS229),"")))</f>
        <v>7</v>
      </c>
      <c r="GU33" s="12">
        <f>IF('Données projet'!$A$270&gt;35,GU32+GT33-HC32,IF(A33&lt;'Données projet'!$A$270,$GR$205^A33,IF(A33='Données projet'!$A$270,'Données projet'!$B$270,GU32+GT33-HC32)))</f>
        <v>97</v>
      </c>
      <c r="GV33" s="17">
        <f>GU33*VLOOKUP('Données projet'!$B$18,Paramètres!$A$1:$I$89,3,0)*VLOOKUP('Données projet'!$B$18,Paramètres!$A$1:$I$89,5,0)</f>
        <v>98.358000000000004</v>
      </c>
      <c r="GW33" s="13">
        <f t="shared" si="51"/>
        <v>26.570437554143126</v>
      </c>
      <c r="GX33" s="20">
        <f t="shared" si="28"/>
        <v>217.58369540679928</v>
      </c>
      <c r="GY33" s="59">
        <f t="shared" si="29"/>
        <v>510.91702874013259</v>
      </c>
      <c r="GZ33" s="59">
        <f ca="1">AVERAGE(OFFSET($GY$3,0,0,'Données projet'!$E$18+1,1))-AVERAGE(OFFSET($H$3,0,0,'Données projet'!$E$18+1,1))</f>
        <v>308.80022073574963</v>
      </c>
      <c r="HA33" s="59">
        <f t="shared" si="52"/>
        <v>183.96267407004115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21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344.49457749226184</v>
      </c>
      <c r="T34" s="59">
        <f t="shared" si="34"/>
        <v>207.92972431357452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</v>
      </c>
      <c r="AI34" s="13">
        <f>IF('Données projet'!$A$62&gt;35,AI33+AH34-AQ33,IF(A34&lt;'Données projet'!$A$62,$AF$205^A34,IF(A34='Données projet'!$A$62,'Données projet'!$B$62,AI33+AH34-AQ33)))</f>
        <v>58.999999999999986</v>
      </c>
      <c r="AJ34" s="13">
        <f>AI34*VLOOKUP('Données projet'!$B$10,Paramètres!$A$1:$I$89,3,0)*VLOOKUP('Données projet'!$B$10,Paramètres!$A$1:$I$89,5,0)</f>
        <v>53.383199999999988</v>
      </c>
      <c r="AK34" s="13">
        <f t="shared" si="35"/>
        <v>15.484128706113934</v>
      </c>
      <c r="AL34" s="20">
        <f t="shared" si="4"/>
        <v>119.94393082981507</v>
      </c>
      <c r="AM34" s="59">
        <f t="shared" si="5"/>
        <v>413.2772641631484</v>
      </c>
      <c r="AN34" s="59">
        <f ca="1">AVERAGE(OFFSET($AM$3,0,0,'Données projet'!$E$10+1,1))-AVERAGE(OFFSET($H$3,0,0,'Données projet'!$E$10+1,1))</f>
        <v>183.0147113277086</v>
      </c>
      <c r="AO34" s="59">
        <f t="shared" si="36"/>
        <v>76.413905647258389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279.49721661620544</v>
      </c>
      <c r="BJ34" s="59">
        <f t="shared" si="38"/>
        <v>275.18739333988754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225.2323446080772</v>
      </c>
      <c r="CE34" s="59">
        <f t="shared" si="40"/>
        <v>222.29030402759292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109.36223999999999</v>
      </c>
      <c r="CV34" s="13">
        <f t="shared" si="41"/>
        <v>29.180672529382424</v>
      </c>
      <c r="CW34" s="20">
        <f t="shared" si="13"/>
        <v>241.29557265534103</v>
      </c>
      <c r="CX34" s="59">
        <f t="shared" si="14"/>
        <v>534.62890598867432</v>
      </c>
      <c r="CY34" s="59">
        <f ca="1">AVERAGE(OFFSET($CX$3,0,0,'Données projet'!$E$13+1,1))-AVERAGE(OFFSET($H$3,0,0,'Données projet'!$E$13+1,1))</f>
        <v>240.57184010337932</v>
      </c>
      <c r="CZ34" s="59">
        <f t="shared" si="42"/>
        <v>236.36473521227072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23.4</v>
      </c>
      <c r="DO34" s="12">
        <f>IF('Données projet'!$A$166&gt;35,DO33+DN34-DW33,IF(A34&lt;'Données projet'!$A$166,$DL$205^A34,IF(A34='Données projet'!$A$166,'Données projet'!$B$166,DO33+DN34-DW33)))</f>
        <v>239.39999999999998</v>
      </c>
      <c r="DP34" s="17">
        <f>DO34*VLOOKUP('Données projet'!$B$14,Paramètres!$A$1:$I$89,3,0)*VLOOKUP('Données projet'!$B$14,Paramètres!$A$1:$I$89,5,0)</f>
        <v>112.03919999999998</v>
      </c>
      <c r="DQ34" s="13">
        <f t="shared" si="43"/>
        <v>29.810921169420201</v>
      </c>
      <c r="DR34" s="20">
        <f t="shared" si="16"/>
        <v>247.05562770340683</v>
      </c>
      <c r="DS34" s="59">
        <f t="shared" si="17"/>
        <v>540.38896103674017</v>
      </c>
      <c r="DT34" s="59">
        <f ca="1">AVERAGE(OFFSET($DS$3,0,0,'Données projet'!$E$14+1,1))-AVERAGE(OFFSET($H$3,0,0,'Données projet'!$E$14+1,1))</f>
        <v>304.29617570272939</v>
      </c>
      <c r="DU34" s="59">
        <f t="shared" si="44"/>
        <v>246.20695736161576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18.525518329532257</v>
      </c>
      <c r="EC34" s="21">
        <f>EXP(-LN(2)/2)*EC33+(1-EXP(-LN(2)/2))/(LN(2)/2)*DW34*DZ34*VLOOKUP('Données projet'!$B$14,Paramètres!$A$1:$I$89,3,0)*0.475*44/12</f>
        <v>2.7818947550225275</v>
      </c>
      <c r="ED34" s="22">
        <f t="shared" si="18"/>
        <v>21.307413084554785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16.399999999999999</v>
      </c>
      <c r="EJ34" s="12">
        <f>IF('Données projet'!$A$192&gt;35,EJ33+EI34-ER33,IF(A34&lt;'Données projet'!$A$192,$EG$205^A34,IF(A34='Données projet'!$A$192,'Données projet'!$B$192,EJ33+EI34-ER33)))</f>
        <v>189.39999999999998</v>
      </c>
      <c r="EK34" s="17">
        <f>EJ34*VLOOKUP('Données projet'!$B$15,Paramètres!$A$1:$I$89,3,0)*VLOOKUP('Données projet'!$B$15,Paramètres!$A$1:$I$89,5,0)</f>
        <v>113.2612</v>
      </c>
      <c r="EL34" s="13">
        <f t="shared" si="45"/>
        <v>30.098037340507396</v>
      </c>
      <c r="EM34" s="20">
        <f t="shared" si="19"/>
        <v>249.68400503471705</v>
      </c>
      <c r="EN34" s="59">
        <f t="shared" si="20"/>
        <v>543.01733836805033</v>
      </c>
      <c r="EO34" s="59">
        <f ca="1">AVERAGE(OFFSET($EN$3,0,0,'Données projet'!$E$15+1,1))-AVERAGE(OFFSET($H$3,0,0,'Données projet'!$E$15+1,1))</f>
        <v>288.41846134875794</v>
      </c>
      <c r="EP34" s="59">
        <f t="shared" si="46"/>
        <v>248.93951719818972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27.171038562721453</v>
      </c>
      <c r="EX34" s="21">
        <f>EXP(-LN(2)/2)*EX33+(1-EXP(-LN(2)/2))/(LN(2)/2)*ER34*EU34*VLOOKUP('Données projet'!$B$15,Paramètres!$A$1:$I$89,3,0)*0.475*44/12</f>
        <v>0.34411181403463875</v>
      </c>
      <c r="EY34" s="22">
        <f t="shared" si="21"/>
        <v>27.515150376756093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31.4</v>
      </c>
      <c r="FE34" s="12">
        <f>IF('Données projet'!$A$218&gt;35,FE33+FD34-FM33,IF(A34&lt;'Données projet'!$A$218,$FB$205^A34,IF(A34='Données projet'!$A$218,'Données projet'!$B$218,FE33+FD34-FM33)))</f>
        <v>289.39999999999992</v>
      </c>
      <c r="FF34" s="17">
        <f>FE34*VLOOKUP('Données projet'!$B$16,Paramètres!$A$1:$I$89,3,0)*VLOOKUP('Données projet'!$B$16,Paramètres!$A$1:$I$89,5,0)</f>
        <v>131.67699999999996</v>
      </c>
      <c r="FG34" s="13">
        <f t="shared" si="47"/>
        <v>34.383575250232418</v>
      </c>
      <c r="FH34" s="20">
        <f t="shared" si="22"/>
        <v>289.22216856082139</v>
      </c>
      <c r="FI34" s="59">
        <f t="shared" si="23"/>
        <v>582.55550189415476</v>
      </c>
      <c r="FJ34" s="59">
        <f ca="1">AVERAGE(OFFSET($FI$3,0,0,'Données projet'!$E$16+1,1))-AVERAGE(OFFSET($H$3,0,0,'Données projet'!$E$16+1,1))</f>
        <v>367.36535411813264</v>
      </c>
      <c r="FK34" s="59">
        <f t="shared" si="48"/>
        <v>293.19545174980556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42.112922087953933</v>
      </c>
      <c r="FS34" s="21">
        <f>EXP(-LN(2)/2)*FS33+(1-EXP(-LN(2)/2))/(LN(2)/2)*FM34*FP34*VLOOKUP('Données projet'!$B$16,Paramètres!$A$1:$I$89,3,0)*0.475*44/12</f>
        <v>0.51226475151659323</v>
      </c>
      <c r="FT34" s="22">
        <f t="shared" si="24"/>
        <v>42.62518683947053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22.8</v>
      </c>
      <c r="FZ34" s="12">
        <f>IF('Données projet'!$A$244&gt;35,FZ33+FY34-GH33,IF(A34&lt;'Données projet'!$A$244,$FW$205^A34,IF(A34='Données projet'!$A$244,'Données projet'!$B$244,FZ33+FY34-GH33)))</f>
        <v>244.8</v>
      </c>
      <c r="GA34" s="17">
        <f>FZ34*VLOOKUP('Données projet'!$B$17,Paramètres!$A$1:$I$89,3,0)*VLOOKUP('Données projet'!$B$17,Paramètres!$A$1:$I$89,5,0)</f>
        <v>117.74880000000002</v>
      </c>
      <c r="GB34" s="13">
        <f t="shared" si="49"/>
        <v>31.149366548366025</v>
      </c>
      <c r="GC34" s="20">
        <f t="shared" si="25"/>
        <v>259.33097340507084</v>
      </c>
      <c r="GD34" s="59">
        <f t="shared" si="26"/>
        <v>552.66430673840409</v>
      </c>
      <c r="GE34" s="59">
        <f ca="1">AVERAGE(OFFSET($GD$3,0,0,'Données projet'!$E$17+1,1))-AVERAGE(OFFSET($H$3,0,0,'Données projet'!$E$17+1,1))</f>
        <v>312.64506496298173</v>
      </c>
      <c r="GF34" s="59">
        <f t="shared" si="50"/>
        <v>259.97532509897508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19.040116060908151</v>
      </c>
      <c r="GN34" s="21">
        <f>EXP(-LN(2)/2)*GN33+(1-EXP(-LN(2)/2))/(LN(2)/2)*GH34*GK34*VLOOKUP('Données projet'!$B$17,Paramètres!$A$1:$I$89,3,0)*0.475*44/12</f>
        <v>2.7230186755511503</v>
      </c>
      <c r="GO34" s="21">
        <f t="shared" si="27"/>
        <v>21.7631347364593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</v>
      </c>
      <c r="GU34" s="12">
        <f>IF('Données projet'!$A$270&gt;35,GU33+GT34-HC33,IF(A34&lt;'Données projet'!$A$270,$GR$205^A34,IF(A34='Données projet'!$A$270,'Données projet'!$B$270,GU33+GT34-HC33)))</f>
        <v>84</v>
      </c>
      <c r="GV34" s="17">
        <f>GU34*VLOOKUP('Données projet'!$B$18,Paramètres!$A$1:$I$89,3,0)*VLOOKUP('Données projet'!$B$18,Paramètres!$A$1:$I$89,5,0)</f>
        <v>85.176000000000002</v>
      </c>
      <c r="GW34" s="13">
        <f t="shared" si="51"/>
        <v>23.398088487656441</v>
      </c>
      <c r="GX34" s="20">
        <f t="shared" si="28"/>
        <v>189.09987078266829</v>
      </c>
      <c r="GY34" s="59">
        <f t="shared" si="29"/>
        <v>482.4332041160016</v>
      </c>
      <c r="GZ34" s="59">
        <f ca="1">AVERAGE(OFFSET($GY$3,0,0,'Données projet'!$E$18+1,1))-AVERAGE(OFFSET($H$3,0,0,'Données projet'!$E$18+1,1))</f>
        <v>308.80022073574963</v>
      </c>
      <c r="HA34" s="59">
        <f t="shared" si="52"/>
        <v>183.96267407004115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344.49457749226184</v>
      </c>
      <c r="T35" s="59">
        <f t="shared" si="34"/>
        <v>207.92972431357452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</v>
      </c>
      <c r="AI35" s="13">
        <f>IF('Données projet'!$A$62&gt;35,AI34+AH35-AQ34,IF(A35&lt;'Données projet'!$A$62,$AF$205^A35,IF(A35='Données projet'!$A$62,'Données projet'!$B$62,AI34+AH35-AQ34)))</f>
        <v>63.999999999999986</v>
      </c>
      <c r="AJ35" s="13">
        <f>AI35*VLOOKUP('Données projet'!$B$10,Paramètres!$A$1:$I$89,3,0)*VLOOKUP('Données projet'!$B$10,Paramètres!$A$1:$I$89,5,0)</f>
        <v>57.907199999999989</v>
      </c>
      <c r="AK35" s="13">
        <f t="shared" si="35"/>
        <v>16.638055172385986</v>
      </c>
      <c r="AL35" s="20">
        <f t="shared" si="4"/>
        <v>129.83298609190555</v>
      </c>
      <c r="AM35" s="59">
        <f t="shared" si="5"/>
        <v>423.16631942523884</v>
      </c>
      <c r="AN35" s="59">
        <f ca="1">AVERAGE(OFFSET($AM$3,0,0,'Données projet'!$E$10+1,1))-AVERAGE(OFFSET($H$3,0,0,'Données projet'!$E$10+1,1))</f>
        <v>183.0147113277086</v>
      </c>
      <c r="AO35" s="59">
        <f t="shared" si="36"/>
        <v>76.413905647258389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279.49721661620544</v>
      </c>
      <c r="BJ35" s="59">
        <f t="shared" si="38"/>
        <v>275.18739333988754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225.2323446080772</v>
      </c>
      <c r="CE35" s="59">
        <f t="shared" si="40"/>
        <v>222.29030402759292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118.61927999999997</v>
      </c>
      <c r="CV35" s="13">
        <f t="shared" si="41"/>
        <v>31.352752451796285</v>
      </c>
      <c r="CW35" s="20">
        <f t="shared" si="13"/>
        <v>261.20128985354512</v>
      </c>
      <c r="CX35" s="59">
        <f t="shared" si="14"/>
        <v>554.53462318687843</v>
      </c>
      <c r="CY35" s="59">
        <f ca="1">AVERAGE(OFFSET($CX$3,0,0,'Données projet'!$E$13+1,1))-AVERAGE(OFFSET($H$3,0,0,'Données projet'!$E$13+1,1))</f>
        <v>240.57184010337932</v>
      </c>
      <c r="CZ35" s="59">
        <f t="shared" si="42"/>
        <v>236.36473521227072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23.4</v>
      </c>
      <c r="DO35" s="12">
        <f>IF('Données projet'!$A$166&gt;35,DO34+DN35-DW34,IF(A35&lt;'Données projet'!$A$166,$DL$205^A35,IF(A35='Données projet'!$A$166,'Données projet'!$B$166,DO34+DN35-DW34)))</f>
        <v>262.79999999999995</v>
      </c>
      <c r="DP35" s="17">
        <f>DO35*VLOOKUP('Données projet'!$B$14,Paramètres!$A$1:$I$89,3,0)*VLOOKUP('Données projet'!$B$14,Paramètres!$A$1:$I$89,5,0)</f>
        <v>122.99039999999997</v>
      </c>
      <c r="DQ35" s="13">
        <f t="shared" si="43"/>
        <v>32.371458685761077</v>
      </c>
      <c r="DR35" s="20">
        <f t="shared" si="16"/>
        <v>270.58857054436709</v>
      </c>
      <c r="DS35" s="59">
        <f t="shared" si="17"/>
        <v>563.9219038777004</v>
      </c>
      <c r="DT35" s="59">
        <f ca="1">AVERAGE(OFFSET($DS$3,0,0,'Données projet'!$E$14+1,1))-AVERAGE(OFFSET($H$3,0,0,'Données projet'!$E$14+1,1))</f>
        <v>304.29617570272939</v>
      </c>
      <c r="DU35" s="59">
        <f t="shared" si="44"/>
        <v>246.20695736161576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18.018937056596531</v>
      </c>
      <c r="EC35" s="21">
        <f>EXP(-LN(2)/2)*EC34+(1-EXP(-LN(2)/2))/(LN(2)/2)*DW35*DZ35*VLOOKUP('Données projet'!$B$14,Paramètres!$A$1:$I$89,3,0)*0.475*44/12</f>
        <v>1.9670966458237187</v>
      </c>
      <c r="ED35" s="22">
        <f t="shared" si="18"/>
        <v>19.986033702420251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16.399999999999999</v>
      </c>
      <c r="EJ35" s="12">
        <f>IF('Données projet'!$A$192&gt;35,EJ34+EI35-ER34,IF(A35&lt;'Données projet'!$A$192,$EG$205^A35,IF(A35='Données projet'!$A$192,'Données projet'!$B$192,EJ34+EI35-ER34)))</f>
        <v>205.79999999999998</v>
      </c>
      <c r="EK35" s="17">
        <f>EJ35*VLOOKUP('Données projet'!$B$15,Paramètres!$A$1:$I$89,3,0)*VLOOKUP('Données projet'!$B$15,Paramètres!$A$1:$I$89,5,0)</f>
        <v>123.0684</v>
      </c>
      <c r="EL35" s="13">
        <f t="shared" si="45"/>
        <v>32.38959818689365</v>
      </c>
      <c r="EM35" s="20">
        <f t="shared" si="19"/>
        <v>270.75601350883971</v>
      </c>
      <c r="EN35" s="59">
        <f t="shared" si="20"/>
        <v>564.08934684217297</v>
      </c>
      <c r="EO35" s="59">
        <f ca="1">AVERAGE(OFFSET($EN$3,0,0,'Données projet'!$E$15+1,1))-AVERAGE(OFFSET($H$3,0,0,'Données projet'!$E$15+1,1))</f>
        <v>288.41846134875794</v>
      </c>
      <c r="EP35" s="59">
        <f t="shared" si="46"/>
        <v>248.93951719818972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26.428045084361017</v>
      </c>
      <c r="EX35" s="21">
        <f>EXP(-LN(2)/2)*EX34+(1-EXP(-LN(2)/2))/(LN(2)/2)*ER35*EU35*VLOOKUP('Données projet'!$B$15,Paramètres!$A$1:$I$89,3,0)*0.475*44/12</f>
        <v>0.24332379719029726</v>
      </c>
      <c r="EY35" s="22">
        <f t="shared" si="21"/>
        <v>26.671368881551313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31.4</v>
      </c>
      <c r="FE35" s="12">
        <f>IF('Données projet'!$A$218&gt;35,FE34+FD35-FM34,IF(A35&lt;'Données projet'!$A$218,$FB$205^A35,IF(A35='Données projet'!$A$218,'Données projet'!$B$218,FE34+FD35-FM34)))</f>
        <v>320.7999999999999</v>
      </c>
      <c r="FF35" s="17">
        <f>FE35*VLOOKUP('Données projet'!$B$16,Paramètres!$A$1:$I$89,3,0)*VLOOKUP('Données projet'!$B$16,Paramètres!$A$1:$I$89,5,0)</f>
        <v>145.96399999999994</v>
      </c>
      <c r="FG35" s="13">
        <f t="shared" si="47"/>
        <v>37.659939249734606</v>
      </c>
      <c r="FH35" s="20">
        <f t="shared" si="22"/>
        <v>319.81169419328768</v>
      </c>
      <c r="FI35" s="59">
        <f t="shared" si="23"/>
        <v>613.14502752662099</v>
      </c>
      <c r="FJ35" s="59">
        <f ca="1">AVERAGE(OFFSET($FI$3,0,0,'Données projet'!$E$16+1,1))-AVERAGE(OFFSET($H$3,0,0,'Données projet'!$E$16+1,1))</f>
        <v>367.36535411813264</v>
      </c>
      <c r="FK35" s="59">
        <f t="shared" si="48"/>
        <v>293.19545174980556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40.961342018836511</v>
      </c>
      <c r="FS35" s="21">
        <f>EXP(-LN(2)/2)*FS34+(1-EXP(-LN(2)/2))/(LN(2)/2)*FM35*FP35*VLOOKUP('Données projet'!$B$16,Paramètres!$A$1:$I$89,3,0)*0.475*44/12</f>
        <v>0.36222587956022484</v>
      </c>
      <c r="FT35" s="22">
        <f t="shared" si="24"/>
        <v>41.323567898396739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22.8</v>
      </c>
      <c r="FZ35" s="12">
        <f>IF('Données projet'!$A$244&gt;35,FZ34+FY35-GH34,IF(A35&lt;'Données projet'!$A$244,$FW$205^A35,IF(A35='Données projet'!$A$244,'Données projet'!$B$244,FZ34+FY35-GH34)))</f>
        <v>267.60000000000002</v>
      </c>
      <c r="GA35" s="17">
        <f>FZ35*VLOOKUP('Données projet'!$B$17,Paramètres!$A$1:$I$89,3,0)*VLOOKUP('Données projet'!$B$17,Paramètres!$A$1:$I$89,5,0)</f>
        <v>128.71559999999999</v>
      </c>
      <c r="GB35" s="13">
        <f t="shared" si="49"/>
        <v>33.699400915161661</v>
      </c>
      <c r="GC35" s="20">
        <f t="shared" si="25"/>
        <v>282.87279326057325</v>
      </c>
      <c r="GD35" s="59">
        <f t="shared" si="26"/>
        <v>576.20612659390656</v>
      </c>
      <c r="GE35" s="59">
        <f ca="1">AVERAGE(OFFSET($GD$3,0,0,'Données projet'!$E$17+1,1))-AVERAGE(OFFSET($H$3,0,0,'Données projet'!$E$17+1,1))</f>
        <v>312.64506496298173</v>
      </c>
      <c r="GF35" s="59">
        <f t="shared" si="50"/>
        <v>259.97532509897508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18.51946308594643</v>
      </c>
      <c r="GN35" s="21">
        <f>EXP(-LN(2)/2)*GN34+(1-EXP(-LN(2)/2))/(LN(2)/2)*GH35*GK35*VLOOKUP('Données projet'!$B$17,Paramètres!$A$1:$I$89,3,0)*0.475*44/12</f>
        <v>1.9254649707798297</v>
      </c>
      <c r="GO35" s="21">
        <f t="shared" si="27"/>
        <v>20.444928056726262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</v>
      </c>
      <c r="GU35" s="12">
        <f>IF('Données projet'!$A$270&gt;35,GU34+GT35-HC34,IF(A35&lt;'Données projet'!$A$270,$GR$205^A35,IF(A35='Données projet'!$A$270,'Données projet'!$B$270,GU34+GT35-HC34)))</f>
        <v>92</v>
      </c>
      <c r="GV35" s="17">
        <f>GU35*VLOOKUP('Données projet'!$B$18,Paramètres!$A$1:$I$89,3,0)*VLOOKUP('Données projet'!$B$18,Paramètres!$A$1:$I$89,5,0)</f>
        <v>93.288000000000011</v>
      </c>
      <c r="GW35" s="13">
        <f t="shared" si="51"/>
        <v>25.356547829040977</v>
      </c>
      <c r="GX35" s="20">
        <f t="shared" si="28"/>
        <v>206.63925413557971</v>
      </c>
      <c r="GY35" s="59">
        <f t="shared" si="29"/>
        <v>499.97258746891305</v>
      </c>
      <c r="GZ35" s="59">
        <f ca="1">AVERAGE(OFFSET($GY$3,0,0,'Données projet'!$E$18+1,1))-AVERAGE(OFFSET($H$3,0,0,'Données projet'!$E$18+1,1))</f>
        <v>308.80022073574963</v>
      </c>
      <c r="HA35" s="59">
        <f t="shared" si="52"/>
        <v>183.96267407004115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344.49457749226184</v>
      </c>
      <c r="T36" s="59">
        <f t="shared" si="34"/>
        <v>207.92972431357452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</v>
      </c>
      <c r="AI36" s="13">
        <f>IF('Données projet'!$A$62&gt;35,AI35+AH36-AQ35,IF(A36&lt;'Données projet'!$A$62,$AF$205^A36,IF(A36='Données projet'!$A$62,'Données projet'!$B$62,AI35+AH36-AQ35)))</f>
        <v>68.999999999999986</v>
      </c>
      <c r="AJ36" s="13">
        <f>AI36*VLOOKUP('Données projet'!$B$10,Paramètres!$A$1:$I$89,3,0)*VLOOKUP('Données projet'!$B$10,Paramètres!$A$1:$I$89,5,0)</f>
        <v>62.431199999999983</v>
      </c>
      <c r="AK36" s="13">
        <f t="shared" si="35"/>
        <v>17.781524466058684</v>
      </c>
      <c r="AL36" s="20">
        <f t="shared" si="4"/>
        <v>139.70382844505215</v>
      </c>
      <c r="AM36" s="59">
        <f t="shared" si="5"/>
        <v>433.03716177838544</v>
      </c>
      <c r="AN36" s="59">
        <f ca="1">AVERAGE(OFFSET($AM$3,0,0,'Données projet'!$E$10+1,1))-AVERAGE(OFFSET($H$3,0,0,'Données projet'!$E$10+1,1))</f>
        <v>183.0147113277086</v>
      </c>
      <c r="AO36" s="59">
        <f t="shared" si="36"/>
        <v>76.413905647258389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279.49721661620544</v>
      </c>
      <c r="BJ36" s="59">
        <f t="shared" si="38"/>
        <v>275.18739333988754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225.2323446080772</v>
      </c>
      <c r="CE36" s="59">
        <f t="shared" si="40"/>
        <v>222.29030402759292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127.87631999999995</v>
      </c>
      <c r="CV36" s="13">
        <f t="shared" si="41"/>
        <v>33.505169821414185</v>
      </c>
      <c r="CW36" s="20">
        <f t="shared" si="13"/>
        <v>281.07276143896291</v>
      </c>
      <c r="CX36" s="59">
        <f t="shared" si="14"/>
        <v>574.40609477229623</v>
      </c>
      <c r="CY36" s="59">
        <f ca="1">AVERAGE(OFFSET($CX$3,0,0,'Données projet'!$E$13+1,1))-AVERAGE(OFFSET($H$3,0,0,'Données projet'!$E$13+1,1))</f>
        <v>240.57184010337932</v>
      </c>
      <c r="CZ36" s="59">
        <f t="shared" si="42"/>
        <v>236.36473521227072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23.4</v>
      </c>
      <c r="DO36" s="12">
        <f>IF('Données projet'!$A$166&gt;35,DO35+DN36-DW35,IF(A36&lt;'Données projet'!$A$166,$DL$205^A36,IF(A36='Données projet'!$A$166,'Données projet'!$B$166,DO35+DN36-DW35)))</f>
        <v>286.19999999999993</v>
      </c>
      <c r="DP36" s="17">
        <f>DO36*VLOOKUP('Données projet'!$B$14,Paramètres!$A$1:$I$89,3,0)*VLOOKUP('Données projet'!$B$14,Paramètres!$A$1:$I$89,5,0)</f>
        <v>133.94159999999997</v>
      </c>
      <c r="DQ36" s="13">
        <f t="shared" si="43"/>
        <v>34.905558014330495</v>
      </c>
      <c r="DR36" s="20">
        <f t="shared" si="16"/>
        <v>294.07546687495886</v>
      </c>
      <c r="DS36" s="59">
        <f t="shared" si="17"/>
        <v>587.40880020829218</v>
      </c>
      <c r="DT36" s="59">
        <f ca="1">AVERAGE(OFFSET($DS$3,0,0,'Données projet'!$E$14+1,1))-AVERAGE(OFFSET($H$3,0,0,'Données projet'!$E$14+1,1))</f>
        <v>304.29617570272939</v>
      </c>
      <c r="DU36" s="59">
        <f t="shared" si="44"/>
        <v>246.20695736161576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17.526208275209182</v>
      </c>
      <c r="EC36" s="21">
        <f>EXP(-LN(2)/2)*EC35+(1-EXP(-LN(2)/2))/(LN(2)/2)*DW36*DZ36*VLOOKUP('Données projet'!$B$14,Paramètres!$A$1:$I$89,3,0)*0.475*44/12</f>
        <v>1.390947377511264</v>
      </c>
      <c r="ED36" s="22">
        <f t="shared" si="18"/>
        <v>18.917155652720446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16.399999999999999</v>
      </c>
      <c r="EJ36" s="12">
        <f>IF('Données projet'!$A$192&gt;35,EJ35+EI36-ER35,IF(A36&lt;'Données projet'!$A$192,$EG$205^A36,IF(A36='Données projet'!$A$192,'Données projet'!$B$192,EJ35+EI36-ER35)))</f>
        <v>222.2</v>
      </c>
      <c r="EK36" s="17">
        <f>EJ36*VLOOKUP('Données projet'!$B$15,Paramètres!$A$1:$I$89,3,0)*VLOOKUP('Données projet'!$B$15,Paramètres!$A$1:$I$89,5,0)</f>
        <v>132.87560000000002</v>
      </c>
      <c r="EL36" s="13">
        <f t="shared" si="45"/>
        <v>34.659977599024245</v>
      </c>
      <c r="EM36" s="20">
        <f t="shared" si="19"/>
        <v>291.79113098496725</v>
      </c>
      <c r="EN36" s="59">
        <f t="shared" si="20"/>
        <v>585.12446431830062</v>
      </c>
      <c r="EO36" s="59">
        <f ca="1">AVERAGE(OFFSET($EN$3,0,0,'Données projet'!$E$15+1,1))-AVERAGE(OFFSET($H$3,0,0,'Données projet'!$E$15+1,1))</f>
        <v>288.41846134875794</v>
      </c>
      <c r="EP36" s="59">
        <f t="shared" si="46"/>
        <v>248.93951719818972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25.705368801738675</v>
      </c>
      <c r="EX36" s="21">
        <f>EXP(-LN(2)/2)*EX35+(1-EXP(-LN(2)/2))/(LN(2)/2)*ER36*EU36*VLOOKUP('Données projet'!$B$15,Paramètres!$A$1:$I$89,3,0)*0.475*44/12</f>
        <v>0.1720559070173194</v>
      </c>
      <c r="EY36" s="22">
        <f t="shared" si="21"/>
        <v>25.877424708755996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31.4</v>
      </c>
      <c r="FE36" s="12">
        <f>IF('Données projet'!$A$218&gt;35,FE35+FD36-FM35,IF(A36&lt;'Données projet'!$A$218,$FB$205^A36,IF(A36='Données projet'!$A$218,'Données projet'!$B$218,FE35+FD36-FM35)))</f>
        <v>352.19999999999987</v>
      </c>
      <c r="FF36" s="17">
        <f>FE36*VLOOKUP('Données projet'!$B$16,Paramètres!$A$1:$I$89,3,0)*VLOOKUP('Données projet'!$B$16,Paramètres!$A$1:$I$89,5,0)</f>
        <v>160.25099999999995</v>
      </c>
      <c r="FG36" s="13">
        <f t="shared" si="47"/>
        <v>40.899123991429356</v>
      </c>
      <c r="FH36" s="20">
        <f t="shared" si="22"/>
        <v>350.3364659517394</v>
      </c>
      <c r="FI36" s="59">
        <f t="shared" si="23"/>
        <v>643.66979928507271</v>
      </c>
      <c r="FJ36" s="59">
        <f ca="1">AVERAGE(OFFSET($FI$3,0,0,'Données projet'!$E$16+1,1))-AVERAGE(OFFSET($H$3,0,0,'Données projet'!$E$16+1,1))</f>
        <v>367.36535411813264</v>
      </c>
      <c r="FK36" s="59">
        <f t="shared" si="48"/>
        <v>293.19545174980556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39.841251967268072</v>
      </c>
      <c r="FS36" s="21">
        <f>EXP(-LN(2)/2)*FS35+(1-EXP(-LN(2)/2))/(LN(2)/2)*FM36*FP36*VLOOKUP('Données projet'!$B$16,Paramètres!$A$1:$I$89,3,0)*0.475*44/12</f>
        <v>0.25613237575829662</v>
      </c>
      <c r="FT36" s="22">
        <f t="shared" si="24"/>
        <v>40.09738434302637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22.8</v>
      </c>
      <c r="FZ36" s="12">
        <f>IF('Données projet'!$A$244&gt;35,FZ35+FY36-GH35,IF(A36&lt;'Données projet'!$A$244,$FW$205^A36,IF(A36='Données projet'!$A$244,'Données projet'!$B$244,FZ35+FY36-GH35)))</f>
        <v>290.40000000000003</v>
      </c>
      <c r="GA36" s="17">
        <f>FZ36*VLOOKUP('Données projet'!$B$17,Paramètres!$A$1:$I$89,3,0)*VLOOKUP('Données projet'!$B$17,Paramètres!$A$1:$I$89,5,0)</f>
        <v>139.6824</v>
      </c>
      <c r="GB36" s="13">
        <f t="shared" si="49"/>
        <v>36.224238180512785</v>
      </c>
      <c r="GC36" s="20">
        <f t="shared" si="25"/>
        <v>306.37072816439314</v>
      </c>
      <c r="GD36" s="59">
        <f t="shared" si="26"/>
        <v>599.70406149772646</v>
      </c>
      <c r="GE36" s="59">
        <f ca="1">AVERAGE(OFFSET($GD$3,0,0,'Données projet'!$E$17+1,1))-AVERAGE(OFFSET($H$3,0,0,'Données projet'!$E$17+1,1))</f>
        <v>312.64506496298173</v>
      </c>
      <c r="GF36" s="59">
        <f t="shared" si="50"/>
        <v>259.97532509897508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18.013047393964989</v>
      </c>
      <c r="GN36" s="21">
        <f>EXP(-LN(2)/2)*GN35+(1-EXP(-LN(2)/2))/(LN(2)/2)*GH36*GK36*VLOOKUP('Données projet'!$B$17,Paramètres!$A$1:$I$89,3,0)*0.475*44/12</f>
        <v>1.3615093377755751</v>
      </c>
      <c r="GO36" s="21">
        <f t="shared" si="27"/>
        <v>19.374556731740565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</v>
      </c>
      <c r="GU36" s="12">
        <f>IF('Données projet'!$A$270&gt;35,GU35+GT36-HC35,IF(A36&lt;'Données projet'!$A$270,$GR$205^A36,IF(A36='Données projet'!$A$270,'Données projet'!$B$270,GU35+GT36-HC35)))</f>
        <v>100</v>
      </c>
      <c r="GV36" s="17">
        <f>GU36*VLOOKUP('Données projet'!$B$18,Paramètres!$A$1:$I$89,3,0)*VLOOKUP('Données projet'!$B$18,Paramètres!$A$1:$I$89,5,0)</f>
        <v>101.4</v>
      </c>
      <c r="GW36" s="13">
        <f t="shared" si="51"/>
        <v>27.295257887453797</v>
      </c>
      <c r="GX36" s="20">
        <f t="shared" si="28"/>
        <v>224.14424082064872</v>
      </c>
      <c r="GY36" s="59">
        <f t="shared" si="29"/>
        <v>517.477574153982</v>
      </c>
      <c r="GZ36" s="59">
        <f ca="1">AVERAGE(OFFSET($GY$3,0,0,'Données projet'!$E$18+1,1))-AVERAGE(OFFSET($H$3,0,0,'Données projet'!$E$18+1,1))</f>
        <v>308.80022073574963</v>
      </c>
      <c r="HA36" s="59">
        <f t="shared" si="52"/>
        <v>183.96267407004115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344.49457749226184</v>
      </c>
      <c r="T37" s="59">
        <f t="shared" si="34"/>
        <v>207.92972431357452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</v>
      </c>
      <c r="AI37" s="13">
        <f>IF('Données projet'!$A$62&gt;35,AI36+AH37-AQ36,IF(A37&lt;'Données projet'!$A$62,$AF$205^A37,IF(A37='Données projet'!$A$62,'Données projet'!$B$62,AI36+AH37-AQ36)))</f>
        <v>73.999999999999986</v>
      </c>
      <c r="AJ37" s="13">
        <f>AI37*VLOOKUP('Données projet'!$B$10,Paramètres!$A$1:$I$89,3,0)*VLOOKUP('Données projet'!$B$10,Paramètres!$A$1:$I$89,5,0)</f>
        <v>66.955199999999977</v>
      </c>
      <c r="AK37" s="13">
        <f t="shared" si="35"/>
        <v>18.915380530436487</v>
      </c>
      <c r="AL37" s="20">
        <f t="shared" si="4"/>
        <v>149.55792775717683</v>
      </c>
      <c r="AM37" s="59">
        <f t="shared" si="5"/>
        <v>442.89126109051017</v>
      </c>
      <c r="AN37" s="59">
        <f ca="1">AVERAGE(OFFSET($AM$3,0,0,'Données projet'!$E$10+1,1))-AVERAGE(OFFSET($H$3,0,0,'Données projet'!$E$10+1,1))</f>
        <v>183.0147113277086</v>
      </c>
      <c r="AO37" s="59">
        <f t="shared" si="36"/>
        <v>76.413905647258389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279.49721661620544</v>
      </c>
      <c r="BJ37" s="59">
        <f t="shared" si="38"/>
        <v>275.18739333988754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225.2323446080772</v>
      </c>
      <c r="CE37" s="59">
        <f t="shared" si="40"/>
        <v>222.29030402759292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137.13335999999995</v>
      </c>
      <c r="CV37" s="13">
        <f t="shared" si="41"/>
        <v>35.639509897196163</v>
      </c>
      <c r="CW37" s="20">
        <f t="shared" si="13"/>
        <v>300.91274840428326</v>
      </c>
      <c r="CX37" s="59">
        <f t="shared" si="14"/>
        <v>594.24608173761658</v>
      </c>
      <c r="CY37" s="59">
        <f ca="1">AVERAGE(OFFSET($CX$3,0,0,'Données projet'!$E$13+1,1))-AVERAGE(OFFSET($H$3,0,0,'Données projet'!$E$13+1,1))</f>
        <v>240.57184010337932</v>
      </c>
      <c r="CZ37" s="59">
        <f t="shared" si="42"/>
        <v>236.36473521227072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23.4</v>
      </c>
      <c r="DO37" s="12">
        <f>IF('Données projet'!$A$166&gt;35,DO36+DN37-DW36,IF(A37&lt;'Données projet'!$A$166,$DL$205^A37,IF(A37='Données projet'!$A$166,'Données projet'!$B$166,DO36+DN37-DW36)))</f>
        <v>309.59999999999991</v>
      </c>
      <c r="DP37" s="17">
        <f>DO37*VLOOKUP('Données projet'!$B$14,Paramètres!$A$1:$I$89,3,0)*VLOOKUP('Données projet'!$B$14,Paramètres!$A$1:$I$89,5,0)</f>
        <v>144.89279999999997</v>
      </c>
      <c r="DQ37" s="13">
        <f t="shared" si="43"/>
        <v>37.41562652135768</v>
      </c>
      <c r="DR37" s="20">
        <f t="shared" si="16"/>
        <v>317.5205095246979</v>
      </c>
      <c r="DS37" s="59">
        <f t="shared" si="17"/>
        <v>610.85384285803116</v>
      </c>
      <c r="DT37" s="59">
        <f ca="1">AVERAGE(OFFSET($DS$3,0,0,'Données projet'!$E$14+1,1))-AVERAGE(OFFSET($H$3,0,0,'Données projet'!$E$14+1,1))</f>
        <v>304.29617570272939</v>
      </c>
      <c r="DU37" s="59">
        <f t="shared" si="44"/>
        <v>246.20695736161576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17.04695318826035</v>
      </c>
      <c r="EC37" s="21">
        <f>EXP(-LN(2)/2)*EC36+(1-EXP(-LN(2)/2))/(LN(2)/2)*DW37*DZ37*VLOOKUP('Données projet'!$B$14,Paramètres!$A$1:$I$89,3,0)*0.475*44/12</f>
        <v>0.98354832291185956</v>
      </c>
      <c r="ED37" s="22">
        <f t="shared" si="18"/>
        <v>18.030501511172208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16.399999999999999</v>
      </c>
      <c r="EJ37" s="12">
        <f>IF('Données projet'!$A$192&gt;35,EJ36+EI37-ER36,IF(A37&lt;'Données projet'!$A$192,$EG$205^A37,IF(A37='Données projet'!$A$192,'Données projet'!$B$192,EJ36+EI37-ER36)))</f>
        <v>238.6</v>
      </c>
      <c r="EK37" s="17">
        <f>EJ37*VLOOKUP('Données projet'!$B$15,Paramètres!$A$1:$I$89,3,0)*VLOOKUP('Données projet'!$B$15,Paramètres!$A$1:$I$89,5,0)</f>
        <v>142.68280000000001</v>
      </c>
      <c r="EL37" s="13">
        <f t="shared" si="45"/>
        <v>36.910916699993791</v>
      </c>
      <c r="EM37" s="20">
        <f t="shared" si="19"/>
        <v>312.79238991915594</v>
      </c>
      <c r="EN37" s="59">
        <f t="shared" si="20"/>
        <v>606.12572325248925</v>
      </c>
      <c r="EO37" s="59">
        <f ca="1">AVERAGE(OFFSET($EN$3,0,0,'Données projet'!$E$15+1,1))-AVERAGE(OFFSET($H$3,0,0,'Données projet'!$E$15+1,1))</f>
        <v>288.41846134875794</v>
      </c>
      <c r="EP37" s="59">
        <f t="shared" si="46"/>
        <v>248.93951719818972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25.002454140068537</v>
      </c>
      <c r="EX37" s="21">
        <f>EXP(-LN(2)/2)*EX36+(1-EXP(-LN(2)/2))/(LN(2)/2)*ER37*EU37*VLOOKUP('Données projet'!$B$15,Paramètres!$A$1:$I$89,3,0)*0.475*44/12</f>
        <v>0.12166189859514864</v>
      </c>
      <c r="EY37" s="22">
        <f t="shared" si="21"/>
        <v>25.124116038663686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31.4</v>
      </c>
      <c r="FE37" s="12">
        <f>IF('Données projet'!$A$218&gt;35,FE36+FD37-FM36,IF(A37&lt;'Données projet'!$A$218,$FB$205^A37,IF(A37='Données projet'!$A$218,'Données projet'!$B$218,FE36+FD37-FM36)))</f>
        <v>383.59999999999985</v>
      </c>
      <c r="FF37" s="17">
        <f>FE37*VLOOKUP('Données projet'!$B$16,Paramètres!$A$1:$I$89,3,0)*VLOOKUP('Données projet'!$B$16,Paramètres!$A$1:$I$89,5,0)</f>
        <v>174.53799999999993</v>
      </c>
      <c r="FG37" s="13">
        <f t="shared" si="47"/>
        <v>44.10482107734753</v>
      </c>
      <c r="FH37" s="20">
        <f t="shared" si="22"/>
        <v>380.8029133763801</v>
      </c>
      <c r="FI37" s="59">
        <f t="shared" si="23"/>
        <v>674.13624670971342</v>
      </c>
      <c r="FJ37" s="59">
        <f ca="1">AVERAGE(OFFSET($FI$3,0,0,'Données projet'!$E$16+1,1))-AVERAGE(OFFSET($H$3,0,0,'Données projet'!$E$16+1,1))</f>
        <v>367.36535411813264</v>
      </c>
      <c r="FK37" s="59">
        <f t="shared" si="48"/>
        <v>293.19545174980556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38.751790837062742</v>
      </c>
      <c r="FS37" s="21">
        <f>EXP(-LN(2)/2)*FS36+(1-EXP(-LN(2)/2))/(LN(2)/2)*FM37*FP37*VLOOKUP('Données projet'!$B$16,Paramètres!$A$1:$I$89,3,0)*0.475*44/12</f>
        <v>0.18111293978011242</v>
      </c>
      <c r="FT37" s="22">
        <f t="shared" si="24"/>
        <v>38.932903776842856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22.8</v>
      </c>
      <c r="FZ37" s="12">
        <f>IF('Données projet'!$A$244&gt;35,FZ36+FY37-GH36,IF(A37&lt;'Données projet'!$A$244,$FW$205^A37,IF(A37='Données projet'!$A$244,'Données projet'!$B$244,FZ36+FY37-GH36)))</f>
        <v>313.20000000000005</v>
      </c>
      <c r="GA37" s="17">
        <f>FZ37*VLOOKUP('Données projet'!$B$17,Paramètres!$A$1:$I$89,3,0)*VLOOKUP('Données projet'!$B$17,Paramètres!$A$1:$I$89,5,0)</f>
        <v>150.64920000000004</v>
      </c>
      <c r="GB37" s="13">
        <f t="shared" si="49"/>
        <v>38.726081548099948</v>
      </c>
      <c r="GC37" s="20">
        <f t="shared" si="25"/>
        <v>329.82861536294081</v>
      </c>
      <c r="GD37" s="59">
        <f t="shared" si="26"/>
        <v>623.16194869627407</v>
      </c>
      <c r="GE37" s="59">
        <f ca="1">AVERAGE(OFFSET($GD$3,0,0,'Données projet'!$E$17+1,1))-AVERAGE(OFFSET($H$3,0,0,'Données projet'!$E$17+1,1))</f>
        <v>312.64506496298173</v>
      </c>
      <c r="GF37" s="59">
        <f t="shared" si="50"/>
        <v>259.97532509897508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17.520479665712024</v>
      </c>
      <c r="GN37" s="21">
        <f>EXP(-LN(2)/2)*GN36+(1-EXP(-LN(2)/2))/(LN(2)/2)*GH37*GK37*VLOOKUP('Données projet'!$B$17,Paramètres!$A$1:$I$89,3,0)*0.475*44/12</f>
        <v>0.96273248538991485</v>
      </c>
      <c r="GO37" s="21">
        <f t="shared" si="27"/>
        <v>18.483212151101938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</v>
      </c>
      <c r="GU37" s="12">
        <f>IF('Données projet'!$A$270&gt;35,GU36+GT37-HC36,IF(A37&lt;'Données projet'!$A$270,$GR$205^A37,IF(A37='Données projet'!$A$270,'Données projet'!$B$270,GU36+GT37-HC36)))</f>
        <v>108</v>
      </c>
      <c r="GV37" s="17">
        <f>GU37*VLOOKUP('Données projet'!$B$18,Paramètres!$A$1:$I$89,3,0)*VLOOKUP('Données projet'!$B$18,Paramètres!$A$1:$I$89,5,0)</f>
        <v>109.51200000000001</v>
      </c>
      <c r="GW37" s="13">
        <f t="shared" si="51"/>
        <v>29.215978230632555</v>
      </c>
      <c r="GX37" s="20">
        <f t="shared" si="28"/>
        <v>241.61789541835174</v>
      </c>
      <c r="GY37" s="59">
        <f t="shared" si="29"/>
        <v>534.95122875168499</v>
      </c>
      <c r="GZ37" s="59">
        <f ca="1">AVERAGE(OFFSET($GY$3,0,0,'Données projet'!$E$18+1,1))-AVERAGE(OFFSET($H$3,0,0,'Données projet'!$E$18+1,1))</f>
        <v>308.80022073574963</v>
      </c>
      <c r="HA37" s="59">
        <f t="shared" si="52"/>
        <v>183.96267407004115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344.49457749226184</v>
      </c>
      <c r="T38" s="59">
        <f t="shared" si="34"/>
        <v>207.92972431357452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5</v>
      </c>
      <c r="AH38" s="12">
        <f t="array" ref="AH38">INDEX(AG:AG,MIN(IF(ISNUMBER(AG38:AG234),ROW(AG38:AG234),"")))</f>
        <v>5</v>
      </c>
      <c r="AI38" s="13">
        <f>IF('Données projet'!$A$62&gt;35,AI37+AH38-AQ37,IF(A38&lt;'Données projet'!$A$62,$AF$205^A38,IF(A38='Données projet'!$A$62,'Données projet'!$B$62,AI37+AH38-AQ37)))</f>
        <v>78.999999999999986</v>
      </c>
      <c r="AJ38" s="13">
        <f>AI38*VLOOKUP('Données projet'!$B$10,Paramètres!$A$1:$I$89,3,0)*VLOOKUP('Données projet'!$B$10,Paramètres!$A$1:$I$89,5,0)</f>
        <v>71.479199999999977</v>
      </c>
      <c r="AK38" s="13">
        <f t="shared" si="35"/>
        <v>20.040346808618612</v>
      </c>
      <c r="AL38" s="20">
        <f t="shared" si="4"/>
        <v>159.39654402501068</v>
      </c>
      <c r="AM38" s="59">
        <f t="shared" si="5"/>
        <v>452.72987735834397</v>
      </c>
      <c r="AN38" s="59">
        <f ca="1">AVERAGE(OFFSET($AM$3,0,0,'Données projet'!$E$10+1,1))-AVERAGE(OFFSET($H$3,0,0,'Données projet'!$E$10+1,1))</f>
        <v>183.0147113277086</v>
      </c>
      <c r="AO38" s="59">
        <f t="shared" si="36"/>
        <v>76.413905647258389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5.5912834606539006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5.5912834606539006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279.49721661620544</v>
      </c>
      <c r="BJ38" s="59">
        <f t="shared" si="38"/>
        <v>275.18739333988754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16.314951939891504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16.314951939891504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225.2323446080772</v>
      </c>
      <c r="CE38" s="59">
        <f t="shared" si="40"/>
        <v>222.29030402759292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13.051961551913202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13.051961551913202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146.39039999999997</v>
      </c>
      <c r="CV38" s="13">
        <f t="shared" si="41"/>
        <v>37.757131804538304</v>
      </c>
      <c r="CW38" s="20">
        <f t="shared" si="13"/>
        <v>320.7236178929042</v>
      </c>
      <c r="CX38" s="59">
        <f t="shared" si="14"/>
        <v>614.05695122623752</v>
      </c>
      <c r="CY38" s="59">
        <f ca="1">AVERAGE(OFFSET($CX$3,0,0,'Données projet'!$E$13+1,1))-AVERAGE(OFFSET($H$3,0,0,'Données projet'!$E$13+1,1))</f>
        <v>240.57184010337932</v>
      </c>
      <c r="CZ38" s="59">
        <f t="shared" si="42"/>
        <v>236.36473521227072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10.745052698259286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10.745052698259286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333</v>
      </c>
      <c r="DM38" s="12">
        <f>VLOOKUP(A38,'Données projet'!$A$165:$I$185,9,0)</f>
        <v>23.4</v>
      </c>
      <c r="DN38" s="12">
        <f t="array" ref="DN38">INDEX(DM:DM,MIN(IF(ISNUMBER(DM38:DM234),ROW(DM38:DM234),"")))</f>
        <v>23.4</v>
      </c>
      <c r="DO38" s="12">
        <f>IF('Données projet'!$A$166&gt;35,DO37+DN38-DW37,IF(A38&lt;'Données projet'!$A$166,$DL$205^A38,IF(A38='Données projet'!$A$166,'Données projet'!$B$166,DO37+DN38-DW37)))</f>
        <v>332.99999999999989</v>
      </c>
      <c r="DP38" s="17">
        <f>DO38*VLOOKUP('Données projet'!$B$14,Paramètres!$A$1:$I$89,3,0)*VLOOKUP('Données projet'!$B$14,Paramètres!$A$1:$I$89,5,0)</f>
        <v>155.84399999999994</v>
      </c>
      <c r="DQ38" s="13">
        <f t="shared" si="43"/>
        <v>39.903687010744221</v>
      </c>
      <c r="DR38" s="20">
        <f t="shared" si="16"/>
        <v>340.92722154371273</v>
      </c>
      <c r="DS38" s="59">
        <f t="shared" si="17"/>
        <v>634.26055487704605</v>
      </c>
      <c r="DT38" s="59">
        <f ca="1">AVERAGE(OFFSET($DS$3,0,0,'Données projet'!$E$14+1,1))-AVERAGE(OFFSET($H$3,0,0,'Données projet'!$E$14+1,1))</f>
        <v>304.29617570272939</v>
      </c>
      <c r="DU38" s="59">
        <f t="shared" si="44"/>
        <v>246.20695736161576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56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0.55000000000000004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35.627144897429574</v>
      </c>
      <c r="EC38" s="21">
        <f>EXP(-LN(2)/2)*EC37+(1-EXP(-LN(2)/2))/(LN(2)/2)*DW38*DZ38*VLOOKUP('Données projet'!$B$14,Paramètres!$A$1:$I$89,3,0)*0.475*44/12</f>
        <v>0.69547368875563209</v>
      </c>
      <c r="ED38" s="22">
        <f t="shared" si="18"/>
        <v>36.322618586185207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255</v>
      </c>
      <c r="EH38" s="12">
        <f>VLOOKUP(A38,'Données projet'!$A$191:$I$211,9,0)</f>
        <v>16.399999999999999</v>
      </c>
      <c r="EI38" s="12">
        <f t="array" ref="EI38">INDEX(EH:EH,MIN(IF(ISNUMBER(EH38:EH234),ROW(EH38:EH234),"")))</f>
        <v>16.399999999999999</v>
      </c>
      <c r="EJ38" s="12">
        <f>IF('Données projet'!$A$192&gt;35,EJ37+EI38-ER37,IF(A38&lt;'Données projet'!$A$192,$EG$205^A38,IF(A38='Données projet'!$A$192,'Données projet'!$B$192,EJ37+EI38-ER37)))</f>
        <v>255</v>
      </c>
      <c r="EK38" s="17">
        <f>EJ38*VLOOKUP('Données projet'!$B$15,Paramètres!$A$1:$I$89,3,0)*VLOOKUP('Données projet'!$B$15,Paramètres!$A$1:$I$89,5,0)</f>
        <v>152.49</v>
      </c>
      <c r="EL38" s="13">
        <f t="shared" si="45"/>
        <v>39.143903713602519</v>
      </c>
      <c r="EM38" s="20">
        <f t="shared" si="19"/>
        <v>333.76238230119105</v>
      </c>
      <c r="EN38" s="59">
        <f t="shared" si="20"/>
        <v>627.09571563452437</v>
      </c>
      <c r="EO38" s="59">
        <f ca="1">AVERAGE(OFFSET($EN$3,0,0,'Données projet'!$E$15+1,1))-AVERAGE(OFFSET($H$3,0,0,'Données projet'!$E$15+1,1))</f>
        <v>288.41846134875794</v>
      </c>
      <c r="EP38" s="59">
        <f t="shared" si="46"/>
        <v>248.93951719818972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42</v>
      </c>
      <c r="ES38" s="16">
        <f>IF(ISNA(VLOOKUP(A38,'Données projet'!$A$191:$I$211,5,0)),0%,VLOOKUP(A38,'Données projet'!$A$191:$I$211,5,0)*VLOOKUP('Données projet'!$B$15,Paramètres!$A$1:$I$89,7,0))</f>
        <v>0.45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14.993096788268772</v>
      </c>
      <c r="EW38" s="21">
        <f>EXP(-LN(2)/25)*EW37+(1-EXP(-LN(2)/25))/(LN(2)/25)*Calculateur!ER38*Calculateur!ET38*VLOOKUP('Données projet'!$B$15,Paramètres!$A$1:$I$89,3,0)*0.475*44/12</f>
        <v>24.318760716786443</v>
      </c>
      <c r="EX38" s="21">
        <f>EXP(-LN(2)/2)*EX37+(1-EXP(-LN(2)/2))/(LN(2)/2)*ER38*EU38*VLOOKUP('Données projet'!$B$15,Paramètres!$A$1:$I$89,3,0)*0.475*44/12</f>
        <v>8.6027953508659716E-2</v>
      </c>
      <c r="EY38" s="22">
        <f t="shared" si="21"/>
        <v>39.397885458563877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415</v>
      </c>
      <c r="FC38" s="12">
        <f>VLOOKUP(A38,'Données projet'!$A$217:$I$237,9,0)</f>
        <v>31.4</v>
      </c>
      <c r="FD38" s="12">
        <f t="array" ref="FD38">INDEX(FC:FC,MIN(IF(ISNUMBER(FC38:FC234),ROW(FC38:FC234),"")))</f>
        <v>31.4</v>
      </c>
      <c r="FE38" s="12">
        <f>IF('Données projet'!$A$218&gt;35,FE37+FD38-FM37,IF(A38&lt;'Données projet'!$A$218,$FB$205^A38,IF(A38='Données projet'!$A$218,'Données projet'!$B$218,FE37+FD38-FM37)))</f>
        <v>414.99999999999983</v>
      </c>
      <c r="FF38" s="17">
        <f>FE38*VLOOKUP('Données projet'!$B$16,Paramètres!$A$1:$I$89,3,0)*VLOOKUP('Données projet'!$B$16,Paramètres!$A$1:$I$89,5,0)</f>
        <v>188.82499999999993</v>
      </c>
      <c r="FG38" s="13">
        <f t="shared" si="47"/>
        <v>47.2800833194636</v>
      </c>
      <c r="FH38" s="20">
        <f t="shared" si="22"/>
        <v>411.2163534480656</v>
      </c>
      <c r="FI38" s="59">
        <f t="shared" si="23"/>
        <v>704.54968678139892</v>
      </c>
      <c r="FJ38" s="59">
        <f ca="1">AVERAGE(OFFSET($FI$3,0,0,'Données projet'!$E$16+1,1))-AVERAGE(OFFSET($H$3,0,0,'Données projet'!$E$16+1,1))</f>
        <v>367.36535411813264</v>
      </c>
      <c r="FK38" s="59">
        <f t="shared" si="48"/>
        <v>293.19545174980556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70</v>
      </c>
      <c r="FN38" s="16">
        <f>IF(ISNA(VLOOKUP(A38,'Données projet'!$A$217:$I$237,5,0)),0%,VLOOKUP(A38,'Données projet'!$A$217:$I$237,5,0)*VLOOKUP('Données projet'!$B$16,Paramètres!$A$1:$I$89,7,0))</f>
        <v>0.55000000000000004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23.23809284816215</v>
      </c>
      <c r="FR38" s="21">
        <f>EXP(-LN(2)/25)*FR37+(1-EXP(-LN(2)/25))/(LN(2)/25)*Calculateur!FM38*Calculateur!FO38*VLOOKUP('Données projet'!$B$16,Paramètres!$A$1:$I$89,3,0)*0.475*44/12</f>
        <v>37.69212107875515</v>
      </c>
      <c r="FS38" s="21">
        <f>EXP(-LN(2)/2)*FS37+(1-EXP(-LN(2)/2))/(LN(2)/2)*FM38*FP38*VLOOKUP('Données projet'!$B$16,Paramètres!$A$1:$I$89,3,0)*0.475*44/12</f>
        <v>0.12806618787914831</v>
      </c>
      <c r="FT38" s="22">
        <f t="shared" si="24"/>
        <v>61.058280114796453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336</v>
      </c>
      <c r="FX38" s="12">
        <f>VLOOKUP(A38,'Données projet'!$A$243:$I$263,9,0)</f>
        <v>22.8</v>
      </c>
      <c r="FY38" s="12">
        <f t="array" ref="FY38">INDEX(FX:FX,MIN(IF(ISNUMBER(FX38:FX234),ROW(FX38:FX234),"")))</f>
        <v>22.8</v>
      </c>
      <c r="FZ38" s="12">
        <f>IF('Données projet'!$A$244&gt;35,FZ37+FY38-GH37,IF(A38&lt;'Données projet'!$A$244,$FW$205^A38,IF(A38='Données projet'!$A$244,'Données projet'!$B$244,FZ37+FY38-GH37)))</f>
        <v>336.00000000000006</v>
      </c>
      <c r="GA38" s="17">
        <f>FZ38*VLOOKUP('Données projet'!$B$17,Paramètres!$A$1:$I$89,3,0)*VLOOKUP('Données projet'!$B$17,Paramètres!$A$1:$I$89,5,0)</f>
        <v>161.61600000000004</v>
      </c>
      <c r="GB38" s="13">
        <f t="shared" si="49"/>
        <v>41.20679526204917</v>
      </c>
      <c r="GC38" s="20">
        <f t="shared" si="25"/>
        <v>353.24970174806907</v>
      </c>
      <c r="GD38" s="59">
        <f t="shared" si="26"/>
        <v>646.58303508140239</v>
      </c>
      <c r="GE38" s="59">
        <f ca="1">AVERAGE(OFFSET($GD$3,0,0,'Données projet'!$E$17+1,1))-AVERAGE(OFFSET($H$3,0,0,'Données projet'!$E$17+1,1))</f>
        <v>312.64506496298173</v>
      </c>
      <c r="GF38" s="59">
        <f t="shared" si="50"/>
        <v>259.97532509897508</v>
      </c>
      <c r="GG38" s="15">
        <f>IF(ISNA(VLOOKUP(A38,'Données projet'!$A$243:$I$263,3,0)),0,VLOOKUP(A38,'Données projet'!$A$243:$I$263,3,0))</f>
        <v>3</v>
      </c>
      <c r="GH38" s="15">
        <f>IF(ISNA(VLOOKUP(A38,'Données projet'!$A$243:$I$263,4,0)),0,VLOOKUP(A38,'Données projet'!$A$243:$I$263,4,0))</f>
        <v>56</v>
      </c>
      <c r="GI38" s="16">
        <f>IF(ISNA(VLOOKUP(A38,'Données projet'!$A$243:$I$263,5,0)),0%,VLOOKUP(A38,'Données projet'!$A$243:$I$263,5,0)*VLOOKUP('Données projet'!$B$17,Paramètres!$A$1:$I$89,7,0))</f>
        <v>0.55000000000000004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19.652787094445696</v>
      </c>
      <c r="GM38" s="21">
        <f>EXP(-LN(2)/25)*GM37+(1-EXP(-LN(2)/25))/(LN(2)/25)*Calculateur!GH38*Calculateur!GJ38*VLOOKUP('Données projet'!$B$17,Paramètres!$A$1:$I$89,3,0)*0.475*44/12</f>
        <v>17.041381227891147</v>
      </c>
      <c r="GN38" s="21">
        <f>EXP(-LN(2)/2)*GN37+(1-EXP(-LN(2)/2))/(LN(2)/2)*GH38*GK38*VLOOKUP('Données projet'!$B$17,Paramètres!$A$1:$I$89,3,0)*0.475*44/12</f>
        <v>0.68075466888778757</v>
      </c>
      <c r="GO38" s="21">
        <f t="shared" si="27"/>
        <v>37.374922991224629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116</v>
      </c>
      <c r="GS38" s="12">
        <f>VLOOKUP(A38,'Données projet'!$A$269:$I$289,9,0)</f>
        <v>8</v>
      </c>
      <c r="GT38" s="12">
        <f t="array" ref="GT38">INDEX(GS:GS,MIN(IF(ISNUMBER(GS38:GS234),ROW(GS38:GS234),"")))</f>
        <v>8</v>
      </c>
      <c r="GU38" s="12">
        <f>IF('Données projet'!$A$270&gt;35,GU37+GT38-HC37,IF(A38&lt;'Données projet'!$A$270,$GR$205^A38,IF(A38='Données projet'!$A$270,'Données projet'!$B$270,GU37+GT38-HC37)))</f>
        <v>116</v>
      </c>
      <c r="GV38" s="17">
        <f>GU38*VLOOKUP('Données projet'!$B$18,Paramètres!$A$1:$I$89,3,0)*VLOOKUP('Données projet'!$B$18,Paramètres!$A$1:$I$89,5,0)</f>
        <v>117.62400000000001</v>
      </c>
      <c r="GW38" s="13">
        <f t="shared" si="51"/>
        <v>31.120192961985413</v>
      </c>
      <c r="GX38" s="20">
        <f t="shared" si="28"/>
        <v>259.06280274212457</v>
      </c>
      <c r="GY38" s="59">
        <f t="shared" si="29"/>
        <v>552.39613607545789</v>
      </c>
      <c r="GZ38" s="59">
        <f ca="1">AVERAGE(OFFSET($GY$3,0,0,'Données projet'!$E$18+1,1))-AVERAGE(OFFSET($H$3,0,0,'Données projet'!$E$18+1,1))</f>
        <v>308.80022073574963</v>
      </c>
      <c r="HA38" s="59">
        <f t="shared" si="52"/>
        <v>183.96267407004115</v>
      </c>
      <c r="HB38" s="15">
        <f>IF(ISNA(VLOOKUP(A38,'Données projet'!$A$269:$I$289,3,0)),0,VLOOKUP(A38,'Données projet'!$A$269:$I$289,3,0))</f>
        <v>3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0.43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10.122151092563096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10.122151092563096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344.49457749226184</v>
      </c>
      <c r="T39" s="59">
        <f t="shared" si="34"/>
        <v>207.92972431357452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71.399999999999991</v>
      </c>
      <c r="AJ39" s="13">
        <f>AI39*VLOOKUP('Données projet'!$B$10,Paramètres!$A$1:$I$89,3,0)*VLOOKUP('Données projet'!$B$10,Paramètres!$A$1:$I$89,5,0)</f>
        <v>64.602719999999991</v>
      </c>
      <c r="AK39" s="13">
        <f t="shared" si="35"/>
        <v>18.326928056848999</v>
      </c>
      <c r="AL39" s="20">
        <f t="shared" si="4"/>
        <v>144.43580369901198</v>
      </c>
      <c r="AM39" s="59">
        <f t="shared" si="5"/>
        <v>437.76913703234527</v>
      </c>
      <c r="AN39" s="59">
        <f ca="1">AVERAGE(OFFSET($AM$3,0,0,'Données projet'!$E$10+1,1))-AVERAGE(OFFSET($H$3,0,0,'Données projet'!$E$10+1,1))</f>
        <v>183.0147113277086</v>
      </c>
      <c r="AO39" s="59">
        <f t="shared" si="36"/>
        <v>76.413905647258389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5.4816418023366449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5.4816418023366449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279.49721661620544</v>
      </c>
      <c r="BJ39" s="59">
        <f t="shared" si="38"/>
        <v>275.18739333988754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15.995025683488322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15.995025683488322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225.2323446080772</v>
      </c>
      <c r="CE39" s="59">
        <f t="shared" si="40"/>
        <v>222.29030402759292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12.796020546790656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12.796020546790656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131.96663999999996</v>
      </c>
      <c r="CV39" s="13">
        <f t="shared" si="41"/>
        <v>34.450394223819067</v>
      </c>
      <c r="CW39" s="20">
        <f t="shared" si="13"/>
        <v>289.84300127315146</v>
      </c>
      <c r="CX39" s="59">
        <f t="shared" si="14"/>
        <v>583.17633460648472</v>
      </c>
      <c r="CY39" s="59">
        <f ca="1">AVERAGE(OFFSET($CX$3,0,0,'Données projet'!$E$13+1,1))-AVERAGE(OFFSET($H$3,0,0,'Données projet'!$E$13+1,1))</f>
        <v>240.57184010337932</v>
      </c>
      <c r="CZ39" s="59">
        <f t="shared" si="42"/>
        <v>236.36473521227072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10.534348768681429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10.534348768681429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23.4</v>
      </c>
      <c r="DO39" s="12">
        <f>IF('Données projet'!$A$166&gt;35,DO38+DN39-DW38,IF(A39&lt;'Données projet'!$A$166,$DL$205^A39,IF(A39='Données projet'!$A$166,'Données projet'!$B$166,DO38+DN39-DW38)))</f>
        <v>300.39999999999986</v>
      </c>
      <c r="DP39" s="17">
        <f>DO39*VLOOKUP('Données projet'!$B$14,Paramètres!$A$1:$I$89,3,0)*VLOOKUP('Données projet'!$B$14,Paramètres!$A$1:$I$89,5,0)</f>
        <v>140.58719999999994</v>
      </c>
      <c r="DQ39" s="13">
        <f t="shared" si="43"/>
        <v>36.431491983260337</v>
      </c>
      <c r="DR39" s="20">
        <f t="shared" si="16"/>
        <v>308.3075552041783</v>
      </c>
      <c r="DS39" s="59">
        <f t="shared" si="17"/>
        <v>601.64088853751161</v>
      </c>
      <c r="DT39" s="59">
        <f ca="1">AVERAGE(OFFSET($DS$3,0,0,'Données projet'!$E$14+1,1))-AVERAGE(OFFSET($H$3,0,0,'Données projet'!$E$14+1,1))</f>
        <v>304.29617570272939</v>
      </c>
      <c r="DU39" s="59">
        <f t="shared" si="44"/>
        <v>246.20695736161576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34.652918746659239</v>
      </c>
      <c r="EC39" s="21">
        <f>EXP(-LN(2)/2)*EC38+(1-EXP(-LN(2)/2))/(LN(2)/2)*DW39*DZ39*VLOOKUP('Données projet'!$B$14,Paramètres!$A$1:$I$89,3,0)*0.475*44/12</f>
        <v>0.49177416145592984</v>
      </c>
      <c r="ED39" s="22">
        <f t="shared" si="18"/>
        <v>35.144692908115168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16.2</v>
      </c>
      <c r="EJ39" s="12">
        <f>IF('Données projet'!$A$192&gt;35,EJ38+EI39-ER38,IF(A39&lt;'Données projet'!$A$192,$EG$205^A39,IF(A39='Données projet'!$A$192,'Données projet'!$B$192,EJ38+EI39-ER38)))</f>
        <v>229.2</v>
      </c>
      <c r="EK39" s="17">
        <f>EJ39*VLOOKUP('Données projet'!$B$15,Paramètres!$A$1:$I$89,3,0)*VLOOKUP('Données projet'!$B$15,Paramètres!$A$1:$I$89,5,0)</f>
        <v>137.0616</v>
      </c>
      <c r="EL39" s="13">
        <f t="shared" si="45"/>
        <v>35.623030551198944</v>
      </c>
      <c r="EM39" s="20">
        <f t="shared" si="19"/>
        <v>300.75906487667152</v>
      </c>
      <c r="EN39" s="59">
        <f t="shared" si="20"/>
        <v>594.09239821000483</v>
      </c>
      <c r="EO39" s="59">
        <f ca="1">AVERAGE(OFFSET($EN$3,0,0,'Données projet'!$E$15+1,1))-AVERAGE(OFFSET($H$3,0,0,'Données projet'!$E$15+1,1))</f>
        <v>288.41846134875794</v>
      </c>
      <c r="EP39" s="59">
        <f t="shared" si="46"/>
        <v>248.93951719818972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14.69909130513688</v>
      </c>
      <c r="EW39" s="21">
        <f>EXP(-LN(2)/25)*EW38+(1-EXP(-LN(2)/25))/(LN(2)/25)*Calculateur!ER39*Calculateur!ET39*VLOOKUP('Données projet'!$B$15,Paramètres!$A$1:$I$89,3,0)*0.475*44/12</f>
        <v>23.653762926117874</v>
      </c>
      <c r="EX39" s="21">
        <f>EXP(-LN(2)/2)*EX38+(1-EXP(-LN(2)/2))/(LN(2)/2)*ER39*EU39*VLOOKUP('Données projet'!$B$15,Paramètres!$A$1:$I$89,3,0)*0.475*44/12</f>
        <v>6.0830949297574335E-2</v>
      </c>
      <c r="EY39" s="22">
        <f t="shared" si="21"/>
        <v>38.413685180552328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29.2</v>
      </c>
      <c r="FE39" s="12">
        <f>IF('Données projet'!$A$218&gt;35,FE38+FD39-FM38,IF(A39&lt;'Données projet'!$A$218,$FB$205^A39,IF(A39='Données projet'!$A$218,'Données projet'!$B$218,FE38+FD39-FM38)))</f>
        <v>374.19999999999982</v>
      </c>
      <c r="FF39" s="17">
        <f>FE39*VLOOKUP('Données projet'!$B$16,Paramètres!$A$1:$I$89,3,0)*VLOOKUP('Données projet'!$B$16,Paramètres!$A$1:$I$89,5,0)</f>
        <v>170.26099999999994</v>
      </c>
      <c r="FG39" s="13">
        <f t="shared" si="47"/>
        <v>43.148473682736672</v>
      </c>
      <c r="FH39" s="20">
        <f t="shared" si="22"/>
        <v>371.68816666409953</v>
      </c>
      <c r="FI39" s="59">
        <f t="shared" si="23"/>
        <v>665.02149999743278</v>
      </c>
      <c r="FJ39" s="59">
        <f ca="1">AVERAGE(OFFSET($FI$3,0,0,'Données projet'!$E$16+1,1))-AVERAGE(OFFSET($H$3,0,0,'Données projet'!$E$16+1,1))</f>
        <v>367.36535411813264</v>
      </c>
      <c r="FK39" s="59">
        <f t="shared" si="48"/>
        <v>293.19545174980556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22.782408021246777</v>
      </c>
      <c r="FR39" s="21">
        <f>EXP(-LN(2)/25)*FR38+(1-EXP(-LN(2)/25))/(LN(2)/25)*Calculateur!FM39*Calculateur!FO39*VLOOKUP('Données projet'!$B$16,Paramètres!$A$1:$I$89,3,0)*0.475*44/12</f>
        <v>36.661428045714089</v>
      </c>
      <c r="FS39" s="21">
        <f>EXP(-LN(2)/2)*FS38+(1-EXP(-LN(2)/2))/(LN(2)/2)*FM39*FP39*VLOOKUP('Données projet'!$B$16,Paramètres!$A$1:$I$89,3,0)*0.475*44/12</f>
        <v>9.055646989005621E-2</v>
      </c>
      <c r="FT39" s="22">
        <f t="shared" si="24"/>
        <v>59.534392536850923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22.4</v>
      </c>
      <c r="FZ39" s="12">
        <f>IF('Données projet'!$A$244&gt;35,FZ38+FY39-GH38,IF(A39&lt;'Données projet'!$A$244,$FW$205^A39,IF(A39='Données projet'!$A$244,'Données projet'!$B$244,FZ38+FY39-GH38)))</f>
        <v>302.40000000000003</v>
      </c>
      <c r="GA39" s="17">
        <f>FZ39*VLOOKUP('Données projet'!$B$17,Paramètres!$A$1:$I$89,3,0)*VLOOKUP('Données projet'!$B$17,Paramètres!$A$1:$I$89,5,0)</f>
        <v>145.45440000000002</v>
      </c>
      <c r="GB39" s="13">
        <f t="shared" si="49"/>
        <v>37.543738926424979</v>
      </c>
      <c r="GC39" s="20">
        <f t="shared" si="25"/>
        <v>318.72175863019015</v>
      </c>
      <c r="GD39" s="59">
        <f t="shared" si="26"/>
        <v>612.05509196352341</v>
      </c>
      <c r="GE39" s="59">
        <f ca="1">AVERAGE(OFFSET($GD$3,0,0,'Données projet'!$E$17+1,1))-AVERAGE(OFFSET($H$3,0,0,'Données projet'!$E$17+1,1))</f>
        <v>312.64506496298173</v>
      </c>
      <c r="GF39" s="59">
        <f t="shared" si="50"/>
        <v>259.97532509897508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19.267407926540123</v>
      </c>
      <c r="GM39" s="21">
        <f>EXP(-LN(2)/25)*GM38+(1-EXP(-LN(2)/25))/(LN(2)/25)*Calculateur!GH39*Calculateur!GJ39*VLOOKUP('Données projet'!$B$17,Paramètres!$A$1:$I$89,3,0)*0.475*44/12</f>
        <v>16.575383762047174</v>
      </c>
      <c r="GN39" s="21">
        <f>EXP(-LN(2)/2)*GN38+(1-EXP(-LN(2)/2))/(LN(2)/2)*GH39*GK39*VLOOKUP('Données projet'!$B$17,Paramètres!$A$1:$I$89,3,0)*0.475*44/12</f>
        <v>0.48136624269495742</v>
      </c>
      <c r="GO39" s="21">
        <f t="shared" si="27"/>
        <v>36.324157931282258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8.4</v>
      </c>
      <c r="GU39" s="12">
        <f>IF('Données projet'!$A$270&gt;35,GU38+GT39-HC38,IF(A39&lt;'Données projet'!$A$270,$GR$205^A39,IF(A39='Données projet'!$A$270,'Données projet'!$B$270,GU38+GT39-HC38)))</f>
        <v>103.4</v>
      </c>
      <c r="GV39" s="17">
        <f>GU39*VLOOKUP('Données projet'!$B$18,Paramètres!$A$1:$I$89,3,0)*VLOOKUP('Données projet'!$B$18,Paramètres!$A$1:$I$89,5,0)</f>
        <v>104.84760000000001</v>
      </c>
      <c r="GW39" s="13">
        <f t="shared" si="51"/>
        <v>28.113670466115643</v>
      </c>
      <c r="GX39" s="20">
        <f t="shared" si="28"/>
        <v>231.57421272848475</v>
      </c>
      <c r="GY39" s="59">
        <f t="shared" si="29"/>
        <v>524.90754606181804</v>
      </c>
      <c r="GZ39" s="59">
        <f ca="1">AVERAGE(OFFSET($GY$3,0,0,'Données projet'!$E$18+1,1))-AVERAGE(OFFSET($H$3,0,0,'Données projet'!$E$18+1,1))</f>
        <v>308.80022073574963</v>
      </c>
      <c r="HA39" s="59">
        <f t="shared" si="52"/>
        <v>183.96267407004115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9.9236618835404773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9.9236618835404773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344.49457749226184</v>
      </c>
      <c r="T40" s="59">
        <f t="shared" si="34"/>
        <v>207.92972431357452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</v>
      </c>
      <c r="AJ40" s="13">
        <f>AI40*VLOOKUP('Données projet'!$B$10,Paramètres!$A$1:$I$89,3,0)*VLOOKUP('Données projet'!$B$10,Paramètres!$A$1:$I$89,5,0)</f>
        <v>69.488640000000004</v>
      </c>
      <c r="AK40" s="13">
        <f t="shared" si="35"/>
        <v>19.546414723012209</v>
      </c>
      <c r="AL40" s="20">
        <f t="shared" si="4"/>
        <v>155.06938697591292</v>
      </c>
      <c r="AM40" s="59">
        <f t="shared" si="5"/>
        <v>448.40272030924621</v>
      </c>
      <c r="AN40" s="59">
        <f ca="1">AVERAGE(OFFSET($AM$3,0,0,'Données projet'!$E$10+1,1))-AVERAGE(OFFSET($H$3,0,0,'Données projet'!$E$10+1,1))</f>
        <v>183.0147113277086</v>
      </c>
      <c r="AO40" s="59">
        <f t="shared" si="36"/>
        <v>76.413905647258389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5.3741501500641826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5.3741501500641826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279.49721661620544</v>
      </c>
      <c r="BJ40" s="59">
        <f t="shared" si="38"/>
        <v>275.18739333988754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15.681372985837458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15.681372985837458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225.2323446080772</v>
      </c>
      <c r="CE40" s="59">
        <f t="shared" si="40"/>
        <v>222.29030402759292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12.545098388669965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12.545098388669965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140.14727999999994</v>
      </c>
      <c r="CV40" s="13">
        <f t="shared" si="41"/>
        <v>36.330743209877255</v>
      </c>
      <c r="CW40" s="20">
        <f t="shared" si="13"/>
        <v>307.36589042386942</v>
      </c>
      <c r="CX40" s="59">
        <f t="shared" si="14"/>
        <v>600.69922375720273</v>
      </c>
      <c r="CY40" s="59">
        <f ca="1">AVERAGE(OFFSET($CX$3,0,0,'Données projet'!$E$13+1,1))-AVERAGE(OFFSET($H$3,0,0,'Données projet'!$E$13+1,1))</f>
        <v>240.57184010337932</v>
      </c>
      <c r="CZ40" s="59">
        <f t="shared" si="42"/>
        <v>236.36473521227072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10.327776614645888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10.327776614645888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23.4</v>
      </c>
      <c r="DO40" s="12">
        <f>IF('Données projet'!$A$166&gt;35,DO39+DN40-DW39,IF(A40&lt;'Données projet'!$A$166,$DL$205^A40,IF(A40='Données projet'!$A$166,'Données projet'!$B$166,DO39+DN40-DW39)))</f>
        <v>323.79999999999984</v>
      </c>
      <c r="DP40" s="17">
        <f>DO40*VLOOKUP('Données projet'!$B$14,Paramètres!$A$1:$I$89,3,0)*VLOOKUP('Données projet'!$B$14,Paramètres!$A$1:$I$89,5,0)</f>
        <v>151.53839999999994</v>
      </c>
      <c r="DQ40" s="13">
        <f t="shared" si="43"/>
        <v>38.927984653255514</v>
      </c>
      <c r="DR40" s="20">
        <f t="shared" si="16"/>
        <v>331.7289532710866</v>
      </c>
      <c r="DS40" s="59">
        <f t="shared" si="17"/>
        <v>625.06228660441991</v>
      </c>
      <c r="DT40" s="59">
        <f ca="1">AVERAGE(OFFSET($DS$3,0,0,'Données projet'!$E$14+1,1))-AVERAGE(OFFSET($H$3,0,0,'Données projet'!$E$14+1,1))</f>
        <v>304.29617570272939</v>
      </c>
      <c r="DU40" s="59">
        <f t="shared" si="44"/>
        <v>246.20695736161576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33.705332861214046</v>
      </c>
      <c r="EC40" s="21">
        <f>EXP(-LN(2)/2)*EC39+(1-EXP(-LN(2)/2))/(LN(2)/2)*DW40*DZ40*VLOOKUP('Données projet'!$B$14,Paramètres!$A$1:$I$89,3,0)*0.475*44/12</f>
        <v>0.3477368443778161</v>
      </c>
      <c r="ED40" s="22">
        <f t="shared" si="18"/>
        <v>34.053069705591859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16.2</v>
      </c>
      <c r="EJ40" s="12">
        <f>IF('Données projet'!$A$192&gt;35,EJ39+EI40-ER39,IF(A40&lt;'Données projet'!$A$192,$EG$205^A40,IF(A40='Données projet'!$A$192,'Données projet'!$B$192,EJ39+EI40-ER39)))</f>
        <v>245.39999999999998</v>
      </c>
      <c r="EK40" s="17">
        <f>EJ40*VLOOKUP('Données projet'!$B$15,Paramètres!$A$1:$I$89,3,0)*VLOOKUP('Données projet'!$B$15,Paramètres!$A$1:$I$89,5,0)</f>
        <v>146.7492</v>
      </c>
      <c r="EL40" s="13">
        <f t="shared" si="45"/>
        <v>37.838890253012799</v>
      </c>
      <c r="EM40" s="20">
        <f t="shared" si="19"/>
        <v>321.49092385733064</v>
      </c>
      <c r="EN40" s="59">
        <f t="shared" si="20"/>
        <v>614.82425719066396</v>
      </c>
      <c r="EO40" s="59">
        <f ca="1">AVERAGE(OFFSET($EN$3,0,0,'Données projet'!$E$15+1,1))-AVERAGE(OFFSET($H$3,0,0,'Données projet'!$E$15+1,1))</f>
        <v>288.41846134875794</v>
      </c>
      <c r="EP40" s="59">
        <f t="shared" si="46"/>
        <v>248.93951719818972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14.410851090203566</v>
      </c>
      <c r="EW40" s="21">
        <f>EXP(-LN(2)/25)*EW39+(1-EXP(-LN(2)/25))/(LN(2)/25)*Calculateur!ER40*Calculateur!ET40*VLOOKUP('Données projet'!$B$15,Paramètres!$A$1:$I$89,3,0)*0.475*44/12</f>
        <v>23.006949535005852</v>
      </c>
      <c r="EX40" s="21">
        <f>EXP(-LN(2)/2)*EX39+(1-EXP(-LN(2)/2))/(LN(2)/2)*ER40*EU40*VLOOKUP('Données projet'!$B$15,Paramètres!$A$1:$I$89,3,0)*0.475*44/12</f>
        <v>4.3013976754329865E-2</v>
      </c>
      <c r="EY40" s="22">
        <f t="shared" si="21"/>
        <v>37.460814601963747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29.2</v>
      </c>
      <c r="FE40" s="12">
        <f>IF('Données projet'!$A$218&gt;35,FE39+FD40-FM39,IF(A40&lt;'Données projet'!$A$218,$FB$205^A40,IF(A40='Données projet'!$A$218,'Données projet'!$B$218,FE39+FD40-FM39)))</f>
        <v>403.39999999999981</v>
      </c>
      <c r="FF40" s="17">
        <f>FE40*VLOOKUP('Données projet'!$B$16,Paramètres!$A$1:$I$89,3,0)*VLOOKUP('Données projet'!$B$16,Paramètres!$A$1:$I$89,5,0)</f>
        <v>183.54699999999988</v>
      </c>
      <c r="FG40" s="13">
        <f t="shared" si="47"/>
        <v>46.110429847142363</v>
      </c>
      <c r="FH40" s="20">
        <f t="shared" si="22"/>
        <v>399.98669031710602</v>
      </c>
      <c r="FI40" s="59">
        <f t="shared" si="23"/>
        <v>693.32002365043934</v>
      </c>
      <c r="FJ40" s="59">
        <f ca="1">AVERAGE(OFFSET($FI$3,0,0,'Données projet'!$E$16+1,1))-AVERAGE(OFFSET($H$3,0,0,'Données projet'!$E$16+1,1))</f>
        <v>367.36535411813264</v>
      </c>
      <c r="FK40" s="59">
        <f t="shared" si="48"/>
        <v>293.19545174980556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22.335658895846915</v>
      </c>
      <c r="FR40" s="21">
        <f>EXP(-LN(2)/25)*FR39+(1-EXP(-LN(2)/25))/(LN(2)/25)*Calculateur!FM40*Calculateur!FO40*VLOOKUP('Données projet'!$B$16,Paramètres!$A$1:$I$89,3,0)*0.475*44/12</f>
        <v>35.658919367863326</v>
      </c>
      <c r="FS40" s="21">
        <f>EXP(-LN(2)/2)*FS39+(1-EXP(-LN(2)/2))/(LN(2)/2)*FM40*FP40*VLOOKUP('Données projet'!$B$16,Paramètres!$A$1:$I$89,3,0)*0.475*44/12</f>
        <v>6.4033093939574154E-2</v>
      </c>
      <c r="FT40" s="22">
        <f t="shared" si="24"/>
        <v>58.058611357649809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22.4</v>
      </c>
      <c r="FZ40" s="12">
        <f>IF('Données projet'!$A$244&gt;35,FZ39+FY40-GH39,IF(A40&lt;'Données projet'!$A$244,$FW$205^A40,IF(A40='Données projet'!$A$244,'Données projet'!$B$244,FZ39+FY40-GH39)))</f>
        <v>324.8</v>
      </c>
      <c r="GA40" s="17">
        <f>FZ40*VLOOKUP('Données projet'!$B$17,Paramètres!$A$1:$I$89,3,0)*VLOOKUP('Données projet'!$B$17,Paramètres!$A$1:$I$89,5,0)</f>
        <v>156.22880000000001</v>
      </c>
      <c r="GB40" s="13">
        <f t="shared" si="49"/>
        <v>39.990733518541923</v>
      </c>
      <c r="GC40" s="20">
        <f t="shared" si="25"/>
        <v>341.74902087812717</v>
      </c>
      <c r="GD40" s="59">
        <f t="shared" si="26"/>
        <v>635.08235421146048</v>
      </c>
      <c r="GE40" s="59">
        <f ca="1">AVERAGE(OFFSET($GD$3,0,0,'Données projet'!$E$17+1,1))-AVERAGE(OFFSET($H$3,0,0,'Données projet'!$E$17+1,1))</f>
        <v>312.64506496298173</v>
      </c>
      <c r="GF40" s="59">
        <f t="shared" si="50"/>
        <v>259.97532509897508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18.889585809059096</v>
      </c>
      <c r="GM40" s="21">
        <f>EXP(-LN(2)/25)*GM39+(1-EXP(-LN(2)/25))/(LN(2)/25)*Calculateur!GH40*Calculateur!GJ40*VLOOKUP('Données projet'!$B$17,Paramètres!$A$1:$I$89,3,0)*0.475*44/12</f>
        <v>16.122129021412444</v>
      </c>
      <c r="GN40" s="21">
        <f>EXP(-LN(2)/2)*GN39+(1-EXP(-LN(2)/2))/(LN(2)/2)*GH40*GK40*VLOOKUP('Données projet'!$B$17,Paramètres!$A$1:$I$89,3,0)*0.475*44/12</f>
        <v>0.34037733444389379</v>
      </c>
      <c r="GO40" s="21">
        <f t="shared" si="27"/>
        <v>35.352092164915433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8.4</v>
      </c>
      <c r="GU40" s="12">
        <f>IF('Données projet'!$A$270&gt;35,GU39+GT40-HC39,IF(A40&lt;'Données projet'!$A$270,$GR$205^A40,IF(A40='Données projet'!$A$270,'Données projet'!$B$270,GU39+GT40-HC39)))</f>
        <v>111.80000000000001</v>
      </c>
      <c r="GV40" s="17">
        <f>GU40*VLOOKUP('Données projet'!$B$18,Paramètres!$A$1:$I$89,3,0)*VLOOKUP('Données projet'!$B$18,Paramètres!$A$1:$I$89,5,0)</f>
        <v>113.36520000000003</v>
      </c>
      <c r="GW40" s="13">
        <f t="shared" si="51"/>
        <v>30.122456058687614</v>
      </c>
      <c r="GX40" s="20">
        <f t="shared" si="28"/>
        <v>249.9076676355476</v>
      </c>
      <c r="GY40" s="59">
        <f t="shared" si="29"/>
        <v>543.24100096888094</v>
      </c>
      <c r="GZ40" s="59">
        <f ca="1">AVERAGE(OFFSET($GY$3,0,0,'Données projet'!$E$18+1,1))-AVERAGE(OFFSET($H$3,0,0,'Données projet'!$E$18+1,1))</f>
        <v>308.80022073574963</v>
      </c>
      <c r="HA40" s="59">
        <f t="shared" si="52"/>
        <v>183.96267407004115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9.72906492684033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9.72906492684033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344.49457749226184</v>
      </c>
      <c r="T41" s="59">
        <f t="shared" si="34"/>
        <v>207.92972431357452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</v>
      </c>
      <c r="AJ41" s="13">
        <f>AI41*VLOOKUP('Données projet'!$B$10,Paramètres!$A$1:$I$89,3,0)*VLOOKUP('Données projet'!$B$10,Paramètres!$A$1:$I$89,5,0)</f>
        <v>74.374559999999988</v>
      </c>
      <c r="AK41" s="13">
        <f t="shared" si="35"/>
        <v>20.755952735382312</v>
      </c>
      <c r="AL41" s="20">
        <f t="shared" si="4"/>
        <v>165.68564301412417</v>
      </c>
      <c r="AM41" s="59">
        <f t="shared" si="5"/>
        <v>459.01897634745751</v>
      </c>
      <c r="AN41" s="59">
        <f ca="1">AVERAGE(OFFSET($AM$3,0,0,'Données projet'!$E$10+1,1))-AVERAGE(OFFSET($H$3,0,0,'Données projet'!$E$10+1,1))</f>
        <v>183.0147113277086</v>
      </c>
      <c r="AO41" s="59">
        <f t="shared" si="36"/>
        <v>76.413905647258389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5.2687663435293492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5.2687663435293492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279.49721661620544</v>
      </c>
      <c r="BJ41" s="59">
        <f t="shared" si="38"/>
        <v>275.18739333988754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15.373870826278271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15.373870826278271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225.2323446080772</v>
      </c>
      <c r="CE41" s="59">
        <f t="shared" si="40"/>
        <v>222.29030402759292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12.299096661022617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12.299096661022617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148.32791999999995</v>
      </c>
      <c r="CV41" s="13">
        <f t="shared" si="41"/>
        <v>38.198351889603472</v>
      </c>
      <c r="CW41" s="20">
        <f t="shared" si="13"/>
        <v>324.86659020772595</v>
      </c>
      <c r="CX41" s="59">
        <f t="shared" si="14"/>
        <v>618.19992354105921</v>
      </c>
      <c r="CY41" s="59">
        <f ca="1">AVERAGE(OFFSET($CX$3,0,0,'Données projet'!$E$13+1,1))-AVERAGE(OFFSET($H$3,0,0,'Données projet'!$E$13+1,1))</f>
        <v>240.57184010337932</v>
      </c>
      <c r="CZ41" s="59">
        <f t="shared" si="42"/>
        <v>236.36473521227072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10.125255214554411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10.125255214554411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23.4</v>
      </c>
      <c r="DO41" s="12">
        <f>IF('Données projet'!$A$166&gt;35,DO40+DN41-DW40,IF(A41&lt;'Données projet'!$A$166,$DL$205^A41,IF(A41='Données projet'!$A$166,'Données projet'!$B$166,DO40+DN41-DW40)))</f>
        <v>347.19999999999982</v>
      </c>
      <c r="DP41" s="17">
        <f>DO41*VLOOKUP('Données projet'!$B$14,Paramètres!$A$1:$I$89,3,0)*VLOOKUP('Données projet'!$B$14,Paramètres!$A$1:$I$89,5,0)</f>
        <v>162.48959999999991</v>
      </c>
      <c r="DQ41" s="13">
        <f t="shared" si="43"/>
        <v>41.40354603382066</v>
      </c>
      <c r="DR41" s="20">
        <f t="shared" si="16"/>
        <v>355.11389600890419</v>
      </c>
      <c r="DS41" s="59">
        <f t="shared" si="17"/>
        <v>648.44722934223751</v>
      </c>
      <c r="DT41" s="59">
        <f ca="1">AVERAGE(OFFSET($DS$3,0,0,'Données projet'!$E$14+1,1))-AVERAGE(OFFSET($H$3,0,0,'Données projet'!$E$14+1,1))</f>
        <v>304.29617570272939</v>
      </c>
      <c r="DU41" s="59">
        <f t="shared" si="44"/>
        <v>246.20695736161576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32.783658761637724</v>
      </c>
      <c r="EC41" s="21">
        <f>EXP(-LN(2)/2)*EC40+(1-EXP(-LN(2)/2))/(LN(2)/2)*DW41*DZ41*VLOOKUP('Données projet'!$B$14,Paramètres!$A$1:$I$89,3,0)*0.475*44/12</f>
        <v>0.24588708072796495</v>
      </c>
      <c r="ED41" s="22">
        <f t="shared" si="18"/>
        <v>33.029545842365692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16.2</v>
      </c>
      <c r="EJ41" s="12">
        <f>IF('Données projet'!$A$192&gt;35,EJ40+EI41-ER40,IF(A41&lt;'Données projet'!$A$192,$EG$205^A41,IF(A41='Données projet'!$A$192,'Données projet'!$B$192,EJ40+EI41-ER40)))</f>
        <v>261.59999999999997</v>
      </c>
      <c r="EK41" s="17">
        <f>EJ41*VLOOKUP('Données projet'!$B$15,Paramètres!$A$1:$I$89,3,0)*VLOOKUP('Données projet'!$B$15,Paramètres!$A$1:$I$89,5,0)</f>
        <v>156.43679999999998</v>
      </c>
      <c r="EL41" s="13">
        <f t="shared" si="45"/>
        <v>40.037775291207829</v>
      </c>
      <c r="EM41" s="20">
        <f t="shared" si="19"/>
        <v>342.19321863218693</v>
      </c>
      <c r="EN41" s="59">
        <f t="shared" si="20"/>
        <v>635.52655196552018</v>
      </c>
      <c r="EO41" s="59">
        <f ca="1">AVERAGE(OFFSET($EN$3,0,0,'Données projet'!$E$15+1,1))-AVERAGE(OFFSET($H$3,0,0,'Données projet'!$E$15+1,1))</f>
        <v>288.41846134875794</v>
      </c>
      <c r="EP41" s="59">
        <f t="shared" si="46"/>
        <v>248.93951719818972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14.128263090075924</v>
      </c>
      <c r="EW41" s="21">
        <f>EXP(-LN(2)/25)*EW40+(1-EXP(-LN(2)/25))/(LN(2)/25)*Calculateur!ER41*Calculateur!ET41*VLOOKUP('Données projet'!$B$15,Paramètres!$A$1:$I$89,3,0)*0.475*44/12</f>
        <v>22.377823290088223</v>
      </c>
      <c r="EX41" s="21">
        <f>EXP(-LN(2)/2)*EX40+(1-EXP(-LN(2)/2))/(LN(2)/2)*ER41*EU41*VLOOKUP('Données projet'!$B$15,Paramètres!$A$1:$I$89,3,0)*0.475*44/12</f>
        <v>3.0415474648787171E-2</v>
      </c>
      <c r="EY41" s="22">
        <f t="shared" si="21"/>
        <v>36.536501854812933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29.2</v>
      </c>
      <c r="FE41" s="12">
        <f>IF('Données projet'!$A$218&gt;35,FE40+FD41-FM40,IF(A41&lt;'Données projet'!$A$218,$FB$205^A41,IF(A41='Données projet'!$A$218,'Données projet'!$B$218,FE40+FD41-FM40)))</f>
        <v>432.5999999999998</v>
      </c>
      <c r="FF41" s="17">
        <f>FE41*VLOOKUP('Données projet'!$B$16,Paramètres!$A$1:$I$89,3,0)*VLOOKUP('Données projet'!$B$16,Paramètres!$A$1:$I$89,5,0)</f>
        <v>196.83299999999988</v>
      </c>
      <c r="FG41" s="13">
        <f t="shared" si="47"/>
        <v>49.04751172769754</v>
      </c>
      <c r="FH41" s="20">
        <f t="shared" si="22"/>
        <v>428.24189125907293</v>
      </c>
      <c r="FI41" s="59">
        <f t="shared" si="23"/>
        <v>721.57522459240624</v>
      </c>
      <c r="FJ41" s="59">
        <f ca="1">AVERAGE(OFFSET($FI$3,0,0,'Données projet'!$E$16+1,1))-AVERAGE(OFFSET($H$3,0,0,'Données projet'!$E$16+1,1))</f>
        <v>367.36535411813264</v>
      </c>
      <c r="FK41" s="59">
        <f t="shared" si="48"/>
        <v>293.19545174980556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21.897670248306085</v>
      </c>
      <c r="FR41" s="21">
        <f>EXP(-LN(2)/25)*FR40+(1-EXP(-LN(2)/25))/(LN(2)/25)*Calculateur!FM41*Calculateur!FO41*VLOOKUP('Données projet'!$B$16,Paramètres!$A$1:$I$89,3,0)*0.475*44/12</f>
        <v>34.683824342528034</v>
      </c>
      <c r="FS41" s="21">
        <f>EXP(-LN(2)/2)*FS40+(1-EXP(-LN(2)/2))/(LN(2)/2)*FM41*FP41*VLOOKUP('Données projet'!$B$16,Paramètres!$A$1:$I$89,3,0)*0.475*44/12</f>
        <v>4.5278234945028105E-2</v>
      </c>
      <c r="FT41" s="22">
        <f t="shared" si="24"/>
        <v>56.626772825779149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22.4</v>
      </c>
      <c r="FZ41" s="12">
        <f>IF('Données projet'!$A$244&gt;35,FZ40+FY41-GH40,IF(A41&lt;'Données projet'!$A$244,$FW$205^A41,IF(A41='Données projet'!$A$244,'Données projet'!$B$244,FZ40+FY41-GH40)))</f>
        <v>347.2</v>
      </c>
      <c r="GA41" s="17">
        <f>FZ41*VLOOKUP('Données projet'!$B$17,Paramètres!$A$1:$I$89,3,0)*VLOOKUP('Données projet'!$B$17,Paramètres!$A$1:$I$89,5,0)</f>
        <v>167.00319999999999</v>
      </c>
      <c r="GB41" s="13">
        <f t="shared" si="49"/>
        <v>42.418146906240658</v>
      </c>
      <c r="GC41" s="20">
        <f t="shared" si="25"/>
        <v>364.74217919503576</v>
      </c>
      <c r="GD41" s="59">
        <f t="shared" si="26"/>
        <v>658.07551252836902</v>
      </c>
      <c r="GE41" s="59">
        <f ca="1">AVERAGE(OFFSET($GD$3,0,0,'Données projet'!$E$17+1,1))-AVERAGE(OFFSET($H$3,0,0,'Données projet'!$E$17+1,1))</f>
        <v>312.64506496298173</v>
      </c>
      <c r="GF41" s="59">
        <f t="shared" si="50"/>
        <v>259.97532509897508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18.519172552853135</v>
      </c>
      <c r="GM41" s="21">
        <f>EXP(-LN(2)/25)*GM40+(1-EXP(-LN(2)/25))/(LN(2)/25)*Calculateur!GH41*Calculateur!GJ41*VLOOKUP('Données projet'!$B$17,Paramètres!$A$1:$I$89,3,0)*0.475*44/12</f>
        <v>15.681268555496004</v>
      </c>
      <c r="GN41" s="21">
        <f>EXP(-LN(2)/2)*GN40+(1-EXP(-LN(2)/2))/(LN(2)/2)*GH41*GK41*VLOOKUP('Données projet'!$B$17,Paramètres!$A$1:$I$89,3,0)*0.475*44/12</f>
        <v>0.24068312134747871</v>
      </c>
      <c r="GO41" s="21">
        <f t="shared" si="27"/>
        <v>34.441124229696619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8.4</v>
      </c>
      <c r="GU41" s="12">
        <f>IF('Données projet'!$A$270&gt;35,GU40+GT41-HC40,IF(A41&lt;'Données projet'!$A$270,$GR$205^A41,IF(A41='Données projet'!$A$270,'Données projet'!$B$270,GU40+GT41-HC40)))</f>
        <v>120.20000000000002</v>
      </c>
      <c r="GV41" s="17">
        <f>GU41*VLOOKUP('Données projet'!$B$18,Paramètres!$A$1:$I$89,3,0)*VLOOKUP('Données projet'!$B$18,Paramètres!$A$1:$I$89,5,0)</f>
        <v>121.88280000000002</v>
      </c>
      <c r="GW41" s="13">
        <f t="shared" si="51"/>
        <v>32.113732800054677</v>
      </c>
      <c r="GX41" s="20">
        <f t="shared" si="28"/>
        <v>268.21062796009522</v>
      </c>
      <c r="GY41" s="59">
        <f t="shared" si="29"/>
        <v>561.54396129342854</v>
      </c>
      <c r="GZ41" s="59">
        <f ca="1">AVERAGE(OFFSET($GY$3,0,0,'Données projet'!$E$18+1,1))-AVERAGE(OFFSET($H$3,0,0,'Données projet'!$E$18+1,1))</f>
        <v>308.80022073574963</v>
      </c>
      <c r="HA41" s="59">
        <f t="shared" si="52"/>
        <v>183.96267407004115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9.5382838977686486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9.5382838977686486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344.49457749226184</v>
      </c>
      <c r="T42" s="59">
        <f t="shared" si="34"/>
        <v>207.92972431357452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87.600000000000009</v>
      </c>
      <c r="AJ42" s="13">
        <f>AI42*VLOOKUP('Données projet'!$B$10,Paramètres!$A$1:$I$89,3,0)*VLOOKUP('Données projet'!$B$10,Paramètres!$A$1:$I$89,5,0)</f>
        <v>79.260480000000001</v>
      </c>
      <c r="AK42" s="13">
        <f t="shared" si="35"/>
        <v>21.956270028417133</v>
      </c>
      <c r="AL42" s="20">
        <f t="shared" si="4"/>
        <v>176.28583963282651</v>
      </c>
      <c r="AM42" s="59">
        <f t="shared" si="5"/>
        <v>469.61917296615979</v>
      </c>
      <c r="AN42" s="59">
        <f ca="1">AVERAGE(OFFSET($AM$3,0,0,'Données projet'!$E$10+1,1))-AVERAGE(OFFSET($H$3,0,0,'Données projet'!$E$10+1,1))</f>
        <v>183.0147113277086</v>
      </c>
      <c r="AO42" s="59">
        <f t="shared" si="36"/>
        <v>76.413905647258389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5.1654490491628886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5.1654490491628886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279.49721661620544</v>
      </c>
      <c r="BJ42" s="59">
        <f t="shared" si="38"/>
        <v>275.18739333988754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15.072398596510244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15.072398596510244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225.2323446080772</v>
      </c>
      <c r="CE42" s="59">
        <f t="shared" si="40"/>
        <v>222.29030402759292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12.057918877208195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12.057918877208195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156.50855999999993</v>
      </c>
      <c r="CV42" s="13">
        <f t="shared" si="41"/>
        <v>40.054003013193991</v>
      </c>
      <c r="CW42" s="20">
        <f t="shared" si="13"/>
        <v>342.34646391464611</v>
      </c>
      <c r="CX42" s="59">
        <f t="shared" si="14"/>
        <v>635.67979724797942</v>
      </c>
      <c r="CY42" s="59">
        <f ca="1">AVERAGE(OFFSET($CX$3,0,0,'Données projet'!$E$13+1,1))-AVERAGE(OFFSET($H$3,0,0,'Données projet'!$E$13+1,1))</f>
        <v>240.57184010337932</v>
      </c>
      <c r="CZ42" s="59">
        <f t="shared" si="42"/>
        <v>236.36473521227072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9.9267051355928704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9.9267051355928704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23.4</v>
      </c>
      <c r="DO42" s="12">
        <f>IF('Données projet'!$A$166&gt;35,DO41+DN42-DW41,IF(A42&lt;'Données projet'!$A$166,$DL$205^A42,IF(A42='Données projet'!$A$166,'Données projet'!$B$166,DO41+DN42-DW41)))</f>
        <v>370.5999999999998</v>
      </c>
      <c r="DP42" s="17">
        <f>DO42*VLOOKUP('Données projet'!$B$14,Paramètres!$A$1:$I$89,3,0)*VLOOKUP('Données projet'!$B$14,Paramètres!$A$1:$I$89,5,0)</f>
        <v>173.44079999999988</v>
      </c>
      <c r="DQ42" s="13">
        <f t="shared" si="43"/>
        <v>43.859747318594444</v>
      </c>
      <c r="DR42" s="20">
        <f t="shared" si="16"/>
        <v>378.46511991321842</v>
      </c>
      <c r="DS42" s="59">
        <f t="shared" si="17"/>
        <v>671.79845324655173</v>
      </c>
      <c r="DT42" s="59">
        <f ca="1">AVERAGE(OFFSET($DS$3,0,0,'Données projet'!$E$14+1,1))-AVERAGE(OFFSET($H$3,0,0,'Données projet'!$E$14+1,1))</f>
        <v>304.29617570272939</v>
      </c>
      <c r="DU42" s="59">
        <f t="shared" si="44"/>
        <v>246.20695736161576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31.887187888783053</v>
      </c>
      <c r="EC42" s="21">
        <f>EXP(-LN(2)/2)*EC41+(1-EXP(-LN(2)/2))/(LN(2)/2)*DW42*DZ42*VLOOKUP('Données projet'!$B$14,Paramètres!$A$1:$I$89,3,0)*0.475*44/12</f>
        <v>0.17386842218890808</v>
      </c>
      <c r="ED42" s="22">
        <f t="shared" si="18"/>
        <v>32.061056310971964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16.2</v>
      </c>
      <c r="EJ42" s="12">
        <f>IF('Données projet'!$A$192&gt;35,EJ41+EI42-ER41,IF(A42&lt;'Données projet'!$A$192,$EG$205^A42,IF(A42='Données projet'!$A$192,'Données projet'!$B$192,EJ41+EI42-ER41)))</f>
        <v>277.79999999999995</v>
      </c>
      <c r="EK42" s="17">
        <f>EJ42*VLOOKUP('Données projet'!$B$15,Paramètres!$A$1:$I$89,3,0)*VLOOKUP('Données projet'!$B$15,Paramètres!$A$1:$I$89,5,0)</f>
        <v>166.12439999999998</v>
      </c>
      <c r="EL42" s="13">
        <f t="shared" si="45"/>
        <v>42.22085652975278</v>
      </c>
      <c r="EM42" s="20">
        <f t="shared" si="19"/>
        <v>362.86798845598605</v>
      </c>
      <c r="EN42" s="59">
        <f t="shared" si="20"/>
        <v>656.20132178931931</v>
      </c>
      <c r="EO42" s="59">
        <f ca="1">AVERAGE(OFFSET($EN$3,0,0,'Données projet'!$E$15+1,1))-AVERAGE(OFFSET($H$3,0,0,'Données projet'!$E$15+1,1))</f>
        <v>288.41846134875794</v>
      </c>
      <c r="EP42" s="59">
        <f t="shared" si="46"/>
        <v>248.93951719818972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13.851216468269124</v>
      </c>
      <c r="EW42" s="21">
        <f>EXP(-LN(2)/25)*EW41+(1-EXP(-LN(2)/25))/(LN(2)/25)*Calculateur!ER42*Calculateur!ET42*VLOOKUP('Données projet'!$B$15,Paramètres!$A$1:$I$89,3,0)*0.475*44/12</f>
        <v>21.76590053542218</v>
      </c>
      <c r="EX42" s="21">
        <f>EXP(-LN(2)/2)*EX41+(1-EXP(-LN(2)/2))/(LN(2)/2)*ER42*EU42*VLOOKUP('Données projet'!$B$15,Paramètres!$A$1:$I$89,3,0)*0.475*44/12</f>
        <v>2.1506988377164936E-2</v>
      </c>
      <c r="EY42" s="22">
        <f t="shared" si="21"/>
        <v>35.638623992068467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29.2</v>
      </c>
      <c r="FE42" s="12">
        <f>IF('Données projet'!$A$218&gt;35,FE41+FD42-FM41,IF(A42&lt;'Données projet'!$A$218,$FB$205^A42,IF(A42='Données projet'!$A$218,'Données projet'!$B$218,FE41+FD42-FM41)))</f>
        <v>461.79999999999978</v>
      </c>
      <c r="FF42" s="17">
        <f>FE42*VLOOKUP('Données projet'!$B$16,Paramètres!$A$1:$I$89,3,0)*VLOOKUP('Données projet'!$B$16,Paramètres!$A$1:$I$89,5,0)</f>
        <v>210.11899999999989</v>
      </c>
      <c r="FG42" s="13">
        <f t="shared" si="47"/>
        <v>51.96158933484989</v>
      </c>
      <c r="FH42" s="20">
        <f t="shared" si="22"/>
        <v>456.45702642486339</v>
      </c>
      <c r="FI42" s="59">
        <f t="shared" si="23"/>
        <v>749.7903597581967</v>
      </c>
      <c r="FJ42" s="59">
        <f ca="1">AVERAGE(OFFSET($FI$3,0,0,'Données projet'!$E$16+1,1))-AVERAGE(OFFSET($H$3,0,0,'Données projet'!$E$16+1,1))</f>
        <v>367.36535411813264</v>
      </c>
      <c r="FK42" s="59">
        <f t="shared" si="48"/>
        <v>293.19545174980556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21.468270290996834</v>
      </c>
      <c r="FR42" s="21">
        <f>EXP(-LN(2)/25)*FR41+(1-EXP(-LN(2)/25))/(LN(2)/25)*Calculateur!FM42*Calculateur!FO42*VLOOKUP('Données projet'!$B$16,Paramètres!$A$1:$I$89,3,0)*0.475*44/12</f>
        <v>33.735393341938554</v>
      </c>
      <c r="FS42" s="21">
        <f>EXP(-LN(2)/2)*FS41+(1-EXP(-LN(2)/2))/(LN(2)/2)*FM42*FP42*VLOOKUP('Données projet'!$B$16,Paramètres!$A$1:$I$89,3,0)*0.475*44/12</f>
        <v>3.2016546969787077E-2</v>
      </c>
      <c r="FT42" s="22">
        <f t="shared" si="24"/>
        <v>55.235680179905174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22.4</v>
      </c>
      <c r="FZ42" s="12">
        <f>IF('Données projet'!$A$244&gt;35,FZ41+FY42-GH41,IF(A42&lt;'Données projet'!$A$244,$FW$205^A42,IF(A42='Données projet'!$A$244,'Données projet'!$B$244,FZ41+FY42-GH41)))</f>
        <v>369.59999999999997</v>
      </c>
      <c r="GA42" s="17">
        <f>FZ42*VLOOKUP('Données projet'!$B$17,Paramètres!$A$1:$I$89,3,0)*VLOOKUP('Données projet'!$B$17,Paramètres!$A$1:$I$89,5,0)</f>
        <v>177.77759999999998</v>
      </c>
      <c r="GB42" s="13">
        <f t="shared" si="49"/>
        <v>44.827386173754917</v>
      </c>
      <c r="GC42" s="20">
        <f t="shared" si="25"/>
        <v>387.70368425262313</v>
      </c>
      <c r="GD42" s="59">
        <f t="shared" si="26"/>
        <v>681.03701758595639</v>
      </c>
      <c r="GE42" s="59">
        <f ca="1">AVERAGE(OFFSET($GD$3,0,0,'Données projet'!$E$17+1,1))-AVERAGE(OFFSET($H$3,0,0,'Données projet'!$E$17+1,1))</f>
        <v>312.64506496298173</v>
      </c>
      <c r="GF42" s="59">
        <f t="shared" si="50"/>
        <v>259.97532509897508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18.156022874671596</v>
      </c>
      <c r="GM42" s="21">
        <f>EXP(-LN(2)/25)*GM41+(1-EXP(-LN(2)/25))/(LN(2)/25)*Calculateur!GH42*Calculateur!GJ42*VLOOKUP('Données projet'!$B$17,Paramètres!$A$1:$I$89,3,0)*0.475*44/12</f>
        <v>15.252463442203892</v>
      </c>
      <c r="GN42" s="21">
        <f>EXP(-LN(2)/2)*GN41+(1-EXP(-LN(2)/2))/(LN(2)/2)*GH42*GK42*VLOOKUP('Données projet'!$B$17,Paramètres!$A$1:$I$89,3,0)*0.475*44/12</f>
        <v>0.17018866722194689</v>
      </c>
      <c r="GO42" s="21">
        <f t="shared" si="27"/>
        <v>33.578674984097439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8.4</v>
      </c>
      <c r="GU42" s="12">
        <f>IF('Données projet'!$A$270&gt;35,GU41+GT42-HC41,IF(A42&lt;'Données projet'!$A$270,$GR$205^A42,IF(A42='Données projet'!$A$270,'Données projet'!$B$270,GU41+GT42-HC41)))</f>
        <v>128.60000000000002</v>
      </c>
      <c r="GV42" s="17">
        <f>GU42*VLOOKUP('Données projet'!$B$18,Paramètres!$A$1:$I$89,3,0)*VLOOKUP('Données projet'!$B$18,Paramètres!$A$1:$I$89,5,0)</f>
        <v>130.40040000000002</v>
      </c>
      <c r="GW42" s="13">
        <f t="shared" si="51"/>
        <v>34.088863450406919</v>
      </c>
      <c r="GX42" s="20">
        <f t="shared" si="28"/>
        <v>286.48546717612544</v>
      </c>
      <c r="GY42" s="59">
        <f t="shared" si="29"/>
        <v>579.8188005094587</v>
      </c>
      <c r="GZ42" s="59">
        <f ca="1">AVERAGE(OFFSET($GY$3,0,0,'Données projet'!$E$18+1,1))-AVERAGE(OFFSET($H$3,0,0,'Données projet'!$E$18+1,1))</f>
        <v>308.80022073574963</v>
      </c>
      <c r="HA42" s="59">
        <f t="shared" si="52"/>
        <v>183.96267407004115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9.3512439683121258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9.3512439683121258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344.49457749226184</v>
      </c>
      <c r="T43" s="59">
        <f t="shared" si="34"/>
        <v>207.92972431357452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93.000000000000014</v>
      </c>
      <c r="AJ43" s="13">
        <f>AI43*VLOOKUP('Données projet'!$B$10,Paramètres!$A$1:$I$89,3,0)*VLOOKUP('Données projet'!$B$10,Paramètres!$A$1:$I$89,5,0)</f>
        <v>84.146400000000014</v>
      </c>
      <c r="AK43" s="13">
        <f t="shared" si="35"/>
        <v>23.14799971956144</v>
      </c>
      <c r="AL43" s="20">
        <f t="shared" si="4"/>
        <v>186.87107951156952</v>
      </c>
      <c r="AM43" s="59">
        <f t="shared" si="5"/>
        <v>480.20441284490283</v>
      </c>
      <c r="AN43" s="59">
        <f ca="1">AVERAGE(OFFSET($AM$3,0,0,'Données projet'!$E$10+1,1))-AVERAGE(OFFSET($H$3,0,0,'Données projet'!$E$10+1,1))</f>
        <v>183.0147113277086</v>
      </c>
      <c r="AO43" s="59">
        <f t="shared" si="36"/>
        <v>76.413905647258389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14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11.085539932318135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11.085539932318135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279.49721661620544</v>
      </c>
      <c r="BJ43" s="59">
        <f t="shared" si="38"/>
        <v>275.18739333988754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31.091789993179567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31.091789993179567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225.2323446080772</v>
      </c>
      <c r="CE43" s="59">
        <f t="shared" si="40"/>
        <v>222.29030402759292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24.873431994543651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24.873431994543651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164.68919999999991</v>
      </c>
      <c r="CV43" s="13">
        <f t="shared" si="41"/>
        <v>41.898392881067146</v>
      </c>
      <c r="CW43" s="20">
        <f t="shared" si="13"/>
        <v>359.80672426785844</v>
      </c>
      <c r="CX43" s="59">
        <f t="shared" si="14"/>
        <v>653.14005760119176</v>
      </c>
      <c r="CY43" s="59">
        <f ca="1">AVERAGE(OFFSET($CX$3,0,0,'Données projet'!$E$13+1,1))-AVERAGE(OFFSET($H$3,0,0,'Données projet'!$E$13+1,1))</f>
        <v>240.57184010337932</v>
      </c>
      <c r="CZ43" s="59">
        <f t="shared" si="42"/>
        <v>236.36473521227072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20.477101200835463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20.477101200835463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394</v>
      </c>
      <c r="DM43" s="12">
        <f>VLOOKUP(A43,'Données projet'!$A$165:$I$185,9,0)</f>
        <v>23.4</v>
      </c>
      <c r="DN43" s="12">
        <f t="array" ref="DN43">INDEX(DM:DM,MIN(IF(ISNUMBER(DM43:DM239),ROW(DM43:DM239),"")))</f>
        <v>23.4</v>
      </c>
      <c r="DO43" s="12">
        <f>IF('Données projet'!$A$166&gt;35,DO42+DN43-DW42,IF(A43&lt;'Données projet'!$A$166,$DL$205^A43,IF(A43='Données projet'!$A$166,'Données projet'!$B$166,DO42+DN43-DW42)))</f>
        <v>393.99999999999977</v>
      </c>
      <c r="DP43" s="17">
        <f>DO43*VLOOKUP('Données projet'!$B$14,Paramètres!$A$1:$I$89,3,0)*VLOOKUP('Données projet'!$B$14,Paramètres!$A$1:$I$89,5,0)</f>
        <v>184.39199999999991</v>
      </c>
      <c r="DQ43" s="13">
        <f t="shared" si="43"/>
        <v>46.297950072493173</v>
      </c>
      <c r="DR43" s="20">
        <f t="shared" si="16"/>
        <v>401.78499637625873</v>
      </c>
      <c r="DS43" s="59">
        <f t="shared" si="17"/>
        <v>695.11832970959199</v>
      </c>
      <c r="DT43" s="59">
        <f ca="1">AVERAGE(OFFSET($DS$3,0,0,'Données projet'!$E$14+1,1))-AVERAGE(OFFSET($H$3,0,0,'Données projet'!$E$14+1,1))</f>
        <v>304.29617570272939</v>
      </c>
      <c r="DU43" s="59">
        <f t="shared" si="44"/>
        <v>246.20695736161576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0.55000000000000004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19.121630686487709</v>
      </c>
      <c r="EB43" s="21">
        <f>EXP(-LN(2)/25)*EB42+(1-EXP(-LN(2)/25))/(LN(2)/25)*Calculateur!DW43*Calculateur!DY43*VLOOKUP('Données projet'!$B$14,Paramètres!$A$1:$I$89,3,0)*0.475*44/12</f>
        <v>31.015231059089949</v>
      </c>
      <c r="EC43" s="21">
        <f>EXP(-LN(2)/2)*EC42+(1-EXP(-LN(2)/2))/(LN(2)/2)*DW43*DZ43*VLOOKUP('Données projet'!$B$14,Paramètres!$A$1:$I$89,3,0)*0.475*44/12</f>
        <v>0.1229435403639825</v>
      </c>
      <c r="ED43" s="22">
        <f t="shared" si="18"/>
        <v>50.259805285941646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294</v>
      </c>
      <c r="EH43" s="12">
        <f>VLOOKUP(A43,'Données projet'!$A$191:$I$211,9,0)</f>
        <v>16.2</v>
      </c>
      <c r="EI43" s="12">
        <f t="array" ref="EI43">INDEX(EH:EH,MIN(IF(ISNUMBER(EH43:EH239),ROW(EH43:EH239),"")))</f>
        <v>16.2</v>
      </c>
      <c r="EJ43" s="12">
        <f>IF('Données projet'!$A$192&gt;35,EJ42+EI43-ER42,IF(A43&lt;'Données projet'!$A$192,$EG$205^A43,IF(A43='Données projet'!$A$192,'Données projet'!$B$192,EJ42+EI43-ER42)))</f>
        <v>293.99999999999994</v>
      </c>
      <c r="EK43" s="17">
        <f>EJ43*VLOOKUP('Données projet'!$B$15,Paramètres!$A$1:$I$89,3,0)*VLOOKUP('Données projet'!$B$15,Paramètres!$A$1:$I$89,5,0)</f>
        <v>175.81199999999998</v>
      </c>
      <c r="EL43" s="13">
        <f t="shared" si="45"/>
        <v>44.389160560041141</v>
      </c>
      <c r="EM43" s="20">
        <f t="shared" si="19"/>
        <v>383.51702130873826</v>
      </c>
      <c r="EN43" s="59">
        <f t="shared" si="20"/>
        <v>676.85035464207158</v>
      </c>
      <c r="EO43" s="59">
        <f ca="1">AVERAGE(OFFSET($EN$3,0,0,'Données projet'!$E$15+1,1))-AVERAGE(OFFSET($H$3,0,0,'Données projet'!$E$15+1,1))</f>
        <v>288.41846134875794</v>
      </c>
      <c r="EP43" s="59">
        <f t="shared" si="46"/>
        <v>248.93951719818972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42</v>
      </c>
      <c r="ES43" s="16">
        <f>IF(ISNA(VLOOKUP(A43,'Données projet'!$A$191:$I$211,5,0)),0%,VLOOKUP(A43,'Données projet'!$A$191:$I$211,5,0)*VLOOKUP('Données projet'!$B$15,Paramètres!$A$1:$I$89,7,0))</f>
        <v>0.45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28.572699350002974</v>
      </c>
      <c r="EW43" s="21">
        <f>EXP(-LN(2)/25)*EW42+(1-EXP(-LN(2)/25))/(LN(2)/25)*Calculateur!ER43*Calculateur!ET43*VLOOKUP('Données projet'!$B$15,Paramètres!$A$1:$I$89,3,0)*0.475*44/12</f>
        <v>21.170710840662096</v>
      </c>
      <c r="EX43" s="21">
        <f>EXP(-LN(2)/2)*EX42+(1-EXP(-LN(2)/2))/(LN(2)/2)*ER43*EU43*VLOOKUP('Données projet'!$B$15,Paramètres!$A$1:$I$89,3,0)*0.475*44/12</f>
        <v>1.5207737324393589E-2</v>
      </c>
      <c r="EY43" s="22">
        <f t="shared" si="21"/>
        <v>49.758617927989469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491</v>
      </c>
      <c r="FC43" s="12">
        <f>VLOOKUP(A43,'Données projet'!$A$217:$I$237,9,0)</f>
        <v>29.2</v>
      </c>
      <c r="FD43" s="12">
        <f t="array" ref="FD43">INDEX(FC:FC,MIN(IF(ISNUMBER(FC43:FC239),ROW(FC43:FC239),"")))</f>
        <v>29.2</v>
      </c>
      <c r="FE43" s="12">
        <f>IF('Données projet'!$A$218&gt;35,FE42+FD43-FM42,IF(A43&lt;'Données projet'!$A$218,$FB$205^A43,IF(A43='Données projet'!$A$218,'Données projet'!$B$218,FE42+FD43-FM42)))</f>
        <v>490.99999999999977</v>
      </c>
      <c r="FF43" s="17">
        <f>FE43*VLOOKUP('Données projet'!$B$16,Paramètres!$A$1:$I$89,3,0)*VLOOKUP('Données projet'!$B$16,Paramètres!$A$1:$I$89,5,0)</f>
        <v>223.40499999999989</v>
      </c>
      <c r="FG43" s="13">
        <f t="shared" si="47"/>
        <v>54.854282826371424</v>
      </c>
      <c r="FH43" s="20">
        <f t="shared" si="22"/>
        <v>484.6349175892633</v>
      </c>
      <c r="FI43" s="59">
        <f t="shared" si="23"/>
        <v>777.96825092259655</v>
      </c>
      <c r="FJ43" s="59">
        <f ca="1">AVERAGE(OFFSET($FI$3,0,0,'Données projet'!$E$16+1,1))-AVERAGE(OFFSET($H$3,0,0,'Données projet'!$E$16+1,1))</f>
        <v>367.36535411813264</v>
      </c>
      <c r="FK43" s="59">
        <f t="shared" si="48"/>
        <v>293.19545174980556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70</v>
      </c>
      <c r="FN43" s="16">
        <f>IF(ISNA(VLOOKUP(A43,'Données projet'!$A$217:$I$237,5,0)),0%,VLOOKUP(A43,'Données projet'!$A$217:$I$237,5,0)*VLOOKUP('Données projet'!$B$16,Paramètres!$A$1:$I$89,7,0))</f>
        <v>0.55000000000000004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44.285383453104458</v>
      </c>
      <c r="FR43" s="21">
        <f>EXP(-LN(2)/25)*FR42+(1-EXP(-LN(2)/25))/(LN(2)/25)*Calculateur!FM43*Calculateur!FO43*VLOOKUP('Données projet'!$B$16,Paramètres!$A$1:$I$89,3,0)*0.475*44/12</f>
        <v>32.81289723693601</v>
      </c>
      <c r="FS43" s="21">
        <f>EXP(-LN(2)/2)*FS42+(1-EXP(-LN(2)/2))/(LN(2)/2)*FM43*FP43*VLOOKUP('Données projet'!$B$16,Paramètres!$A$1:$I$89,3,0)*0.475*44/12</f>
        <v>2.2639117472514052E-2</v>
      </c>
      <c r="FT43" s="22">
        <f t="shared" si="24"/>
        <v>77.120919807512976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392</v>
      </c>
      <c r="FX43" s="12">
        <f>VLOOKUP(A43,'Données projet'!$A$243:$I$263,9,0)</f>
        <v>22.4</v>
      </c>
      <c r="FY43" s="12">
        <f t="array" ref="FY43">INDEX(FX:FX,MIN(IF(ISNUMBER(FX43:FX239),ROW(FX43:FX239),"")))</f>
        <v>22.4</v>
      </c>
      <c r="FZ43" s="12">
        <f>IF('Données projet'!$A$244&gt;35,FZ42+FY43-GH42,IF(A43&lt;'Données projet'!$A$244,$FW$205^A43,IF(A43='Données projet'!$A$244,'Données projet'!$B$244,FZ42+FY43-GH42)))</f>
        <v>391.99999999999994</v>
      </c>
      <c r="GA43" s="17">
        <f>FZ43*VLOOKUP('Données projet'!$B$17,Paramètres!$A$1:$I$89,3,0)*VLOOKUP('Données projet'!$B$17,Paramètres!$A$1:$I$89,5,0)</f>
        <v>188.55199999999996</v>
      </c>
      <c r="GB43" s="13">
        <f t="shared" si="49"/>
        <v>47.219678212771932</v>
      </c>
      <c r="GC43" s="20">
        <f t="shared" si="25"/>
        <v>410.63567288724431</v>
      </c>
      <c r="GD43" s="59">
        <f t="shared" si="26"/>
        <v>703.96900622057763</v>
      </c>
      <c r="GE43" s="59">
        <f ca="1">AVERAGE(OFFSET($GD$3,0,0,'Données projet'!$E$17+1,1))-AVERAGE(OFFSET($H$3,0,0,'Données projet'!$E$17+1,1))</f>
        <v>312.64506496298173</v>
      </c>
      <c r="GF43" s="59">
        <f t="shared" si="50"/>
        <v>259.97532509897508</v>
      </c>
      <c r="GG43" s="15">
        <f>IF(ISNA(VLOOKUP(A43,'Données projet'!$A$243:$I$263,3,0)),0,VLOOKUP(A43,'Données projet'!$A$243:$I$263,3,0))</f>
        <v>4</v>
      </c>
      <c r="GH43" s="15">
        <f>IF(ISNA(VLOOKUP(A43,'Données projet'!$A$243:$I$263,4,0)),0,VLOOKUP(A43,'Données projet'!$A$243:$I$263,4,0))</f>
        <v>56</v>
      </c>
      <c r="GI43" s="16">
        <f>IF(ISNA(VLOOKUP(A43,'Données projet'!$A$243:$I$263,5,0)),0%,VLOOKUP(A43,'Données projet'!$A$243:$I$263,5,0)*VLOOKUP('Données projet'!$B$17,Paramètres!$A$1:$I$89,7,0))</f>
        <v>0.55000000000000004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37.452781434625464</v>
      </c>
      <c r="GM43" s="21">
        <f>EXP(-LN(2)/25)*GM42+(1-EXP(-LN(2)/25))/(LN(2)/25)*Calculateur!GH43*Calculateur!GJ43*VLOOKUP('Données projet'!$B$17,Paramètres!$A$1:$I$89,3,0)*0.475*44/12</f>
        <v>14.835384027284634</v>
      </c>
      <c r="GN43" s="21">
        <f>EXP(-LN(2)/2)*GN42+(1-EXP(-LN(2)/2))/(LN(2)/2)*GH43*GK43*VLOOKUP('Données projet'!$B$17,Paramètres!$A$1:$I$89,3,0)*0.475*44/12</f>
        <v>0.12034156067373936</v>
      </c>
      <c r="GO43" s="21">
        <f t="shared" si="27"/>
        <v>52.408507022583834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137</v>
      </c>
      <c r="GS43" s="12">
        <f>VLOOKUP(A43,'Données projet'!$A$269:$I$289,9,0)</f>
        <v>8.4</v>
      </c>
      <c r="GT43" s="12">
        <f t="array" ref="GT43">INDEX(GS:GS,MIN(IF(ISNUMBER(GS43:GS239),ROW(GS43:GS239),"")))</f>
        <v>8.4</v>
      </c>
      <c r="GU43" s="12">
        <f>IF('Données projet'!$A$270&gt;35,GU42+GT43-HC42,IF(A43&lt;'Données projet'!$A$270,$GR$205^A43,IF(A43='Données projet'!$A$270,'Données projet'!$B$270,GU42+GT43-HC42)))</f>
        <v>137.00000000000003</v>
      </c>
      <c r="GV43" s="17">
        <f>GU43*VLOOKUP('Données projet'!$B$18,Paramètres!$A$1:$I$89,3,0)*VLOOKUP('Données projet'!$B$18,Paramètres!$A$1:$I$89,5,0)</f>
        <v>138.91800000000003</v>
      </c>
      <c r="GW43" s="13">
        <f t="shared" si="51"/>
        <v>36.049022673886341</v>
      </c>
      <c r="GX43" s="20">
        <f t="shared" si="28"/>
        <v>304.73423115701877</v>
      </c>
      <c r="GY43" s="59">
        <f t="shared" si="29"/>
        <v>598.06756449035208</v>
      </c>
      <c r="GZ43" s="59">
        <f ca="1">AVERAGE(OFFSET($GY$3,0,0,'Données projet'!$E$18+1,1))-AVERAGE(OFFSET($H$3,0,0,'Données projet'!$E$18+1,1))</f>
        <v>308.80022073574963</v>
      </c>
      <c r="HA43" s="59">
        <f t="shared" si="52"/>
        <v>183.96267407004115</v>
      </c>
      <c r="HB43" s="15">
        <f>IF(ISNA(VLOOKUP(A43,'Données projet'!$A$269:$I$289,3,0)),0,VLOOKUP(A43,'Données projet'!$A$269:$I$289,3,0))</f>
        <v>4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0.43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19.290022870352246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19.290022870352246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344.49457749226184</v>
      </c>
      <c r="T44" s="59">
        <f t="shared" si="34"/>
        <v>207.92972431357452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84.600000000000009</v>
      </c>
      <c r="AJ44" s="13">
        <f>AI44*VLOOKUP('Données projet'!$B$10,Paramètres!$A$1:$I$89,3,0)*VLOOKUP('Données projet'!$B$10,Paramètres!$A$1:$I$89,5,0)</f>
        <v>76.546080000000003</v>
      </c>
      <c r="AK44" s="13">
        <f t="shared" si="35"/>
        <v>21.290525837973497</v>
      </c>
      <c r="AL44" s="20">
        <f t="shared" si="4"/>
        <v>170.39875516780384</v>
      </c>
      <c r="AM44" s="59">
        <f t="shared" si="5"/>
        <v>463.73208850113713</v>
      </c>
      <c r="AN44" s="59">
        <f ca="1">AVERAGE(OFFSET($AM$3,0,0,'Données projet'!$E$10+1,1))-AVERAGE(OFFSET($H$3,0,0,'Données projet'!$E$10+1,1))</f>
        <v>183.0147113277086</v>
      </c>
      <c r="AO44" s="59">
        <f t="shared" si="36"/>
        <v>76.413905647258389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10.868159255757091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10.868159255757091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161.34768000000003</v>
      </c>
      <c r="BF44" s="13">
        <f t="shared" si="37"/>
        <v>41.146339844316657</v>
      </c>
      <c r="BG44" s="20">
        <f t="shared" si="7"/>
        <v>352.6770845621848</v>
      </c>
      <c r="BH44" s="59">
        <f t="shared" si="8"/>
        <v>646.01041789551812</v>
      </c>
      <c r="BI44" s="59">
        <f ca="1">AVERAGE(OFFSET($BH$3,0,0,'Données projet'!$E$11+1,1))-AVERAGE(OFFSET($H$3,0,0,'Données projet'!$E$11+1,1))</f>
        <v>279.49721661620544</v>
      </c>
      <c r="BJ44" s="59">
        <f t="shared" si="38"/>
        <v>275.18739333988754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30.48209895553266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30.48209895553266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225.2323446080772</v>
      </c>
      <c r="CE44" s="59">
        <f t="shared" si="40"/>
        <v>222.29030402759292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24.385679164426126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24.385679164426126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148.97375999999994</v>
      </c>
      <c r="CV44" s="13">
        <f t="shared" si="41"/>
        <v>38.345275798549068</v>
      </c>
      <c r="CW44" s="20">
        <f t="shared" si="13"/>
        <v>326.24732068247283</v>
      </c>
      <c r="CX44" s="59">
        <f t="shared" si="14"/>
        <v>619.5806540158062</v>
      </c>
      <c r="CY44" s="59">
        <f ca="1">AVERAGE(OFFSET($CX$3,0,0,'Données projet'!$E$13+1,1))-AVERAGE(OFFSET($H$3,0,0,'Données projet'!$E$13+1,1))</f>
        <v>240.57184010337932</v>
      </c>
      <c r="CZ44" s="59">
        <f t="shared" si="42"/>
        <v>236.36473521227072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20.075557736085546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20.075557736085546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22.4</v>
      </c>
      <c r="DO44" s="12">
        <f>IF('Données projet'!$A$166&gt;35,DO43+DN44-DW43,IF(A44&lt;'Données projet'!$A$166,$DL$205^A44,IF(A44='Données projet'!$A$166,'Données projet'!$B$166,DO43+DN44-DW43)))</f>
        <v>360.39999999999975</v>
      </c>
      <c r="DP44" s="17">
        <f>DO44*VLOOKUP('Données projet'!$B$14,Paramètres!$A$1:$I$89,3,0)*VLOOKUP('Données projet'!$B$14,Paramètres!$A$1:$I$89,5,0)</f>
        <v>168.66719999999989</v>
      </c>
      <c r="DQ44" s="13">
        <f t="shared" si="43"/>
        <v>42.791384119459089</v>
      </c>
      <c r="DR44" s="20">
        <f t="shared" si="16"/>
        <v>368.290367341391</v>
      </c>
      <c r="DS44" s="59">
        <f t="shared" si="17"/>
        <v>661.62370067472432</v>
      </c>
      <c r="DT44" s="59">
        <f ca="1">AVERAGE(OFFSET($DS$3,0,0,'Données projet'!$E$14+1,1))-AVERAGE(OFFSET($H$3,0,0,'Données projet'!$E$14+1,1))</f>
        <v>304.29617570272939</v>
      </c>
      <c r="DU44" s="59">
        <f t="shared" si="44"/>
        <v>246.20695736161576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18.746667171768774</v>
      </c>
      <c r="EB44" s="21">
        <f>EXP(-LN(2)/25)*EB43+(1-EXP(-LN(2)/25))/(LN(2)/25)*Calculateur!DW44*Calculateur!DY44*VLOOKUP('Données projet'!$B$14,Paramètres!$A$1:$I$89,3,0)*0.475*44/12</f>
        <v>30.16711793475902</v>
      </c>
      <c r="EC44" s="21">
        <f>EXP(-LN(2)/2)*EC43+(1-EXP(-LN(2)/2))/(LN(2)/2)*DW44*DZ44*VLOOKUP('Données projet'!$B$14,Paramètres!$A$1:$I$89,3,0)*0.475*44/12</f>
        <v>8.6934211094454053E-2</v>
      </c>
      <c r="ED44" s="22">
        <f t="shared" si="18"/>
        <v>49.000719317622249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15.4</v>
      </c>
      <c r="EJ44" s="12">
        <f>IF('Données projet'!$A$192&gt;35,EJ43+EI44-ER43,IF(A44&lt;'Données projet'!$A$192,$EG$205^A44,IF(A44='Données projet'!$A$192,'Données projet'!$B$192,EJ43+EI44-ER43)))</f>
        <v>267.39999999999992</v>
      </c>
      <c r="EK44" s="17">
        <f>EJ44*VLOOKUP('Données projet'!$B$15,Paramètres!$A$1:$I$89,3,0)*VLOOKUP('Données projet'!$B$15,Paramètres!$A$1:$I$89,5,0)</f>
        <v>159.90519999999995</v>
      </c>
      <c r="EL44" s="13">
        <f t="shared" si="45"/>
        <v>40.821132264574622</v>
      </c>
      <c r="EM44" s="20">
        <f t="shared" si="19"/>
        <v>349.59836202746737</v>
      </c>
      <c r="EN44" s="59">
        <f t="shared" si="20"/>
        <v>642.93169536080063</v>
      </c>
      <c r="EO44" s="59">
        <f ca="1">AVERAGE(OFFSET($EN$3,0,0,'Données projet'!$E$15+1,1))-AVERAGE(OFFSET($H$3,0,0,'Données projet'!$E$15+1,1))</f>
        <v>288.41846134875794</v>
      </c>
      <c r="EP44" s="59">
        <f t="shared" si="46"/>
        <v>248.93951719818972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28.012406143375184</v>
      </c>
      <c r="EW44" s="21">
        <f>EXP(-LN(2)/25)*EW43+(1-EXP(-LN(2)/25))/(LN(2)/25)*Calculateur!ER44*Calculateur!ET44*VLOOKUP('Données projet'!$B$15,Paramètres!$A$1:$I$89,3,0)*0.475*44/12</f>
        <v>20.591796639404894</v>
      </c>
      <c r="EX44" s="21">
        <f>EXP(-LN(2)/2)*EX43+(1-EXP(-LN(2)/2))/(LN(2)/2)*ER44*EU44*VLOOKUP('Données projet'!$B$15,Paramètres!$A$1:$I$89,3,0)*0.475*44/12</f>
        <v>1.075349418858247E-2</v>
      </c>
      <c r="EY44" s="22">
        <f t="shared" si="21"/>
        <v>48.614956276968663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26.2</v>
      </c>
      <c r="FE44" s="12">
        <f>IF('Données projet'!$A$218&gt;35,FE43+FD44-FM43,IF(A44&lt;'Données projet'!$A$218,$FB$205^A44,IF(A44='Données projet'!$A$218,'Données projet'!$B$218,FE43+FD44-FM43)))</f>
        <v>447.19999999999982</v>
      </c>
      <c r="FF44" s="17">
        <f>FE44*VLOOKUP('Données projet'!$B$16,Paramètres!$A$1:$I$89,3,0)*VLOOKUP('Données projet'!$B$16,Paramètres!$A$1:$I$89,5,0)</f>
        <v>203.47599999999991</v>
      </c>
      <c r="FG44" s="13">
        <f t="shared" si="47"/>
        <v>50.507319552656533</v>
      </c>
      <c r="FH44" s="20">
        <f t="shared" si="22"/>
        <v>442.35428155420988</v>
      </c>
      <c r="FI44" s="59">
        <f t="shared" si="23"/>
        <v>735.68761488754319</v>
      </c>
      <c r="FJ44" s="59">
        <f ca="1">AVERAGE(OFFSET($FI$3,0,0,'Données projet'!$E$16+1,1))-AVERAGE(OFFSET($H$3,0,0,'Données projet'!$E$16+1,1))</f>
        <v>367.36535411813264</v>
      </c>
      <c r="FK44" s="59">
        <f t="shared" si="48"/>
        <v>293.19545174980556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43.416974095005827</v>
      </c>
      <c r="FR44" s="21">
        <f>EXP(-LN(2)/25)*FR43+(1-EXP(-LN(2)/25))/(LN(2)/25)*Calculateur!FM44*Calculateur!FO44*VLOOKUP('Données projet'!$B$16,Paramètres!$A$1:$I$89,3,0)*0.475*44/12</f>
        <v>31.915626836436722</v>
      </c>
      <c r="FS44" s="21">
        <f>EXP(-LN(2)/2)*FS43+(1-EXP(-LN(2)/2))/(LN(2)/2)*FM44*FP44*VLOOKUP('Données projet'!$B$16,Paramètres!$A$1:$I$89,3,0)*0.475*44/12</f>
        <v>1.6008273484893538E-2</v>
      </c>
      <c r="FT44" s="22">
        <f t="shared" si="24"/>
        <v>75.348609204927456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22</v>
      </c>
      <c r="FZ44" s="12">
        <f>IF('Données projet'!$A$244&gt;35,FZ43+FY44-GH43,IF(A44&lt;'Données projet'!$A$244,$FW$205^A44,IF(A44='Données projet'!$A$244,'Données projet'!$B$244,FZ43+FY44-GH43)))</f>
        <v>357.99999999999994</v>
      </c>
      <c r="GA44" s="17">
        <f>FZ44*VLOOKUP('Données projet'!$B$17,Paramètres!$A$1:$I$89,3,0)*VLOOKUP('Données projet'!$B$17,Paramètres!$A$1:$I$89,5,0)</f>
        <v>172.19799999999998</v>
      </c>
      <c r="GB44" s="13">
        <f t="shared" si="49"/>
        <v>43.581933801858384</v>
      </c>
      <c r="GC44" s="20">
        <f t="shared" si="25"/>
        <v>375.81671803823662</v>
      </c>
      <c r="GD44" s="59">
        <f t="shared" si="26"/>
        <v>669.15005137156993</v>
      </c>
      <c r="GE44" s="59">
        <f ca="1">AVERAGE(OFFSET($GD$3,0,0,'Données projet'!$E$17+1,1))-AVERAGE(OFFSET($H$3,0,0,'Données projet'!$E$17+1,1))</f>
        <v>312.64506496298173</v>
      </c>
      <c r="GF44" s="59">
        <f t="shared" si="50"/>
        <v>259.97532509897508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36.718355234633485</v>
      </c>
      <c r="GM44" s="21">
        <f>EXP(-LN(2)/25)*GM43+(1-EXP(-LN(2)/25))/(LN(2)/25)*Calculateur!GH44*Calculateur!GJ44*VLOOKUP('Données projet'!$B$17,Paramètres!$A$1:$I$89,3,0)*0.475*44/12</f>
        <v>14.429709670899596</v>
      </c>
      <c r="GN44" s="21">
        <f>EXP(-LN(2)/2)*GN43+(1-EXP(-LN(2)/2))/(LN(2)/2)*GH44*GK44*VLOOKUP('Données projet'!$B$17,Paramètres!$A$1:$I$89,3,0)*0.475*44/12</f>
        <v>8.5094333610973447E-2</v>
      </c>
      <c r="GO44" s="21">
        <f t="shared" si="27"/>
        <v>51.233159239144058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8.4</v>
      </c>
      <c r="GU44" s="12">
        <f>IF('Données projet'!$A$270&gt;35,GU43+GT44-HC43,IF(A44&lt;'Données projet'!$A$270,$GR$205^A44,IF(A44='Données projet'!$A$270,'Données projet'!$B$270,GU43+GT44-HC43)))</f>
        <v>124.40000000000003</v>
      </c>
      <c r="GV44" s="17">
        <f>GU44*VLOOKUP('Données projet'!$B$18,Paramètres!$A$1:$I$89,3,0)*VLOOKUP('Données projet'!$B$18,Paramètres!$A$1:$I$89,5,0)</f>
        <v>126.14160000000005</v>
      </c>
      <c r="GW44" s="13">
        <f t="shared" si="51"/>
        <v>33.10323903126482</v>
      </c>
      <c r="GX44" s="20">
        <f t="shared" si="28"/>
        <v>277.35142797945298</v>
      </c>
      <c r="GY44" s="59">
        <f t="shared" si="29"/>
        <v>570.68476131278635</v>
      </c>
      <c r="GZ44" s="59">
        <f ca="1">AVERAGE(OFFSET($GY$3,0,0,'Données projet'!$E$18+1,1))-AVERAGE(OFFSET($H$3,0,0,'Données projet'!$E$18+1,1))</f>
        <v>308.80022073574963</v>
      </c>
      <c r="HA44" s="59">
        <f t="shared" si="52"/>
        <v>183.96267407004115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18.911757287616819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18.911757287616819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344.49457749226184</v>
      </c>
      <c r="T45" s="59">
        <f t="shared" si="34"/>
        <v>207.92972431357452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90.2</v>
      </c>
      <c r="AJ45" s="13">
        <f>AI45*VLOOKUP('Données projet'!$B$10,Paramètres!$A$1:$I$89,3,0)*VLOOKUP('Données projet'!$B$10,Paramètres!$A$1:$I$89,5,0)</f>
        <v>81.612960000000001</v>
      </c>
      <c r="AK45" s="13">
        <f t="shared" si="35"/>
        <v>22.531101896247538</v>
      </c>
      <c r="AL45" s="20">
        <f t="shared" si="4"/>
        <v>181.38424113596443</v>
      </c>
      <c r="AM45" s="59">
        <f t="shared" si="5"/>
        <v>474.71757446929774</v>
      </c>
      <c r="AN45" s="59">
        <f ca="1">AVERAGE(OFFSET($AM$3,0,0,'Données projet'!$E$10+1,1))-AVERAGE(OFFSET($H$3,0,0,'Données projet'!$E$10+1,1))</f>
        <v>183.0147113277086</v>
      </c>
      <c r="AO45" s="59">
        <f t="shared" si="36"/>
        <v>76.413905647258389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10.655041281674288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10.655041281674288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169.14456000000004</v>
      </c>
      <c r="BF45" s="13">
        <f t="shared" si="37"/>
        <v>42.898377267189964</v>
      </c>
      <c r="BG45" s="20">
        <f t="shared" si="7"/>
        <v>369.30811574035596</v>
      </c>
      <c r="BH45" s="59">
        <f t="shared" si="8"/>
        <v>662.64144907368927</v>
      </c>
      <c r="BI45" s="59">
        <f ca="1">AVERAGE(OFFSET($BH$3,0,0,'Données projet'!$E$11+1,1))-AVERAGE(OFFSET($H$3,0,0,'Données projet'!$E$11+1,1))</f>
        <v>279.49721661620544</v>
      </c>
      <c r="BJ45" s="59">
        <f t="shared" si="38"/>
        <v>275.18739333988754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29.884363587259195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29.884363587259195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225.2323446080772</v>
      </c>
      <c r="CE45" s="59">
        <f t="shared" si="40"/>
        <v>222.29030402759292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23.907490869807354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23.907490869807354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155.86271999999994</v>
      </c>
      <c r="CV45" s="13">
        <f t="shared" si="41"/>
        <v>39.907922284180763</v>
      </c>
      <c r="CW45" s="20">
        <f t="shared" si="13"/>
        <v>340.96720197828137</v>
      </c>
      <c r="CX45" s="59">
        <f t="shared" si="14"/>
        <v>634.30053531161468</v>
      </c>
      <c r="CY45" s="59">
        <f ca="1">AVERAGE(OFFSET($CX$3,0,0,'Données projet'!$E$13+1,1))-AVERAGE(OFFSET($H$3,0,0,'Données projet'!$E$13+1,1))</f>
        <v>240.57184010337932</v>
      </c>
      <c r="CZ45" s="59">
        <f t="shared" si="42"/>
        <v>236.36473521227072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19.681888293762047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19.681888293762047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22.4</v>
      </c>
      <c r="DO45" s="12">
        <f>IF('Données projet'!$A$166&gt;35,DO44+DN45-DW44,IF(A45&lt;'Données projet'!$A$166,$DL$205^A45,IF(A45='Données projet'!$A$166,'Données projet'!$B$166,DO44+DN45-DW44)))</f>
        <v>382.79999999999973</v>
      </c>
      <c r="DP45" s="17">
        <f>DO45*VLOOKUP('Données projet'!$B$14,Paramètres!$A$1:$I$89,3,0)*VLOOKUP('Données projet'!$B$14,Paramètres!$A$1:$I$89,5,0)</f>
        <v>179.15039999999988</v>
      </c>
      <c r="DQ45" s="13">
        <f t="shared" si="43"/>
        <v>45.133113803437304</v>
      </c>
      <c r="DR45" s="20">
        <f t="shared" si="16"/>
        <v>390.62711987431976</v>
      </c>
      <c r="DS45" s="59">
        <f t="shared" si="17"/>
        <v>683.96045320765302</v>
      </c>
      <c r="DT45" s="59">
        <f ca="1">AVERAGE(OFFSET($DS$3,0,0,'Données projet'!$E$14+1,1))-AVERAGE(OFFSET($H$3,0,0,'Données projet'!$E$14+1,1))</f>
        <v>304.29617570272939</v>
      </c>
      <c r="DU45" s="59">
        <f t="shared" si="44"/>
        <v>246.20695736161576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18.379056462868316</v>
      </c>
      <c r="EB45" s="21">
        <f>EXP(-LN(2)/25)*EB44+(1-EXP(-LN(2)/25))/(LN(2)/25)*Calculateur!DW45*Calculateur!DY45*VLOOKUP('Données projet'!$B$14,Paramètres!$A$1:$I$89,3,0)*0.475*44/12</f>
        <v>29.342196508413249</v>
      </c>
      <c r="EC45" s="21">
        <f>EXP(-LN(2)/2)*EC44+(1-EXP(-LN(2)/2))/(LN(2)/2)*DW45*DZ45*VLOOKUP('Données projet'!$B$14,Paramètres!$A$1:$I$89,3,0)*0.475*44/12</f>
        <v>6.1471770181991257E-2</v>
      </c>
      <c r="ED45" s="22">
        <f t="shared" si="18"/>
        <v>47.782724741463554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15.4</v>
      </c>
      <c r="EJ45" s="12">
        <f>IF('Données projet'!$A$192&gt;35,EJ44+EI45-ER44,IF(A45&lt;'Données projet'!$A$192,$EG$205^A45,IF(A45='Données projet'!$A$192,'Données projet'!$B$192,EJ44+EI45-ER44)))</f>
        <v>282.7999999999999</v>
      </c>
      <c r="EK45" s="17">
        <f>EJ45*VLOOKUP('Données projet'!$B$15,Paramètres!$A$1:$I$89,3,0)*VLOOKUP('Données projet'!$B$15,Paramètres!$A$1:$I$89,5,0)</f>
        <v>169.11439999999996</v>
      </c>
      <c r="EL45" s="13">
        <f t="shared" si="45"/>
        <v>42.891618392708978</v>
      </c>
      <c r="EM45" s="20">
        <f t="shared" si="19"/>
        <v>369.24381536730135</v>
      </c>
      <c r="EN45" s="59">
        <f t="shared" si="20"/>
        <v>662.57714870063467</v>
      </c>
      <c r="EO45" s="59">
        <f ca="1">AVERAGE(OFFSET($EN$3,0,0,'Données projet'!$E$15+1,1))-AVERAGE(OFFSET($H$3,0,0,'Données projet'!$E$15+1,1))</f>
        <v>288.41846134875794</v>
      </c>
      <c r="EP45" s="59">
        <f t="shared" si="46"/>
        <v>248.93951719818972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27.463099944784254</v>
      </c>
      <c r="EW45" s="21">
        <f>EXP(-LN(2)/25)*EW44+(1-EXP(-LN(2)/25))/(LN(2)/25)*Calculateur!ER45*Calculateur!ET45*VLOOKUP('Données projet'!$B$15,Paramètres!$A$1:$I$89,3,0)*0.475*44/12</f>
        <v>20.028712877424844</v>
      </c>
      <c r="EX45" s="21">
        <f>EXP(-LN(2)/2)*EX44+(1-EXP(-LN(2)/2))/(LN(2)/2)*ER45*EU45*VLOOKUP('Données projet'!$B$15,Paramètres!$A$1:$I$89,3,0)*0.475*44/12</f>
        <v>7.6038686621967954E-3</v>
      </c>
      <c r="EY45" s="22">
        <f t="shared" si="21"/>
        <v>47.499416690871293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26.2</v>
      </c>
      <c r="FE45" s="12">
        <f>IF('Données projet'!$A$218&gt;35,FE44+FD45-FM44,IF(A45&lt;'Données projet'!$A$218,$FB$205^A45,IF(A45='Données projet'!$A$218,'Données projet'!$B$218,FE44+FD45-FM44)))</f>
        <v>473.39999999999981</v>
      </c>
      <c r="FF45" s="17">
        <f>FE45*VLOOKUP('Données projet'!$B$16,Paramètres!$A$1:$I$89,3,0)*VLOOKUP('Données projet'!$B$16,Paramètres!$A$1:$I$89,5,0)</f>
        <v>215.39699999999991</v>
      </c>
      <c r="FG45" s="13">
        <f t="shared" si="47"/>
        <v>53.11321858380655</v>
      </c>
      <c r="FH45" s="20">
        <f t="shared" si="22"/>
        <v>467.65529736679628</v>
      </c>
      <c r="FI45" s="59">
        <f t="shared" si="23"/>
        <v>760.98863070012953</v>
      </c>
      <c r="FJ45" s="59">
        <f ca="1">AVERAGE(OFFSET($FI$3,0,0,'Données projet'!$E$16+1,1))-AVERAGE(OFFSET($H$3,0,0,'Données projet'!$E$16+1,1))</f>
        <v>367.36535411813264</v>
      </c>
      <c r="FK45" s="59">
        <f t="shared" si="48"/>
        <v>293.19545174980556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42.565593714742107</v>
      </c>
      <c r="FR45" s="21">
        <f>EXP(-LN(2)/25)*FR44+(1-EXP(-LN(2)/25))/(LN(2)/25)*Calculateur!FM45*Calculateur!FO45*VLOOKUP('Données projet'!$B$16,Paramètres!$A$1:$I$89,3,0)*0.475*44/12</f>
        <v>31.042892342224487</v>
      </c>
      <c r="FS45" s="21">
        <f>EXP(-LN(2)/2)*FS44+(1-EXP(-LN(2)/2))/(LN(2)/2)*FM45*FP45*VLOOKUP('Données projet'!$B$16,Paramètres!$A$1:$I$89,3,0)*0.475*44/12</f>
        <v>1.1319558736257026E-2</v>
      </c>
      <c r="FT45" s="22">
        <f t="shared" si="24"/>
        <v>73.619805615702859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22</v>
      </c>
      <c r="FZ45" s="12">
        <f>IF('Données projet'!$A$244&gt;35,FZ44+FY45-GH44,IF(A45&lt;'Données projet'!$A$244,$FW$205^A45,IF(A45='Données projet'!$A$244,'Données projet'!$B$244,FZ44+FY45-GH44)))</f>
        <v>379.99999999999994</v>
      </c>
      <c r="GA45" s="17">
        <f>FZ45*VLOOKUP('Données projet'!$B$17,Paramètres!$A$1:$I$89,3,0)*VLOOKUP('Données projet'!$B$17,Paramètres!$A$1:$I$89,5,0)</f>
        <v>182.77999999999997</v>
      </c>
      <c r="GB45" s="13">
        <f t="shared" si="49"/>
        <v>45.940132169554303</v>
      </c>
      <c r="GC45" s="20">
        <f t="shared" si="25"/>
        <v>398.35423019530703</v>
      </c>
      <c r="GD45" s="59">
        <f t="shared" si="26"/>
        <v>691.68756352864034</v>
      </c>
      <c r="GE45" s="59">
        <f ca="1">AVERAGE(OFFSET($GD$3,0,0,'Données projet'!$E$17+1,1))-AVERAGE(OFFSET($H$3,0,0,'Données projet'!$E$17+1,1))</f>
        <v>312.64506496298173</v>
      </c>
      <c r="GF45" s="59">
        <f t="shared" si="50"/>
        <v>259.97532509897508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35.998330684467597</v>
      </c>
      <c r="GM45" s="21">
        <f>EXP(-LN(2)/25)*GM44+(1-EXP(-LN(2)/25))/(LN(2)/25)*Calculateur!GH45*Calculateur!GJ45*VLOOKUP('Données projet'!$B$17,Paramètres!$A$1:$I$89,3,0)*0.475*44/12</f>
        <v>14.035128501123395</v>
      </c>
      <c r="GN45" s="21">
        <f>EXP(-LN(2)/2)*GN44+(1-EXP(-LN(2)/2))/(LN(2)/2)*GH45*GK45*VLOOKUP('Données projet'!$B$17,Paramètres!$A$1:$I$89,3,0)*0.475*44/12</f>
        <v>6.0170780336869678E-2</v>
      </c>
      <c r="GO45" s="21">
        <f t="shared" si="27"/>
        <v>50.09362996592786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8.4</v>
      </c>
      <c r="GU45" s="12">
        <f>IF('Données projet'!$A$270&gt;35,GU44+GT45-HC44,IF(A45&lt;'Données projet'!$A$270,$GR$205^A45,IF(A45='Données projet'!$A$270,'Données projet'!$B$270,GU44+GT45-HC44)))</f>
        <v>132.80000000000004</v>
      </c>
      <c r="GV45" s="17">
        <f>GU45*VLOOKUP('Données projet'!$B$18,Paramètres!$A$1:$I$89,3,0)*VLOOKUP('Données projet'!$B$18,Paramètres!$A$1:$I$89,5,0)</f>
        <v>134.65920000000006</v>
      </c>
      <c r="GW45" s="13">
        <f t="shared" si="51"/>
        <v>35.07074737441733</v>
      </c>
      <c r="GX45" s="20">
        <f t="shared" si="28"/>
        <v>295.61299167711024</v>
      </c>
      <c r="GY45" s="59">
        <f t="shared" si="29"/>
        <v>588.94632501044362</v>
      </c>
      <c r="GZ45" s="59">
        <f ca="1">AVERAGE(OFFSET($GY$3,0,0,'Données projet'!$E$18+1,1))-AVERAGE(OFFSET($H$3,0,0,'Données projet'!$E$18+1,1))</f>
        <v>308.80022073574963</v>
      </c>
      <c r="HA45" s="59">
        <f t="shared" si="52"/>
        <v>183.96267407004115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18.540909262239609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18.540909262239609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344.49457749226184</v>
      </c>
      <c r="T46" s="59">
        <f t="shared" si="34"/>
        <v>207.92972431357452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95.8</v>
      </c>
      <c r="AJ46" s="13">
        <f>AI46*VLOOKUP('Données projet'!$B$10,Paramètres!$A$1:$I$89,3,0)*VLOOKUP('Données projet'!$B$10,Paramètres!$A$1:$I$89,5,0)</f>
        <v>86.679839999999999</v>
      </c>
      <c r="AK46" s="13">
        <f t="shared" si="35"/>
        <v>23.762739053789723</v>
      </c>
      <c r="AL46" s="20">
        <f t="shared" si="4"/>
        <v>192.35415851868379</v>
      </c>
      <c r="AM46" s="59">
        <f t="shared" si="5"/>
        <v>485.6874918520171</v>
      </c>
      <c r="AN46" s="59">
        <f ca="1">AVERAGE(OFFSET($AM$3,0,0,'Données projet'!$E$10+1,1))-AVERAGE(OFFSET($H$3,0,0,'Données projet'!$E$10+1,1))</f>
        <v>183.0147113277086</v>
      </c>
      <c r="AO46" s="59">
        <f t="shared" si="36"/>
        <v>76.413905647258389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10.446102421074121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10.446102421074121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176.94144000000003</v>
      </c>
      <c r="BF46" s="13">
        <f t="shared" si="37"/>
        <v>44.641035679901449</v>
      </c>
      <c r="BG46" s="20">
        <f t="shared" si="7"/>
        <v>385.92281180916171</v>
      </c>
      <c r="BH46" s="59">
        <f t="shared" si="8"/>
        <v>679.25614514249503</v>
      </c>
      <c r="BI46" s="59">
        <f ca="1">AVERAGE(OFFSET($BH$3,0,0,'Données projet'!$E$11+1,1))-AVERAGE(OFFSET($H$3,0,0,'Données projet'!$E$11+1,1))</f>
        <v>279.49721661620544</v>
      </c>
      <c r="BJ46" s="59">
        <f t="shared" si="38"/>
        <v>275.18739333988754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29.298349444974999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29.298349444974999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225.2323446080772</v>
      </c>
      <c r="CE46" s="59">
        <f t="shared" si="40"/>
        <v>222.29030402759292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23.438679555979999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23.438679555979999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162.75167999999994</v>
      </c>
      <c r="CV46" s="13">
        <f t="shared" si="41"/>
        <v>41.462547229212973</v>
      </c>
      <c r="CW46" s="20">
        <f t="shared" si="13"/>
        <v>355.67311242421243</v>
      </c>
      <c r="CX46" s="59">
        <f t="shared" si="14"/>
        <v>649.00644575754575</v>
      </c>
      <c r="CY46" s="59">
        <f ca="1">AVERAGE(OFFSET($CX$3,0,0,'Données projet'!$E$13+1,1))-AVERAGE(OFFSET($H$3,0,0,'Données projet'!$E$13+1,1))</f>
        <v>240.57184010337932</v>
      </c>
      <c r="CZ46" s="59">
        <f t="shared" si="42"/>
        <v>236.36473521227072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19.295938469087861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19.295938469087861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22.4</v>
      </c>
      <c r="DO46" s="12">
        <f>IF('Données projet'!$A$166&gt;35,DO45+DN46-DW45,IF(A46&lt;'Données projet'!$A$166,$DL$205^A46,IF(A46='Données projet'!$A$166,'Données projet'!$B$166,DO45+DN46-DW45)))</f>
        <v>405.1999999999997</v>
      </c>
      <c r="DP46" s="17">
        <f>DO46*VLOOKUP('Données projet'!$B$14,Paramètres!$A$1:$I$89,3,0)*VLOOKUP('Données projet'!$B$14,Paramètres!$A$1:$I$89,5,0)</f>
        <v>189.63359999999989</v>
      </c>
      <c r="DQ46" s="13">
        <f t="shared" si="43"/>
        <v>47.458937915304823</v>
      </c>
      <c r="DR46" s="20">
        <f t="shared" si="16"/>
        <v>412.936170202489</v>
      </c>
      <c r="DS46" s="59">
        <f t="shared" si="17"/>
        <v>706.26950353582231</v>
      </c>
      <c r="DT46" s="59">
        <f ca="1">AVERAGE(OFFSET($DS$3,0,0,'Données projet'!$E$14+1,1))-AVERAGE(OFFSET($H$3,0,0,'Données projet'!$E$14+1,1))</f>
        <v>304.29617570272939</v>
      </c>
      <c r="DU46" s="59">
        <f t="shared" si="44"/>
        <v>246.20695736161576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18.018654375749005</v>
      </c>
      <c r="EB46" s="21">
        <f>EXP(-LN(2)/25)*EB45+(1-EXP(-LN(2)/25))/(LN(2)/25)*Calculateur!DW46*Calculateur!DY46*VLOOKUP('Données projet'!$B$14,Paramètres!$A$1:$I$89,3,0)*0.475*44/12</f>
        <v>28.539832601851636</v>
      </c>
      <c r="EC46" s="21">
        <f>EXP(-LN(2)/2)*EC45+(1-EXP(-LN(2)/2))/(LN(2)/2)*DW46*DZ46*VLOOKUP('Données projet'!$B$14,Paramètres!$A$1:$I$89,3,0)*0.475*44/12</f>
        <v>4.3467105547227033E-2</v>
      </c>
      <c r="ED46" s="22">
        <f t="shared" si="18"/>
        <v>46.601954083147866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15.4</v>
      </c>
      <c r="EJ46" s="12">
        <f>IF('Données projet'!$A$192&gt;35,EJ45+EI46-ER45,IF(A46&lt;'Données projet'!$A$192,$EG$205^A46,IF(A46='Données projet'!$A$192,'Données projet'!$B$192,EJ45+EI46-ER45)))</f>
        <v>298.19999999999987</v>
      </c>
      <c r="EK46" s="17">
        <f>EJ46*VLOOKUP('Données projet'!$B$15,Paramètres!$A$1:$I$89,3,0)*VLOOKUP('Données projet'!$B$15,Paramètres!$A$1:$I$89,5,0)</f>
        <v>178.32359999999994</v>
      </c>
      <c r="EL46" s="13">
        <f t="shared" si="45"/>
        <v>44.949015186129948</v>
      </c>
      <c r="EM46" s="20">
        <f t="shared" si="19"/>
        <v>388.86647144917623</v>
      </c>
      <c r="EN46" s="59">
        <f t="shared" si="20"/>
        <v>682.19980478250955</v>
      </c>
      <c r="EO46" s="59">
        <f ca="1">AVERAGE(OFFSET($EN$3,0,0,'Données projet'!$E$15+1,1))-AVERAGE(OFFSET($H$3,0,0,'Données projet'!$E$15+1,1))</f>
        <v>288.41846134875794</v>
      </c>
      <c r="EP46" s="59">
        <f t="shared" si="46"/>
        <v>248.93951719818972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26.924565305703993</v>
      </c>
      <c r="EW46" s="21">
        <f>EXP(-LN(2)/25)*EW45+(1-EXP(-LN(2)/25))/(LN(2)/25)*Calculateur!ER46*Calculateur!ET46*VLOOKUP('Données projet'!$B$15,Paramètres!$A$1:$I$89,3,0)*0.475*44/12</f>
        <v>19.481026670527427</v>
      </c>
      <c r="EX46" s="21">
        <f>EXP(-LN(2)/2)*EX45+(1-EXP(-LN(2)/2))/(LN(2)/2)*ER46*EU46*VLOOKUP('Données projet'!$B$15,Paramètres!$A$1:$I$89,3,0)*0.475*44/12</f>
        <v>5.3767470942912357E-3</v>
      </c>
      <c r="EY46" s="22">
        <f t="shared" si="21"/>
        <v>46.410968723325709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26.2</v>
      </c>
      <c r="FE46" s="12">
        <f>IF('Données projet'!$A$218&gt;35,FE45+FD46-FM45,IF(A46&lt;'Données projet'!$A$218,$FB$205^A46,IF(A46='Données projet'!$A$218,'Données projet'!$B$218,FE45+FD46-FM45)))</f>
        <v>499.5999999999998</v>
      </c>
      <c r="FF46" s="17">
        <f>FE46*VLOOKUP('Données projet'!$B$16,Paramètres!$A$1:$I$89,3,0)*VLOOKUP('Données projet'!$B$16,Paramètres!$A$1:$I$89,5,0)</f>
        <v>227.31799999999993</v>
      </c>
      <c r="FG46" s="13">
        <f t="shared" si="47"/>
        <v>55.702375143541907</v>
      </c>
      <c r="FH46" s="20">
        <f t="shared" si="22"/>
        <v>492.92715337500204</v>
      </c>
      <c r="FI46" s="59">
        <f t="shared" si="23"/>
        <v>786.26048670833529</v>
      </c>
      <c r="FJ46" s="59">
        <f ca="1">AVERAGE(OFFSET($FI$3,0,0,'Données projet'!$E$16+1,1))-AVERAGE(OFFSET($H$3,0,0,'Données projet'!$E$16+1,1))</f>
        <v>367.36535411813264</v>
      </c>
      <c r="FK46" s="59">
        <f t="shared" si="48"/>
        <v>293.19545174980556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41.730908384444604</v>
      </c>
      <c r="FR46" s="21">
        <f>EXP(-LN(2)/25)*FR45+(1-EXP(-LN(2)/25))/(LN(2)/25)*Calculateur!FM46*Calculateur!FO46*VLOOKUP('Données projet'!$B$16,Paramètres!$A$1:$I$89,3,0)*0.475*44/12</f>
        <v>30.1940228186516</v>
      </c>
      <c r="FS46" s="21">
        <f>EXP(-LN(2)/2)*FS45+(1-EXP(-LN(2)/2))/(LN(2)/2)*FM46*FP46*VLOOKUP('Données projet'!$B$16,Paramètres!$A$1:$I$89,3,0)*0.475*44/12</f>
        <v>8.0041367424467692E-3</v>
      </c>
      <c r="FT46" s="22">
        <f t="shared" si="24"/>
        <v>71.93293533983865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22</v>
      </c>
      <c r="FZ46" s="12">
        <f>IF('Données projet'!$A$244&gt;35,FZ45+FY46-GH45,IF(A46&lt;'Données projet'!$A$244,$FW$205^A46,IF(A46='Données projet'!$A$244,'Données projet'!$B$244,FZ45+FY46-GH45)))</f>
        <v>401.99999999999994</v>
      </c>
      <c r="GA46" s="17">
        <f>FZ46*VLOOKUP('Données projet'!$B$17,Paramètres!$A$1:$I$89,3,0)*VLOOKUP('Données projet'!$B$17,Paramètres!$A$1:$I$89,5,0)</f>
        <v>193.36199999999999</v>
      </c>
      <c r="GB46" s="13">
        <f t="shared" si="49"/>
        <v>48.282482845036888</v>
      </c>
      <c r="GC46" s="20">
        <f t="shared" si="25"/>
        <v>420.86414095510594</v>
      </c>
      <c r="GD46" s="59">
        <f t="shared" si="26"/>
        <v>714.19747428843925</v>
      </c>
      <c r="GE46" s="59">
        <f ca="1">AVERAGE(OFFSET($GD$3,0,0,'Données projet'!$E$17+1,1))-AVERAGE(OFFSET($H$3,0,0,'Données projet'!$E$17+1,1))</f>
        <v>312.64506496298173</v>
      </c>
      <c r="GF46" s="59">
        <f t="shared" si="50"/>
        <v>259.97532509897508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35.292425376558846</v>
      </c>
      <c r="GM46" s="21">
        <f>EXP(-LN(2)/25)*GM45+(1-EXP(-LN(2)/25))/(LN(2)/25)*Calculateur!GH46*Calculateur!GJ46*VLOOKUP('Données projet'!$B$17,Paramètres!$A$1:$I$89,3,0)*0.475*44/12</f>
        <v>13.651337174184846</v>
      </c>
      <c r="GN46" s="21">
        <f>EXP(-LN(2)/2)*GN45+(1-EXP(-LN(2)/2))/(LN(2)/2)*GH46*GK46*VLOOKUP('Données projet'!$B$17,Paramètres!$A$1:$I$89,3,0)*0.475*44/12</f>
        <v>4.2547166805486723E-2</v>
      </c>
      <c r="GO46" s="21">
        <f t="shared" si="27"/>
        <v>48.986309717549176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8.4</v>
      </c>
      <c r="GU46" s="12">
        <f>IF('Données projet'!$A$270&gt;35,GU45+GT46-HC45,IF(A46&lt;'Données projet'!$A$270,$GR$205^A46,IF(A46='Données projet'!$A$270,'Données projet'!$B$270,GU45+GT46-HC45)))</f>
        <v>141.20000000000005</v>
      </c>
      <c r="GV46" s="17">
        <f>GU46*VLOOKUP('Données projet'!$B$18,Paramètres!$A$1:$I$89,3,0)*VLOOKUP('Données projet'!$B$18,Paramètres!$A$1:$I$89,5,0)</f>
        <v>143.17680000000004</v>
      </c>
      <c r="GW46" s="13">
        <f t="shared" si="51"/>
        <v>37.023812674521515</v>
      </c>
      <c r="GX46" s="20">
        <f t="shared" si="28"/>
        <v>313.84940040812506</v>
      </c>
      <c r="GY46" s="59">
        <f t="shared" si="29"/>
        <v>607.18273374145838</v>
      </c>
      <c r="GZ46" s="59">
        <f ca="1">AVERAGE(OFFSET($GY$3,0,0,'Données projet'!$E$18+1,1))-AVERAGE(OFFSET($H$3,0,0,'Données projet'!$E$18+1,1))</f>
        <v>308.80022073574963</v>
      </c>
      <c r="HA46" s="59">
        <f t="shared" si="52"/>
        <v>183.96267407004115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18.177333340445085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18.177333340445085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344.49457749226184</v>
      </c>
      <c r="T47" s="59">
        <f t="shared" si="34"/>
        <v>207.92972431357452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101.39999999999999</v>
      </c>
      <c r="AJ47" s="13">
        <f>AI47*VLOOKUP('Données projet'!$B$10,Paramètres!$A$1:$I$89,3,0)*VLOOKUP('Données projet'!$B$10,Paramètres!$A$1:$I$89,5,0)</f>
        <v>91.746719999999982</v>
      </c>
      <c r="AK47" s="13">
        <f t="shared" si="35"/>
        <v>24.986019358738364</v>
      </c>
      <c r="AL47" s="20">
        <f t="shared" si="4"/>
        <v>203.30952104980258</v>
      </c>
      <c r="AM47" s="59">
        <f t="shared" si="5"/>
        <v>496.6428543831359</v>
      </c>
      <c r="AN47" s="59">
        <f ca="1">AVERAGE(OFFSET($AM$3,0,0,'Données projet'!$E$10+1,1))-AVERAGE(OFFSET($H$3,0,0,'Données projet'!$E$10+1,1))</f>
        <v>183.0147113277086</v>
      </c>
      <c r="AO47" s="59">
        <f t="shared" si="36"/>
        <v>76.413905647258389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10.241260724090202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10.241260724090202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184.73832000000004</v>
      </c>
      <c r="BF47" s="13">
        <f t="shared" si="37"/>
        <v>46.374775595471988</v>
      </c>
      <c r="BG47" s="20">
        <f t="shared" si="7"/>
        <v>402.52197482878046</v>
      </c>
      <c r="BH47" s="59">
        <f t="shared" si="8"/>
        <v>695.85530816211372</v>
      </c>
      <c r="BI47" s="59">
        <f ca="1">AVERAGE(OFFSET($BH$3,0,0,'Données projet'!$E$11+1,1))-AVERAGE(OFFSET($H$3,0,0,'Données projet'!$E$11+1,1))</f>
        <v>279.49721661620544</v>
      </c>
      <c r="BJ47" s="59">
        <f t="shared" si="38"/>
        <v>275.18739333988754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28.723826682587664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28.723826682587664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225.2323446080772</v>
      </c>
      <c r="CE47" s="59">
        <f t="shared" si="40"/>
        <v>222.29030402759292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22.979061346070129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22.979061346070129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169.64063999999996</v>
      </c>
      <c r="CV47" s="13">
        <f t="shared" si="41"/>
        <v>43.009528989990947</v>
      </c>
      <c r="CW47" s="20">
        <f t="shared" si="13"/>
        <v>370.36571099090082</v>
      </c>
      <c r="CX47" s="59">
        <f t="shared" si="14"/>
        <v>663.69904432423414</v>
      </c>
      <c r="CY47" s="59">
        <f ca="1">AVERAGE(OFFSET($CX$3,0,0,'Données projet'!$E$13+1,1))-AVERAGE(OFFSET($H$3,0,0,'Données projet'!$E$13+1,1))</f>
        <v>240.57184010337932</v>
      </c>
      <c r="CZ47" s="59">
        <f t="shared" si="42"/>
        <v>236.36473521227072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18.917556885069388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18.917556885069388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22.4</v>
      </c>
      <c r="DO47" s="12">
        <f>IF('Données projet'!$A$166&gt;35,DO46+DN47-DW46,IF(A47&lt;'Données projet'!$A$166,$DL$205^A47,IF(A47='Données projet'!$A$166,'Données projet'!$B$166,DO46+DN47-DW46)))</f>
        <v>427.59999999999968</v>
      </c>
      <c r="DP47" s="17">
        <f>DO47*VLOOKUP('Données projet'!$B$14,Paramètres!$A$1:$I$89,3,0)*VLOOKUP('Données projet'!$B$14,Paramètres!$A$1:$I$89,5,0)</f>
        <v>200.11679999999987</v>
      </c>
      <c r="DQ47" s="13">
        <f t="shared" si="43"/>
        <v>49.769835957926304</v>
      </c>
      <c r="DR47" s="20">
        <f t="shared" si="16"/>
        <v>435.21922429338809</v>
      </c>
      <c r="DS47" s="59">
        <f t="shared" si="17"/>
        <v>728.55255762672141</v>
      </c>
      <c r="DT47" s="59">
        <f ca="1">AVERAGE(OFFSET($DS$3,0,0,'Données projet'!$E$14+1,1))-AVERAGE(OFFSET($H$3,0,0,'Données projet'!$E$14+1,1))</f>
        <v>304.29617570272939</v>
      </c>
      <c r="DU47" s="59">
        <f t="shared" si="44"/>
        <v>246.20695736161576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17.665319553734534</v>
      </c>
      <c r="EB47" s="21">
        <f>EXP(-LN(2)/25)*EB46+(1-EXP(-LN(2)/25))/(LN(2)/25)*Calculateur!DW47*Calculateur!DY47*VLOOKUP('Données projet'!$B$14,Paramètres!$A$1:$I$89,3,0)*0.475*44/12</f>
        <v>27.759409378509435</v>
      </c>
      <c r="EC47" s="21">
        <f>EXP(-LN(2)/2)*EC46+(1-EXP(-LN(2)/2))/(LN(2)/2)*DW47*DZ47*VLOOKUP('Données projet'!$B$14,Paramètres!$A$1:$I$89,3,0)*0.475*44/12</f>
        <v>3.0735885090995636E-2</v>
      </c>
      <c r="ED47" s="22">
        <f t="shared" si="18"/>
        <v>45.455464817334963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15.4</v>
      </c>
      <c r="EJ47" s="12">
        <f>IF('Données projet'!$A$192&gt;35,EJ46+EI47-ER46,IF(A47&lt;'Données projet'!$A$192,$EG$205^A47,IF(A47='Données projet'!$A$192,'Données projet'!$B$192,EJ46+EI47-ER46)))</f>
        <v>313.59999999999985</v>
      </c>
      <c r="EK47" s="17">
        <f>EJ47*VLOOKUP('Données projet'!$B$15,Paramètres!$A$1:$I$89,3,0)*VLOOKUP('Données projet'!$B$15,Paramètres!$A$1:$I$89,5,0)</f>
        <v>187.53279999999992</v>
      </c>
      <c r="EL47" s="13">
        <f t="shared" si="45"/>
        <v>46.994075725880812</v>
      </c>
      <c r="EM47" s="20">
        <f t="shared" si="19"/>
        <v>408.46764188924226</v>
      </c>
      <c r="EN47" s="59">
        <f t="shared" si="20"/>
        <v>701.80097522257552</v>
      </c>
      <c r="EO47" s="59">
        <f ca="1">AVERAGE(OFFSET($EN$3,0,0,'Données projet'!$E$15+1,1))-AVERAGE(OFFSET($H$3,0,0,'Données projet'!$E$15+1,1))</f>
        <v>288.41846134875794</v>
      </c>
      <c r="EP47" s="59">
        <f t="shared" si="46"/>
        <v>248.93951719818972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26.396591002422401</v>
      </c>
      <c r="EW47" s="21">
        <f>EXP(-LN(2)/25)*EW46+(1-EXP(-LN(2)/25))/(LN(2)/25)*Calculateur!ER47*Calculateur!ET47*VLOOKUP('Données projet'!$B$15,Paramètres!$A$1:$I$89,3,0)*0.475*44/12</f>
        <v>18.948316971759187</v>
      </c>
      <c r="EX47" s="21">
        <f>EXP(-LN(2)/2)*EX46+(1-EXP(-LN(2)/2))/(LN(2)/2)*ER47*EU47*VLOOKUP('Données projet'!$B$15,Paramètres!$A$1:$I$89,3,0)*0.475*44/12</f>
        <v>3.8019343310983981E-3</v>
      </c>
      <c r="EY47" s="22">
        <f t="shared" si="21"/>
        <v>45.348709908512689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26.2</v>
      </c>
      <c r="FE47" s="12">
        <f>IF('Données projet'!$A$218&gt;35,FE46+FD47-FM46,IF(A47&lt;'Données projet'!$A$218,$FB$205^A47,IF(A47='Données projet'!$A$218,'Données projet'!$B$218,FE46+FD47-FM46)))</f>
        <v>525.79999999999984</v>
      </c>
      <c r="FF47" s="17">
        <f>FE47*VLOOKUP('Données projet'!$B$16,Paramètres!$A$1:$I$89,3,0)*VLOOKUP('Données projet'!$B$16,Paramètres!$A$1:$I$89,5,0)</f>
        <v>239.23899999999995</v>
      </c>
      <c r="FG47" s="13">
        <f t="shared" si="47"/>
        <v>58.275767373700795</v>
      </c>
      <c r="FH47" s="20">
        <f t="shared" si="22"/>
        <v>518.17155317586207</v>
      </c>
      <c r="FI47" s="59">
        <f t="shared" si="23"/>
        <v>811.50488650919533</v>
      </c>
      <c r="FJ47" s="59">
        <f ca="1">AVERAGE(OFFSET($FI$3,0,0,'Données projet'!$E$16+1,1))-AVERAGE(OFFSET($H$3,0,0,'Données projet'!$E$16+1,1))</f>
        <v>367.36535411813264</v>
      </c>
      <c r="FK47" s="59">
        <f t="shared" si="48"/>
        <v>293.19545174980556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40.912590724366453</v>
      </c>
      <c r="FR47" s="21">
        <f>EXP(-LN(2)/25)*FR46+(1-EXP(-LN(2)/25))/(LN(2)/25)*Calculateur!FM47*Calculateur!FO47*VLOOKUP('Données projet'!$B$16,Paramètres!$A$1:$I$89,3,0)*0.475*44/12</f>
        <v>29.36836567684092</v>
      </c>
      <c r="FS47" s="21">
        <f>EXP(-LN(2)/2)*FS46+(1-EXP(-LN(2)/2))/(LN(2)/2)*FM47*FP47*VLOOKUP('Données projet'!$B$16,Paramètres!$A$1:$I$89,3,0)*0.475*44/12</f>
        <v>5.6597793681285131E-3</v>
      </c>
      <c r="FT47" s="22">
        <f t="shared" si="24"/>
        <v>70.286616180575507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22</v>
      </c>
      <c r="FZ47" s="12">
        <f>IF('Données projet'!$A$244&gt;35,FZ46+FY47-GH46,IF(A47&lt;'Données projet'!$A$244,$FW$205^A47,IF(A47='Données projet'!$A$244,'Données projet'!$B$244,FZ46+FY47-GH46)))</f>
        <v>423.99999999999994</v>
      </c>
      <c r="GA47" s="17">
        <f>FZ47*VLOOKUP('Données projet'!$B$17,Paramètres!$A$1:$I$89,3,0)*VLOOKUP('Données projet'!$B$17,Paramètres!$A$1:$I$89,5,0)</f>
        <v>203.94399999999996</v>
      </c>
      <c r="GB47" s="13">
        <f t="shared" si="49"/>
        <v>50.609951979929065</v>
      </c>
      <c r="GC47" s="20">
        <f t="shared" si="25"/>
        <v>443.34813303170972</v>
      </c>
      <c r="GD47" s="59">
        <f t="shared" si="26"/>
        <v>736.68146636504298</v>
      </c>
      <c r="GE47" s="59">
        <f ca="1">AVERAGE(OFFSET($GD$3,0,0,'Données projet'!$E$17+1,1))-AVERAGE(OFFSET($H$3,0,0,'Données projet'!$E$17+1,1))</f>
        <v>312.64506496298173</v>
      </c>
      <c r="GF47" s="59">
        <f t="shared" si="50"/>
        <v>259.97532509897508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34.600362441178468</v>
      </c>
      <c r="GM47" s="21">
        <f>EXP(-LN(2)/25)*GM46+(1-EXP(-LN(2)/25))/(LN(2)/25)*Calculateur!GH47*Calculateur!GJ47*VLOOKUP('Données projet'!$B$17,Paramètres!$A$1:$I$89,3,0)*0.475*44/12</f>
        <v>13.278040641264139</v>
      </c>
      <c r="GN47" s="21">
        <f>EXP(-LN(2)/2)*GN46+(1-EXP(-LN(2)/2))/(LN(2)/2)*GH47*GK47*VLOOKUP('Données projet'!$B$17,Paramètres!$A$1:$I$89,3,0)*0.475*44/12</f>
        <v>3.0085390168434839E-2</v>
      </c>
      <c r="GO47" s="21">
        <f t="shared" si="27"/>
        <v>47.908488472611047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8.4</v>
      </c>
      <c r="GU47" s="12">
        <f>IF('Données projet'!$A$270&gt;35,GU46+GT47-HC46,IF(A47&lt;'Données projet'!$A$270,$GR$205^A47,IF(A47='Données projet'!$A$270,'Données projet'!$B$270,GU46+GT47-HC46)))</f>
        <v>149.60000000000005</v>
      </c>
      <c r="GV47" s="17">
        <f>GU47*VLOOKUP('Données projet'!$B$18,Paramètres!$A$1:$I$89,3,0)*VLOOKUP('Données projet'!$B$18,Paramètres!$A$1:$I$89,5,0)</f>
        <v>151.69440000000006</v>
      </c>
      <c r="GW47" s="13">
        <f t="shared" si="51"/>
        <v>38.963392010880654</v>
      </c>
      <c r="GX47" s="20">
        <f t="shared" si="28"/>
        <v>332.06232108561721</v>
      </c>
      <c r="GY47" s="59">
        <f t="shared" si="29"/>
        <v>625.39565441895047</v>
      </c>
      <c r="GZ47" s="59">
        <f ca="1">AVERAGE(OFFSET($GY$3,0,0,'Données projet'!$E$18+1,1))-AVERAGE(OFFSET($H$3,0,0,'Données projet'!$E$18+1,1))</f>
        <v>308.80022073574963</v>
      </c>
      <c r="HA47" s="59">
        <f t="shared" si="52"/>
        <v>183.96267407004115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17.820886920717538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17.820886920717538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344.49457749226184</v>
      </c>
      <c r="T48" s="59">
        <f t="shared" si="34"/>
        <v>207.92972431357452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107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106.99999999999999</v>
      </c>
      <c r="AJ48" s="13">
        <f>AI48*VLOOKUP('Données projet'!$B$10,Paramètres!$A$1:$I$89,3,0)*VLOOKUP('Données projet'!$B$10,Paramètres!$A$1:$I$89,5,0)</f>
        <v>96.81359999999998</v>
      </c>
      <c r="AK48" s="13">
        <f t="shared" si="35"/>
        <v>26.201456938925315</v>
      </c>
      <c r="AL48" s="20">
        <f t="shared" si="4"/>
        <v>214.25122416862823</v>
      </c>
      <c r="AM48" s="59">
        <f t="shared" si="5"/>
        <v>507.58455750196151</v>
      </c>
      <c r="AN48" s="59">
        <f ca="1">AVERAGE(OFFSET($AM$3,0,0,'Données projet'!$E$10+1,1))-AVERAGE(OFFSET($H$3,0,0,'Données projet'!$E$10+1,1))</f>
        <v>183.0147113277086</v>
      </c>
      <c r="AO48" s="59">
        <f t="shared" si="36"/>
        <v>76.413905647258389</v>
      </c>
      <c r="AP48" s="15">
        <f>IF(ISNA(VLOOKUP(A48,'Données projet'!$A$61:$I$81,3,0)),0,VLOOKUP(A48,'Données projet'!$A$61:$I$81,3,0))</f>
        <v>3</v>
      </c>
      <c r="AQ48" s="15">
        <f>IF(ISNA(VLOOKUP(A48,'Données projet'!$A$61:$I$81,4,0)),0,VLOOKUP(A48,'Données projet'!$A$61:$I$81,4,0))</f>
        <v>14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16.061818036239547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16.061818036239547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192.53520000000006</v>
      </c>
      <c r="BF48" s="13">
        <f t="shared" si="37"/>
        <v>48.100016456123079</v>
      </c>
      <c r="BG48" s="20">
        <f t="shared" si="7"/>
        <v>419.10633532774779</v>
      </c>
      <c r="BH48" s="59">
        <f t="shared" si="8"/>
        <v>712.4396686610811</v>
      </c>
      <c r="BI48" s="59">
        <f ca="1">AVERAGE(OFFSET($BH$3,0,0,'Données projet'!$E$11+1,1))-AVERAGE(OFFSET($H$3,0,0,'Données projet'!$E$11+1,1))</f>
        <v>279.49721661620544</v>
      </c>
      <c r="BJ48" s="59">
        <f t="shared" si="38"/>
        <v>275.18739333988754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39.34796557707206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39.34796557707206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225.2323446080772</v>
      </c>
      <c r="CE48" s="59">
        <f t="shared" si="40"/>
        <v>222.29030402759292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32.783568616848967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32.783568616848967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176.52959999999996</v>
      </c>
      <c r="CV48" s="13">
        <f t="shared" si="41"/>
        <v>44.549213454343487</v>
      </c>
      <c r="CW48" s="20">
        <f t="shared" si="13"/>
        <v>385.0456000996482</v>
      </c>
      <c r="CX48" s="59">
        <f t="shared" si="14"/>
        <v>678.37893343298151</v>
      </c>
      <c r="CY48" s="59">
        <f ca="1">AVERAGE(OFFSET($CX$3,0,0,'Données projet'!$E$13+1,1))-AVERAGE(OFFSET($H$3,0,0,'Données projet'!$E$13+1,1))</f>
        <v>240.57184010337932</v>
      </c>
      <c r="CZ48" s="59">
        <f t="shared" si="42"/>
        <v>236.36473521227072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27.756640303060067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27.756640303060067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450</v>
      </c>
      <c r="DM48" s="12">
        <f>VLOOKUP(A48,'Données projet'!$A$165:$I$185,9,0)</f>
        <v>22.4</v>
      </c>
      <c r="DN48" s="12">
        <f t="array" ref="DN48">INDEX(DM:DM,MIN(IF(ISNUMBER(DM48:DM244),ROW(DM48:DM244),"")))</f>
        <v>22.4</v>
      </c>
      <c r="DO48" s="12">
        <f>IF('Données projet'!$A$166&gt;35,DO47+DN48-DW47,IF(A48&lt;'Données projet'!$A$166,$DL$205^A48,IF(A48='Données projet'!$A$166,'Données projet'!$B$166,DO47+DN48-DW47)))</f>
        <v>449.99999999999966</v>
      </c>
      <c r="DP48" s="17">
        <f>DO48*VLOOKUP('Données projet'!$B$14,Paramètres!$A$1:$I$89,3,0)*VLOOKUP('Données projet'!$B$14,Paramètres!$A$1:$I$89,5,0)</f>
        <v>210.59999999999982</v>
      </c>
      <c r="DQ48" s="13">
        <f t="shared" si="43"/>
        <v>52.066679014659918</v>
      </c>
      <c r="DR48" s="20">
        <f t="shared" si="16"/>
        <v>457.47779928386564</v>
      </c>
      <c r="DS48" s="59">
        <f t="shared" si="17"/>
        <v>750.81113261719895</v>
      </c>
      <c r="DT48" s="59">
        <f ca="1">AVERAGE(OFFSET($DS$3,0,0,'Données projet'!$E$14+1,1))-AVERAGE(OFFSET($H$3,0,0,'Données projet'!$E$14+1,1))</f>
        <v>304.29617570272939</v>
      </c>
      <c r="DU48" s="59">
        <f t="shared" si="44"/>
        <v>246.20695736161576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56</v>
      </c>
      <c r="DX48" s="16">
        <f>IF(ISNA(VLOOKUP(A48,'Données projet'!$A$165:$I$185,5,0)),0%,VLOOKUP(A48,'Données projet'!$A$165:$I$185,5,0)*VLOOKUP('Données projet'!$B$14,Paramètres!$A$1:$I$89,7,0))</f>
        <v>0.55000000000000004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36.440544098554511</v>
      </c>
      <c r="EB48" s="21">
        <f>EXP(-LN(2)/25)*EB47+(1-EXP(-LN(2)/25))/(LN(2)/25)*Calculateur!DW48*Calculateur!DY48*VLOOKUP('Données projet'!$B$14,Paramètres!$A$1:$I$89,3,0)*0.475*44/12</f>
        <v>27.000326869250202</v>
      </c>
      <c r="EC48" s="21">
        <f>EXP(-LN(2)/2)*EC47+(1-EXP(-LN(2)/2))/(LN(2)/2)*DW48*DZ48*VLOOKUP('Données projet'!$B$14,Paramètres!$A$1:$I$89,3,0)*0.475*44/12</f>
        <v>2.173355277361352E-2</v>
      </c>
      <c r="ED48" s="22">
        <f t="shared" si="18"/>
        <v>63.462604520578324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329</v>
      </c>
      <c r="EH48" s="12">
        <f>VLOOKUP(A48,'Données projet'!$A$191:$I$211,9,0)</f>
        <v>15.4</v>
      </c>
      <c r="EI48" s="12">
        <f t="array" ref="EI48">INDEX(EH:EH,MIN(IF(ISNUMBER(EH48:EH244),ROW(EH48:EH244),"")))</f>
        <v>15.4</v>
      </c>
      <c r="EJ48" s="12">
        <f>IF('Données projet'!$A$192&gt;35,EJ47+EI48-ER47,IF(A48&lt;'Données projet'!$A$192,$EG$205^A48,IF(A48='Données projet'!$A$192,'Données projet'!$B$192,EJ47+EI48-ER47)))</f>
        <v>328.99999999999983</v>
      </c>
      <c r="EK48" s="17">
        <f>EJ48*VLOOKUP('Données projet'!$B$15,Paramètres!$A$1:$I$89,3,0)*VLOOKUP('Données projet'!$B$15,Paramètres!$A$1:$I$89,5,0)</f>
        <v>196.7419999999999</v>
      </c>
      <c r="EL48" s="13">
        <f t="shared" si="45"/>
        <v>49.027474951150033</v>
      </c>
      <c r="EM48" s="20">
        <f t="shared" si="19"/>
        <v>428.04850220658614</v>
      </c>
      <c r="EN48" s="59">
        <f t="shared" si="20"/>
        <v>721.38183553991939</v>
      </c>
      <c r="EO48" s="59">
        <f ca="1">AVERAGE(OFFSET($EN$3,0,0,'Données projet'!$E$15+1,1))-AVERAGE(OFFSET($H$3,0,0,'Données projet'!$E$15+1,1))</f>
        <v>288.41846134875794</v>
      </c>
      <c r="EP48" s="59">
        <f t="shared" si="46"/>
        <v>248.93951719818972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42</v>
      </c>
      <c r="ES48" s="16">
        <f>IF(ISNA(VLOOKUP(A48,'Données projet'!$A$191:$I$211,5,0)),0%,VLOOKUP(A48,'Données projet'!$A$191:$I$211,5,0)*VLOOKUP('Données projet'!$B$15,Paramètres!$A$1:$I$89,7,0))</f>
        <v>0.45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40.872066741464408</v>
      </c>
      <c r="EW48" s="21">
        <f>EXP(-LN(2)/25)*EW47+(1-EXP(-LN(2)/25))/(LN(2)/25)*Calculateur!ER48*Calculateur!ET48*VLOOKUP('Données projet'!$B$15,Paramètres!$A$1:$I$89,3,0)*0.475*44/12</f>
        <v>18.430174247717751</v>
      </c>
      <c r="EX48" s="21">
        <f>EXP(-LN(2)/2)*EX47+(1-EXP(-LN(2)/2))/(LN(2)/2)*ER48*EU48*VLOOKUP('Données projet'!$B$15,Paramètres!$A$1:$I$89,3,0)*0.475*44/12</f>
        <v>2.6883735471456183E-3</v>
      </c>
      <c r="EY48" s="22">
        <f t="shared" si="21"/>
        <v>59.304929362729304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552</v>
      </c>
      <c r="FC48" s="12">
        <f>VLOOKUP(A48,'Données projet'!$A$217:$I$237,9,0)</f>
        <v>26.2</v>
      </c>
      <c r="FD48" s="12">
        <f t="array" ref="FD48">INDEX(FC:FC,MIN(IF(ISNUMBER(FC48:FC244),ROW(FC48:FC244),"")))</f>
        <v>26.2</v>
      </c>
      <c r="FE48" s="12">
        <f>IF('Données projet'!$A$218&gt;35,FE47+FD48-FM47,IF(A48&lt;'Données projet'!$A$218,$FB$205^A48,IF(A48='Données projet'!$A$218,'Données projet'!$B$218,FE47+FD48-FM47)))</f>
        <v>551.99999999999989</v>
      </c>
      <c r="FF48" s="17">
        <f>FE48*VLOOKUP('Données projet'!$B$16,Paramètres!$A$1:$I$89,3,0)*VLOOKUP('Données projet'!$B$16,Paramètres!$A$1:$I$89,5,0)</f>
        <v>251.15999999999997</v>
      </c>
      <c r="FG48" s="13">
        <f t="shared" si="47"/>
        <v>60.834270430141537</v>
      </c>
      <c r="FH48" s="20">
        <f t="shared" si="22"/>
        <v>543.39002099916308</v>
      </c>
      <c r="FI48" s="59">
        <f t="shared" si="23"/>
        <v>836.72335433249646</v>
      </c>
      <c r="FJ48" s="59">
        <f ca="1">AVERAGE(OFFSET($FI$3,0,0,'Données projet'!$E$16+1,1))-AVERAGE(OFFSET($H$3,0,0,'Données projet'!$E$16+1,1))</f>
        <v>367.36535411813264</v>
      </c>
      <c r="FK48" s="59">
        <f t="shared" si="48"/>
        <v>293.19545174980556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60</v>
      </c>
      <c r="FN48" s="16">
        <f>IF(ISNA(VLOOKUP(A48,'Données projet'!$A$217:$I$237,5,0)),0%,VLOOKUP(A48,'Données projet'!$A$217:$I$237,5,0)*VLOOKUP('Données projet'!$B$16,Paramètres!$A$1:$I$89,7,0))</f>
        <v>0.55000000000000004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60.02868507290264</v>
      </c>
      <c r="FR48" s="21">
        <f>EXP(-LN(2)/25)*FR47+(1-EXP(-LN(2)/25))/(LN(2)/25)*Calculateur!FM48*Calculateur!FO48*VLOOKUP('Données projet'!$B$16,Paramètres!$A$1:$I$89,3,0)*0.475*44/12</f>
        <v>28.565286172992476</v>
      </c>
      <c r="FS48" s="21">
        <f>EXP(-LN(2)/2)*FS47+(1-EXP(-LN(2)/2))/(LN(2)/2)*FM48*FP48*VLOOKUP('Données projet'!$B$16,Paramètres!$A$1:$I$89,3,0)*0.475*44/12</f>
        <v>4.0020683712233846E-3</v>
      </c>
      <c r="FT48" s="22">
        <f t="shared" si="24"/>
        <v>88.597973314266341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446</v>
      </c>
      <c r="FX48" s="12">
        <f>VLOOKUP(A48,'Données projet'!$A$243:$I$263,9,0)</f>
        <v>22</v>
      </c>
      <c r="FY48" s="12">
        <f t="array" ref="FY48">INDEX(FX:FX,MIN(IF(ISNUMBER(FX48:FX244),ROW(FX48:FX244),"")))</f>
        <v>22</v>
      </c>
      <c r="FZ48" s="12">
        <f>IF('Données projet'!$A$244&gt;35,FZ47+FY48-GH47,IF(A48&lt;'Données projet'!$A$244,$FW$205^A48,IF(A48='Données projet'!$A$244,'Données projet'!$B$244,FZ47+FY48-GH47)))</f>
        <v>445.99999999999994</v>
      </c>
      <c r="GA48" s="17">
        <f>FZ48*VLOOKUP('Données projet'!$B$17,Paramètres!$A$1:$I$89,3,0)*VLOOKUP('Données projet'!$B$17,Paramètres!$A$1:$I$89,5,0)</f>
        <v>214.52599999999998</v>
      </c>
      <c r="GB48" s="13">
        <f t="shared" si="49"/>
        <v>52.923399801930294</v>
      </c>
      <c r="GC48" s="20">
        <f t="shared" si="25"/>
        <v>465.80770465502854</v>
      </c>
      <c r="GD48" s="59">
        <f t="shared" si="26"/>
        <v>759.14103798836186</v>
      </c>
      <c r="GE48" s="59">
        <f ca="1">AVERAGE(OFFSET($GD$3,0,0,'Données projet'!$E$17+1,1))-AVERAGE(OFFSET($H$3,0,0,'Données projet'!$E$17+1,1))</f>
        <v>312.64506496298173</v>
      </c>
      <c r="GF48" s="59">
        <f t="shared" si="50"/>
        <v>259.97532509897508</v>
      </c>
      <c r="GG48" s="15">
        <f>IF(ISNA(VLOOKUP(A48,'Données projet'!$A$243:$I$263,3,0)),0,VLOOKUP(A48,'Données projet'!$A$243:$I$263,3,0))</f>
        <v>5</v>
      </c>
      <c r="GH48" s="15">
        <f>IF(ISNA(VLOOKUP(A48,'Données projet'!$A$243:$I$263,4,0)),0,VLOOKUP(A48,'Données projet'!$A$243:$I$263,4,0))</f>
        <v>56</v>
      </c>
      <c r="GI48" s="16">
        <f>IF(ISNA(VLOOKUP(A48,'Données projet'!$A$243:$I$263,5,0)),0%,VLOOKUP(A48,'Données projet'!$A$243:$I$263,5,0)*VLOOKUP('Données projet'!$B$17,Paramètres!$A$1:$I$89,7,0))</f>
        <v>0.55000000000000004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53.574657532289876</v>
      </c>
      <c r="GM48" s="21">
        <f>EXP(-LN(2)/25)*GM47+(1-EXP(-LN(2)/25))/(LN(2)/25)*Calculateur!GH48*Calculateur!GJ48*VLOOKUP('Données projet'!$B$17,Paramètres!$A$1:$I$89,3,0)*0.475*44/12</f>
        <v>12.914951921666962</v>
      </c>
      <c r="GN48" s="21">
        <f>EXP(-LN(2)/2)*GN47+(1-EXP(-LN(2)/2))/(LN(2)/2)*GH48*GK48*VLOOKUP('Données projet'!$B$17,Paramètres!$A$1:$I$89,3,0)*0.475*44/12</f>
        <v>2.1273583402743362E-2</v>
      </c>
      <c r="GO48" s="21">
        <f t="shared" si="27"/>
        <v>66.510883037359577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158</v>
      </c>
      <c r="GS48" s="12">
        <f>VLOOKUP(A48,'Données projet'!$A$269:$I$289,9,0)</f>
        <v>8.4</v>
      </c>
      <c r="GT48" s="12">
        <f t="array" ref="GT48">INDEX(GS:GS,MIN(IF(ISNUMBER(GS48:GS244),ROW(GS48:GS244),"")))</f>
        <v>8.4</v>
      </c>
      <c r="GU48" s="12">
        <f>IF('Données projet'!$A$270&gt;35,GU47+GT48-HC47,IF(A48&lt;'Données projet'!$A$270,$GR$205^A48,IF(A48='Données projet'!$A$270,'Données projet'!$B$270,GU47+GT48-HC47)))</f>
        <v>158.00000000000006</v>
      </c>
      <c r="GV48" s="17">
        <f>GU48*VLOOKUP('Données projet'!$B$18,Paramètres!$A$1:$I$89,3,0)*VLOOKUP('Données projet'!$B$18,Paramètres!$A$1:$I$89,5,0)</f>
        <v>160.21200000000007</v>
      </c>
      <c r="GW48" s="13">
        <f t="shared" si="51"/>
        <v>40.890328912852731</v>
      </c>
      <c r="GX48" s="20">
        <f t="shared" si="28"/>
        <v>350.25322285655193</v>
      </c>
      <c r="GY48" s="59">
        <f t="shared" si="29"/>
        <v>643.58655618988519</v>
      </c>
      <c r="GZ48" s="59">
        <f ca="1">AVERAGE(OFFSET($GY$3,0,0,'Données projet'!$E$18+1,1))-AVERAGE(OFFSET($H$3,0,0,'Données projet'!$E$18+1,1))</f>
        <v>308.80022073574963</v>
      </c>
      <c r="HA48" s="59">
        <f t="shared" si="52"/>
        <v>183.96267407004115</v>
      </c>
      <c r="HB48" s="15">
        <f>IF(ISNA(VLOOKUP(A48,'Données projet'!$A$269:$I$289,3,0)),0,VLOOKUP(A48,'Données projet'!$A$269:$I$289,3,0))</f>
        <v>5</v>
      </c>
      <c r="HC48" s="15">
        <f>IF(ISNA(VLOOKUP(A48,'Données projet'!$A$269:$I$289,4,0)),0,VLOOKUP(A48,'Données projet'!$A$269:$I$289,4,0))</f>
        <v>21</v>
      </c>
      <c r="HD48" s="16">
        <f>IF(ISNA(VLOOKUP(A48,'Données projet'!$A$269:$I$289,5,0)),0%,VLOOKUP(A48,'Données projet'!$A$269:$I$289,5,0)*VLOOKUP('Données projet'!$B$18,Paramètres!$A$1:$I$89,7,0))</f>
        <v>0.43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27.593581290433093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27.593581290433093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344.49457749226184</v>
      </c>
      <c r="T49" s="59">
        <f t="shared" si="34"/>
        <v>207.92972431357452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98.59999999999998</v>
      </c>
      <c r="AJ49" s="13">
        <f>AI49*VLOOKUP('Données projet'!$B$10,Paramètres!$A$1:$I$89,3,0)*VLOOKUP('Données projet'!$B$10,Paramètres!$A$1:$I$89,5,0)</f>
        <v>89.213279999999969</v>
      </c>
      <c r="AK49" s="13">
        <f t="shared" si="35"/>
        <v>24.375390230293544</v>
      </c>
      <c r="AL49" s="20">
        <f t="shared" si="4"/>
        <v>197.83360065109454</v>
      </c>
      <c r="AM49" s="59">
        <f t="shared" si="5"/>
        <v>491.16693398442783</v>
      </c>
      <c r="AN49" s="59">
        <f ca="1">AVERAGE(OFFSET($AM$3,0,0,'Données projet'!$E$10+1,1))-AVERAGE(OFFSET($H$3,0,0,'Données projet'!$E$10+1,1))</f>
        <v>183.0147113277086</v>
      </c>
      <c r="AO49" s="59">
        <f t="shared" si="36"/>
        <v>76.413905647258389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15.746855581290545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15.746855581290545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180.28296000000006</v>
      </c>
      <c r="BF49" s="13">
        <f t="shared" si="37"/>
        <v>45.385133797071397</v>
      </c>
      <c r="BG49" s="20">
        <f t="shared" si="7"/>
        <v>393.03859669656612</v>
      </c>
      <c r="BH49" s="59">
        <f t="shared" si="8"/>
        <v>686.37193002989943</v>
      </c>
      <c r="BI49" s="59">
        <f ca="1">AVERAGE(OFFSET($BH$3,0,0,'Données projet'!$E$11+1,1))-AVERAGE(OFFSET($H$3,0,0,'Données projet'!$E$11+1,1))</f>
        <v>279.49721661620544</v>
      </c>
      <c r="BJ49" s="59">
        <f t="shared" si="38"/>
        <v>275.18739333988754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38.576375971994885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38.576375971994885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225.2323446080772</v>
      </c>
      <c r="CE49" s="59">
        <f t="shared" si="40"/>
        <v>222.29030402759292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32.140702832274975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32.140702832274975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163.18223999999995</v>
      </c>
      <c r="CV49" s="13">
        <f t="shared" si="41"/>
        <v>41.559453767438036</v>
      </c>
      <c r="CW49" s="20">
        <f t="shared" si="13"/>
        <v>356.59178331162116</v>
      </c>
      <c r="CX49" s="59">
        <f t="shared" si="14"/>
        <v>649.92511664495441</v>
      </c>
      <c r="CY49" s="59">
        <f ca="1">AVERAGE(OFFSET($CX$3,0,0,'Données projet'!$E$13+1,1))-AVERAGE(OFFSET($H$3,0,0,'Données projet'!$E$13+1,1))</f>
        <v>240.57184010337932</v>
      </c>
      <c r="CZ49" s="59">
        <f t="shared" si="42"/>
        <v>236.36473521227072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27.212349516595957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27.212349516595957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21</v>
      </c>
      <c r="DO49" s="12">
        <f>IF('Données projet'!$A$166&gt;35,DO48+DN49-DW48,IF(A49&lt;'Données projet'!$A$166,$DL$205^A49,IF(A49='Données projet'!$A$166,'Données projet'!$B$166,DO48+DN49-DW48)))</f>
        <v>414.99999999999966</v>
      </c>
      <c r="DP49" s="17">
        <f>DO49*VLOOKUP('Données projet'!$B$14,Paramètres!$A$1:$I$89,3,0)*VLOOKUP('Données projet'!$B$14,Paramètres!$A$1:$I$89,5,0)</f>
        <v>194.21999999999983</v>
      </c>
      <c r="DQ49" s="13">
        <f t="shared" si="43"/>
        <v>48.471738765579786</v>
      </c>
      <c r="DR49" s="20">
        <f t="shared" si="16"/>
        <v>422.68811168338442</v>
      </c>
      <c r="DS49" s="59">
        <f t="shared" si="17"/>
        <v>716.02144501671773</v>
      </c>
      <c r="DT49" s="59">
        <f ca="1">AVERAGE(OFFSET($DS$3,0,0,'Données projet'!$E$14+1,1))-AVERAGE(OFFSET($H$3,0,0,'Données projet'!$E$14+1,1))</f>
        <v>304.29617570272939</v>
      </c>
      <c r="DU49" s="59">
        <f t="shared" si="44"/>
        <v>246.20695736161576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35.72596725531907</v>
      </c>
      <c r="EB49" s="21">
        <f>EXP(-LN(2)/25)*EB48+(1-EXP(-LN(2)/25))/(LN(2)/25)*Calculateur!DW49*Calculateur!DY49*VLOOKUP('Données projet'!$B$14,Paramètres!$A$1:$I$89,3,0)*0.475*44/12</f>
        <v>26.262001511125074</v>
      </c>
      <c r="EC49" s="21">
        <f>EXP(-LN(2)/2)*EC48+(1-EXP(-LN(2)/2))/(LN(2)/2)*DW49*DZ49*VLOOKUP('Données projet'!$B$14,Paramètres!$A$1:$I$89,3,0)*0.475*44/12</f>
        <v>1.536794254549782E-2</v>
      </c>
      <c r="ED49" s="22">
        <f t="shared" si="18"/>
        <v>62.003336708989636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14.4</v>
      </c>
      <c r="EJ49" s="12">
        <f>IF('Données projet'!$A$192&gt;35,EJ48+EI49-ER48,IF(A49&lt;'Données projet'!$A$192,$EG$205^A49,IF(A49='Données projet'!$A$192,'Données projet'!$B$192,EJ48+EI49-ER48)))</f>
        <v>301.39999999999981</v>
      </c>
      <c r="EK49" s="17">
        <f>EJ49*VLOOKUP('Données projet'!$B$15,Paramètres!$A$1:$I$89,3,0)*VLOOKUP('Données projet'!$B$15,Paramètres!$A$1:$I$89,5,0)</f>
        <v>180.23719999999992</v>
      </c>
      <c r="EL49" s="13">
        <f t="shared" si="45"/>
        <v>45.374954751017455</v>
      </c>
      <c r="EM49" s="20">
        <f t="shared" si="19"/>
        <v>392.94116952468863</v>
      </c>
      <c r="EN49" s="59">
        <f t="shared" si="20"/>
        <v>686.27450285802195</v>
      </c>
      <c r="EO49" s="59">
        <f ca="1">AVERAGE(OFFSET($EN$3,0,0,'Données projet'!$E$15+1,1))-AVERAGE(OFFSET($H$3,0,0,'Données projet'!$E$15+1,1))</f>
        <v>288.41846134875794</v>
      </c>
      <c r="EP49" s="59">
        <f t="shared" si="46"/>
        <v>248.93951719818972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40.070590442163422</v>
      </c>
      <c r="EW49" s="21">
        <f>EXP(-LN(2)/25)*EW48+(1-EXP(-LN(2)/25))/(LN(2)/25)*Calculateur!ER49*Calculateur!ET49*VLOOKUP('Données projet'!$B$15,Paramètres!$A$1:$I$89,3,0)*0.475*44/12</f>
        <v>17.926200163713169</v>
      </c>
      <c r="EX49" s="21">
        <f>EXP(-LN(2)/2)*EX48+(1-EXP(-LN(2)/2))/(LN(2)/2)*ER49*EU49*VLOOKUP('Données projet'!$B$15,Paramètres!$A$1:$I$89,3,0)*0.475*44/12</f>
        <v>1.9009671655491995E-3</v>
      </c>
      <c r="EY49" s="22">
        <f t="shared" si="21"/>
        <v>57.998691573042137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23.6</v>
      </c>
      <c r="FE49" s="12">
        <f>IF('Données projet'!$A$218&gt;35,FE48+FD49-FM48,IF(A49&lt;'Données projet'!$A$218,$FB$205^A49,IF(A49='Données projet'!$A$218,'Données projet'!$B$218,FE48+FD49-FM48)))</f>
        <v>515.59999999999991</v>
      </c>
      <c r="FF49" s="17">
        <f>FE49*VLOOKUP('Données projet'!$B$16,Paramètres!$A$1:$I$89,3,0)*VLOOKUP('Données projet'!$B$16,Paramètres!$A$1:$I$89,5,0)</f>
        <v>234.59799999999996</v>
      </c>
      <c r="FG49" s="13">
        <f t="shared" si="47"/>
        <v>57.275728408032506</v>
      </c>
      <c r="FH49" s="20">
        <f t="shared" si="22"/>
        <v>508.34674364398978</v>
      </c>
      <c r="FI49" s="59">
        <f t="shared" si="23"/>
        <v>801.6800769773231</v>
      </c>
      <c r="FJ49" s="59">
        <f ca="1">AVERAGE(OFFSET($FI$3,0,0,'Données projet'!$E$16+1,1))-AVERAGE(OFFSET($H$3,0,0,'Données projet'!$E$16+1,1))</f>
        <v>367.36535411813264</v>
      </c>
      <c r="FK49" s="59">
        <f t="shared" si="48"/>
        <v>293.19545174980556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58.851559172505596</v>
      </c>
      <c r="FR49" s="21">
        <f>EXP(-LN(2)/25)*FR48+(1-EXP(-LN(2)/25))/(LN(2)/25)*Calculateur!FM49*Calculateur!FO49*VLOOKUP('Données projet'!$B$16,Paramètres!$A$1:$I$89,3,0)*0.475*44/12</f>
        <v>27.784166920408882</v>
      </c>
      <c r="FS49" s="21">
        <f>EXP(-LN(2)/2)*FS48+(1-EXP(-LN(2)/2))/(LN(2)/2)*FM49*FP49*VLOOKUP('Données projet'!$B$16,Paramètres!$A$1:$I$89,3,0)*0.475*44/12</f>
        <v>2.8298896840642566E-3</v>
      </c>
      <c r="FT49" s="22">
        <f t="shared" si="24"/>
        <v>86.638555982598547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20.8</v>
      </c>
      <c r="FZ49" s="12">
        <f>IF('Données projet'!$A$244&gt;35,FZ48+FY49-GH48,IF(A49&lt;'Données projet'!$A$244,$FW$205^A49,IF(A49='Données projet'!$A$244,'Données projet'!$B$244,FZ48+FY49-GH48)))</f>
        <v>410.79999999999995</v>
      </c>
      <c r="GA49" s="17">
        <f>FZ49*VLOOKUP('Données projet'!$B$17,Paramètres!$A$1:$I$89,3,0)*VLOOKUP('Données projet'!$B$17,Paramètres!$A$1:$I$89,5,0)</f>
        <v>197.59479999999999</v>
      </c>
      <c r="GB49" s="13">
        <f t="shared" si="49"/>
        <v>49.215205929993992</v>
      </c>
      <c r="GC49" s="20">
        <f t="shared" si="25"/>
        <v>429.8607603280729</v>
      </c>
      <c r="GD49" s="59">
        <f t="shared" si="26"/>
        <v>723.19409366140621</v>
      </c>
      <c r="GE49" s="59">
        <f ca="1">AVERAGE(OFFSET($GD$3,0,0,'Données projet'!$E$17+1,1))-AVERAGE(OFFSET($H$3,0,0,'Données projet'!$E$17+1,1))</f>
        <v>312.64506496298173</v>
      </c>
      <c r="GF49" s="59">
        <f t="shared" si="50"/>
        <v>259.97532509897508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52.524091175396151</v>
      </c>
      <c r="GM49" s="21">
        <f>EXP(-LN(2)/25)*GM48+(1-EXP(-LN(2)/25))/(LN(2)/25)*Calculateur!GH49*Calculateur!GJ49*VLOOKUP('Données projet'!$B$17,Paramètres!$A$1:$I$89,3,0)*0.475*44/12</f>
        <v>12.561791882201174</v>
      </c>
      <c r="GN49" s="21">
        <f>EXP(-LN(2)/2)*GN48+(1-EXP(-LN(2)/2))/(LN(2)/2)*GH49*GK49*VLOOKUP('Données projet'!$B$17,Paramètres!$A$1:$I$89,3,0)*0.475*44/12</f>
        <v>1.504269508421742E-2</v>
      </c>
      <c r="GO49" s="21">
        <f t="shared" si="27"/>
        <v>65.100925752681547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8.1999999999999993</v>
      </c>
      <c r="GU49" s="12">
        <f>IF('Données projet'!$A$270&gt;35,GU48+GT49-HC48,IF(A49&lt;'Données projet'!$A$270,$GR$205^A49,IF(A49='Données projet'!$A$270,'Données projet'!$B$270,GU48+GT49-HC48)))</f>
        <v>145.20000000000005</v>
      </c>
      <c r="GV49" s="17">
        <f>GU49*VLOOKUP('Données projet'!$B$18,Paramètres!$A$1:$I$89,3,0)*VLOOKUP('Données projet'!$B$18,Paramètres!$A$1:$I$89,5,0)</f>
        <v>147.23280000000005</v>
      </c>
      <c r="GW49" s="13">
        <f t="shared" si="51"/>
        <v>37.949049623906205</v>
      </c>
      <c r="GX49" s="20">
        <f t="shared" si="28"/>
        <v>322.52505476163668</v>
      </c>
      <c r="GY49" s="59">
        <f t="shared" si="29"/>
        <v>615.85838809497</v>
      </c>
      <c r="GZ49" s="59">
        <f ca="1">AVERAGE(OFFSET($GY$3,0,0,'Données projet'!$E$18+1,1))-AVERAGE(OFFSET($H$3,0,0,'Données projet'!$E$18+1,1))</f>
        <v>308.80022073574963</v>
      </c>
      <c r="HA49" s="59">
        <f t="shared" si="52"/>
        <v>183.96267407004115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27.052487991750422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27.052487991750422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344.49457749226184</v>
      </c>
      <c r="T50" s="59">
        <f t="shared" si="34"/>
        <v>207.92972431357452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104.19999999999997</v>
      </c>
      <c r="AJ50" s="13">
        <f>AI50*VLOOKUP('Données projet'!$B$10,Paramètres!$A$1:$I$89,3,0)*VLOOKUP('Données projet'!$B$10,Paramètres!$A$1:$I$89,5,0)</f>
        <v>94.280159999999967</v>
      </c>
      <c r="AK50" s="13">
        <f t="shared" si="35"/>
        <v>25.594688689992932</v>
      </c>
      <c r="AL50" s="20">
        <f t="shared" si="4"/>
        <v>208.78202813507096</v>
      </c>
      <c r="AM50" s="59">
        <f t="shared" si="5"/>
        <v>502.11536146840427</v>
      </c>
      <c r="AN50" s="59">
        <f ca="1">AVERAGE(OFFSET($AM$3,0,0,'Données projet'!$E$10+1,1))-AVERAGE(OFFSET($H$3,0,0,'Données projet'!$E$10+1,1))</f>
        <v>183.0147113277086</v>
      </c>
      <c r="AO50" s="59">
        <f t="shared" si="36"/>
        <v>76.413905647258389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15.438069347974963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15.438069347974963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187.12512000000004</v>
      </c>
      <c r="BF50" s="13">
        <f t="shared" si="37"/>
        <v>46.903794805770545</v>
      </c>
      <c r="BG50" s="20">
        <f t="shared" si="7"/>
        <v>407.60035995338376</v>
      </c>
      <c r="BH50" s="59">
        <f t="shared" si="8"/>
        <v>700.93369328671702</v>
      </c>
      <c r="BI50" s="59">
        <f ca="1">AVERAGE(OFFSET($BH$3,0,0,'Données projet'!$E$11+1,1))-AVERAGE(OFFSET($H$3,0,0,'Données projet'!$E$11+1,1))</f>
        <v>279.49721661620544</v>
      </c>
      <c r="BJ50" s="59">
        <f t="shared" si="38"/>
        <v>275.18739333988754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37.819916768450085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37.819916768450085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225.2323446080772</v>
      </c>
      <c r="CE50" s="59">
        <f t="shared" si="40"/>
        <v>222.29030402759292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31.510443253627066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31.510443253627066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169.21007999999995</v>
      </c>
      <c r="CV50" s="13">
        <f t="shared" si="41"/>
        <v>42.913059855984883</v>
      </c>
      <c r="CW50" s="20">
        <f t="shared" si="13"/>
        <v>369.44780191584027</v>
      </c>
      <c r="CX50" s="59">
        <f t="shared" si="14"/>
        <v>662.78113524917353</v>
      </c>
      <c r="CY50" s="59">
        <f ca="1">AVERAGE(OFFSET($CX$3,0,0,'Données projet'!$E$13+1,1))-AVERAGE(OFFSET($H$3,0,0,'Données projet'!$E$13+1,1))</f>
        <v>240.57184010337932</v>
      </c>
      <c r="CZ50" s="59">
        <f t="shared" si="42"/>
        <v>236.36473521227072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26.67873194046981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26.67873194046981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21</v>
      </c>
      <c r="DO50" s="12">
        <f>IF('Données projet'!$A$166&gt;35,DO49+DN50-DW49,IF(A50&lt;'Données projet'!$A$166,$DL$205^A50,IF(A50='Données projet'!$A$166,'Données projet'!$B$166,DO49+DN50-DW49)))</f>
        <v>435.99999999999966</v>
      </c>
      <c r="DP50" s="17">
        <f>DO50*VLOOKUP('Données projet'!$B$14,Paramètres!$A$1:$I$89,3,0)*VLOOKUP('Données projet'!$B$14,Paramètres!$A$1:$I$89,5,0)</f>
        <v>204.04799999999983</v>
      </c>
      <c r="DQ50" s="13">
        <f t="shared" si="43"/>
        <v>50.632755461121924</v>
      </c>
      <c r="DR50" s="20">
        <f t="shared" si="16"/>
        <v>443.56898242812036</v>
      </c>
      <c r="DS50" s="59">
        <f t="shared" si="17"/>
        <v>736.90231576145368</v>
      </c>
      <c r="DT50" s="59">
        <f ca="1">AVERAGE(OFFSET($DS$3,0,0,'Données projet'!$E$14+1,1))-AVERAGE(OFFSET($H$3,0,0,'Données projet'!$E$14+1,1))</f>
        <v>304.29617570272939</v>
      </c>
      <c r="DU50" s="59">
        <f t="shared" si="44"/>
        <v>246.20695736161576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35.025402828130638</v>
      </c>
      <c r="EB50" s="21">
        <f>EXP(-LN(2)/25)*EB49+(1-EXP(-LN(2)/25))/(LN(2)/25)*Calculateur!DW50*Calculateur!DY50*VLOOKUP('Données projet'!$B$14,Paramètres!$A$1:$I$89,3,0)*0.475*44/12</f>
        <v>25.543865698744721</v>
      </c>
      <c r="EC50" s="21">
        <f>EXP(-LN(2)/2)*EC49+(1-EXP(-LN(2)/2))/(LN(2)/2)*DW50*DZ50*VLOOKUP('Données projet'!$B$14,Paramètres!$A$1:$I$89,3,0)*0.475*44/12</f>
        <v>1.0866776386806762E-2</v>
      </c>
      <c r="ED50" s="22">
        <f t="shared" si="18"/>
        <v>60.580135303262168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14.4</v>
      </c>
      <c r="EJ50" s="12">
        <f>IF('Données projet'!$A$192&gt;35,EJ49+EI50-ER49,IF(A50&lt;'Données projet'!$A$192,$EG$205^A50,IF(A50='Données projet'!$A$192,'Données projet'!$B$192,EJ49+EI50-ER49)))</f>
        <v>315.79999999999978</v>
      </c>
      <c r="EK50" s="17">
        <f>EJ50*VLOOKUP('Données projet'!$B$15,Paramètres!$A$1:$I$89,3,0)*VLOOKUP('Données projet'!$B$15,Paramètres!$A$1:$I$89,5,0)</f>
        <v>188.84839999999988</v>
      </c>
      <c r="EL50" s="13">
        <f t="shared" si="45"/>
        <v>47.285260426836061</v>
      </c>
      <c r="EM50" s="20">
        <f t="shared" si="19"/>
        <v>411.26612524340595</v>
      </c>
      <c r="EN50" s="59">
        <f t="shared" si="20"/>
        <v>704.59945857673927</v>
      </c>
      <c r="EO50" s="59">
        <f ca="1">AVERAGE(OFFSET($EN$3,0,0,'Données projet'!$E$15+1,1))-AVERAGE(OFFSET($H$3,0,0,'Données projet'!$E$15+1,1))</f>
        <v>288.41846134875794</v>
      </c>
      <c r="EP50" s="59">
        <f t="shared" si="46"/>
        <v>248.93951719818972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39.284830604239453</v>
      </c>
      <c r="EW50" s="21">
        <f>EXP(-LN(2)/25)*EW49+(1-EXP(-LN(2)/25))/(LN(2)/25)*Calculateur!ER50*Calculateur!ET50*VLOOKUP('Données projet'!$B$15,Paramètres!$A$1:$I$89,3,0)*0.475*44/12</f>
        <v>17.436007277538536</v>
      </c>
      <c r="EX50" s="21">
        <f>EXP(-LN(2)/2)*EX49+(1-EXP(-LN(2)/2))/(LN(2)/2)*ER50*EU50*VLOOKUP('Données projet'!$B$15,Paramètres!$A$1:$I$89,3,0)*0.475*44/12</f>
        <v>1.3441867735728094E-3</v>
      </c>
      <c r="EY50" s="22">
        <f t="shared" si="21"/>
        <v>56.722182068551561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23.6</v>
      </c>
      <c r="FE50" s="12">
        <f>IF('Données projet'!$A$218&gt;35,FE49+FD50-FM49,IF(A50&lt;'Données projet'!$A$218,$FB$205^A50,IF(A50='Données projet'!$A$218,'Données projet'!$B$218,FE49+FD50-FM49)))</f>
        <v>539.19999999999993</v>
      </c>
      <c r="FF50" s="17">
        <f>FE50*VLOOKUP('Données projet'!$B$16,Paramètres!$A$1:$I$89,3,0)*VLOOKUP('Données projet'!$B$16,Paramètres!$A$1:$I$89,5,0)</f>
        <v>245.33599999999996</v>
      </c>
      <c r="FG50" s="13">
        <f t="shared" si="47"/>
        <v>59.586123449690376</v>
      </c>
      <c r="FH50" s="20">
        <f t="shared" si="22"/>
        <v>531.07269834154397</v>
      </c>
      <c r="FI50" s="59">
        <f t="shared" si="23"/>
        <v>824.40603167487734</v>
      </c>
      <c r="FJ50" s="59">
        <f ca="1">AVERAGE(OFFSET($FI$3,0,0,'Données projet'!$E$16+1,1))-AVERAGE(OFFSET($H$3,0,0,'Données projet'!$E$16+1,1))</f>
        <v>367.36535411813264</v>
      </c>
      <c r="FK50" s="59">
        <f t="shared" si="48"/>
        <v>293.19545174980556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57.697515993039431</v>
      </c>
      <c r="FR50" s="21">
        <f>EXP(-LN(2)/25)*FR49+(1-EXP(-LN(2)/25))/(LN(2)/25)*Calculateur!FM50*Calculateur!FO50*VLOOKUP('Données projet'!$B$16,Paramètres!$A$1:$I$89,3,0)*0.475*44/12</f>
        <v>27.024407414864466</v>
      </c>
      <c r="FS50" s="21">
        <f>EXP(-LN(2)/2)*FS49+(1-EXP(-LN(2)/2))/(LN(2)/2)*FM50*FP50*VLOOKUP('Données projet'!$B$16,Paramètres!$A$1:$I$89,3,0)*0.475*44/12</f>
        <v>2.0010341856116923E-3</v>
      </c>
      <c r="FT50" s="22">
        <f t="shared" si="24"/>
        <v>84.723924442089512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20.8</v>
      </c>
      <c r="FZ50" s="12">
        <f>IF('Données projet'!$A$244&gt;35,FZ49+FY50-GH49,IF(A50&lt;'Données projet'!$A$244,$FW$205^A50,IF(A50='Données projet'!$A$244,'Données projet'!$B$244,FZ49+FY50-GH49)))</f>
        <v>431.59999999999997</v>
      </c>
      <c r="GA50" s="17">
        <f>FZ50*VLOOKUP('Données projet'!$B$17,Paramètres!$A$1:$I$89,3,0)*VLOOKUP('Données projet'!$B$17,Paramètres!$A$1:$I$89,5,0)</f>
        <v>207.59959999999998</v>
      </c>
      <c r="GB50" s="13">
        <f t="shared" si="49"/>
        <v>51.410687454361153</v>
      </c>
      <c r="GC50" s="20">
        <f t="shared" si="25"/>
        <v>451.10958398301227</v>
      </c>
      <c r="GD50" s="59">
        <f t="shared" si="26"/>
        <v>744.44291731634553</v>
      </c>
      <c r="GE50" s="59">
        <f ca="1">AVERAGE(OFFSET($GD$3,0,0,'Données projet'!$E$17+1,1))-AVERAGE(OFFSET($H$3,0,0,'Données projet'!$E$17+1,1))</f>
        <v>312.64506496298173</v>
      </c>
      <c r="GF50" s="59">
        <f t="shared" si="50"/>
        <v>259.97532509897508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51.494125783978902</v>
      </c>
      <c r="GM50" s="21">
        <f>EXP(-LN(2)/25)*GM49+(1-EXP(-LN(2)/25))/(LN(2)/25)*Calculateur!GH50*Calculateur!GJ50*VLOOKUP('Données projet'!$B$17,Paramètres!$A$1:$I$89,3,0)*0.475*44/12</f>
        <v>12.218289022586458</v>
      </c>
      <c r="GN50" s="21">
        <f>EXP(-LN(2)/2)*GN49+(1-EXP(-LN(2)/2))/(LN(2)/2)*GH50*GK50*VLOOKUP('Données projet'!$B$17,Paramètres!$A$1:$I$89,3,0)*0.475*44/12</f>
        <v>1.0636791701371681E-2</v>
      </c>
      <c r="GO50" s="21">
        <f t="shared" si="27"/>
        <v>63.723051598266736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8.1999999999999993</v>
      </c>
      <c r="GU50" s="12">
        <f>IF('Données projet'!$A$270&gt;35,GU49+GT50-HC49,IF(A50&lt;'Données projet'!$A$270,$GR$205^A50,IF(A50='Données projet'!$A$270,'Données projet'!$B$270,GU49+GT50-HC49)))</f>
        <v>153.40000000000003</v>
      </c>
      <c r="GV50" s="17">
        <f>GU50*VLOOKUP('Données projet'!$B$18,Paramètres!$A$1:$I$89,3,0)*VLOOKUP('Données projet'!$B$18,Paramètres!$A$1:$I$89,5,0)</f>
        <v>155.54760000000005</v>
      </c>
      <c r="GW50" s="13">
        <f t="shared" si="51"/>
        <v>39.836620617816237</v>
      </c>
      <c r="GX50" s="20">
        <f t="shared" si="28"/>
        <v>340.29418424269664</v>
      </c>
      <c r="GY50" s="59">
        <f t="shared" si="29"/>
        <v>633.62751757602996</v>
      </c>
      <c r="GZ50" s="59">
        <f ca="1">AVERAGE(OFFSET($GY$3,0,0,'Données projet'!$E$18+1,1))-AVERAGE(OFFSET($H$3,0,0,'Données projet'!$E$18+1,1))</f>
        <v>308.80022073574963</v>
      </c>
      <c r="HA50" s="59">
        <f t="shared" si="52"/>
        <v>183.96267407004115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26.522005202620594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26.522005202620594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344.49457749226184</v>
      </c>
      <c r="T51" s="59">
        <f t="shared" si="34"/>
        <v>207.92972431357452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109.79999999999997</v>
      </c>
      <c r="AJ51" s="13">
        <f>AI51*VLOOKUP('Données projet'!$B$10,Paramètres!$A$1:$I$89,3,0)*VLOOKUP('Données projet'!$B$10,Paramètres!$A$1:$I$89,5,0)</f>
        <v>99.347039999999964</v>
      </c>
      <c r="AK51" s="13">
        <f t="shared" si="35"/>
        <v>26.806379572460035</v>
      </c>
      <c r="AL51" s="20">
        <f t="shared" si="4"/>
        <v>219.71720575536781</v>
      </c>
      <c r="AM51" s="59">
        <f t="shared" si="5"/>
        <v>513.05053908870116</v>
      </c>
      <c r="AN51" s="59">
        <f ca="1">AVERAGE(OFFSET($AM$3,0,0,'Données projet'!$E$10+1,1))-AVERAGE(OFFSET($H$3,0,0,'Données projet'!$E$10+1,1))</f>
        <v>183.0147113277086</v>
      </c>
      <c r="AO51" s="59">
        <f t="shared" si="36"/>
        <v>76.413905647258389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15.135338224353694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15.135338224353694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193.96728000000004</v>
      </c>
      <c r="BF51" s="13">
        <f t="shared" si="37"/>
        <v>48.41600442423902</v>
      </c>
      <c r="BG51" s="20">
        <f t="shared" si="7"/>
        <v>422.15088703888301</v>
      </c>
      <c r="BH51" s="59">
        <f t="shared" si="8"/>
        <v>715.48422037221633</v>
      </c>
      <c r="BI51" s="59">
        <f ca="1">AVERAGE(OFFSET($BH$3,0,0,'Données projet'!$E$11+1,1))-AVERAGE(OFFSET($H$3,0,0,'Données projet'!$E$11+1,1))</f>
        <v>279.49721661620544</v>
      </c>
      <c r="BJ51" s="59">
        <f t="shared" si="38"/>
        <v>275.18739333988754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37.078291268492244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37.078291268492244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225.2323446080772</v>
      </c>
      <c r="CE51" s="59">
        <f t="shared" si="40"/>
        <v>222.29030402759292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30.89254268089606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30.89254268089606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175.23791999999995</v>
      </c>
      <c r="CV51" s="13">
        <f t="shared" si="41"/>
        <v>44.261063498246379</v>
      </c>
      <c r="CW51" s="20">
        <f t="shared" si="13"/>
        <v>382.2940629261123</v>
      </c>
      <c r="CX51" s="59">
        <f t="shared" si="14"/>
        <v>675.62739625944562</v>
      </c>
      <c r="CY51" s="59">
        <f ca="1">AVERAGE(OFFSET($CX$3,0,0,'Données projet'!$E$13+1,1))-AVERAGE(OFFSET($H$3,0,0,'Données projet'!$E$13+1,1))</f>
        <v>240.57184010337932</v>
      </c>
      <c r="CZ51" s="59">
        <f t="shared" si="42"/>
        <v>236.36473521227072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26.155578279536911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26.155578279536911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21</v>
      </c>
      <c r="DO51" s="12">
        <f>IF('Données projet'!$A$166&gt;35,DO50+DN51-DW50,IF(A51&lt;'Données projet'!$A$166,$DL$205^A51,IF(A51='Données projet'!$A$166,'Données projet'!$B$166,DO50+DN51-DW50)))</f>
        <v>456.99999999999966</v>
      </c>
      <c r="DP51" s="17">
        <f>DO51*VLOOKUP('Données projet'!$B$14,Paramètres!$A$1:$I$89,3,0)*VLOOKUP('Données projet'!$B$14,Paramètres!$A$1:$I$89,5,0)</f>
        <v>213.87599999999983</v>
      </c>
      <c r="DQ51" s="13">
        <f t="shared" si="43"/>
        <v>52.781685550046824</v>
      </c>
      <c r="DR51" s="20">
        <f t="shared" si="16"/>
        <v>464.42880233299792</v>
      </c>
      <c r="DS51" s="59">
        <f t="shared" si="17"/>
        <v>757.76213566633123</v>
      </c>
      <c r="DT51" s="59">
        <f ca="1">AVERAGE(OFFSET($DS$3,0,0,'Données projet'!$E$14+1,1))-AVERAGE(OFFSET($H$3,0,0,'Données projet'!$E$14+1,1))</f>
        <v>304.29617570272939</v>
      </c>
      <c r="DU51" s="59">
        <f t="shared" si="44"/>
        <v>246.20695736161576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34.338576042057262</v>
      </c>
      <c r="EB51" s="21">
        <f>EXP(-LN(2)/25)*EB50+(1-EXP(-LN(2)/25))/(LN(2)/25)*Calculateur!DW51*Calculateur!DY51*VLOOKUP('Données projet'!$B$14,Paramètres!$A$1:$I$89,3,0)*0.475*44/12</f>
        <v>24.84536734791903</v>
      </c>
      <c r="EC51" s="21">
        <f>EXP(-LN(2)/2)*EC50+(1-EXP(-LN(2)/2))/(LN(2)/2)*DW51*DZ51*VLOOKUP('Données projet'!$B$14,Paramètres!$A$1:$I$89,3,0)*0.475*44/12</f>
        <v>7.6839712727489106E-3</v>
      </c>
      <c r="ED51" s="22">
        <f t="shared" si="18"/>
        <v>59.19162736124904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14.4</v>
      </c>
      <c r="EJ51" s="12">
        <f>IF('Données projet'!$A$192&gt;35,EJ50+EI51-ER50,IF(A51&lt;'Données projet'!$A$192,$EG$205^A51,IF(A51='Données projet'!$A$192,'Données projet'!$B$192,EJ50+EI51-ER50)))</f>
        <v>330.19999999999976</v>
      </c>
      <c r="EK51" s="17">
        <f>EJ51*VLOOKUP('Données projet'!$B$15,Paramètres!$A$1:$I$89,3,0)*VLOOKUP('Données projet'!$B$15,Paramètres!$A$1:$I$89,5,0)</f>
        <v>197.45959999999988</v>
      </c>
      <c r="EL51" s="13">
        <f t="shared" si="45"/>
        <v>49.18545000243541</v>
      </c>
      <c r="EM51" s="20">
        <f t="shared" si="19"/>
        <v>429.5734620875748</v>
      </c>
      <c r="EN51" s="59">
        <f t="shared" si="20"/>
        <v>722.90679542090811</v>
      </c>
      <c r="EO51" s="59">
        <f ca="1">AVERAGE(OFFSET($EN$3,0,0,'Données projet'!$E$15+1,1))-AVERAGE(OFFSET($H$3,0,0,'Données projet'!$E$15+1,1))</f>
        <v>288.41846134875794</v>
      </c>
      <c r="EP51" s="59">
        <f t="shared" si="46"/>
        <v>248.93951719818972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38.514479037470998</v>
      </c>
      <c r="EW51" s="21">
        <f>EXP(-LN(2)/25)*EW50+(1-EXP(-LN(2)/25))/(LN(2)/25)*Calculateur!ER51*Calculateur!ET51*VLOOKUP('Données projet'!$B$15,Paramètres!$A$1:$I$89,3,0)*0.475*44/12</f>
        <v>16.959218741614471</v>
      </c>
      <c r="EX51" s="21">
        <f>EXP(-LN(2)/2)*EX50+(1-EXP(-LN(2)/2))/(LN(2)/2)*ER51*EU51*VLOOKUP('Données projet'!$B$15,Paramètres!$A$1:$I$89,3,0)*0.475*44/12</f>
        <v>9.5048358277459986E-4</v>
      </c>
      <c r="EY51" s="22">
        <f t="shared" si="21"/>
        <v>55.474648262668246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23.6</v>
      </c>
      <c r="FE51" s="12">
        <f>IF('Données projet'!$A$218&gt;35,FE50+FD51-FM50,IF(A51&lt;'Données projet'!$A$218,$FB$205^A51,IF(A51='Données projet'!$A$218,'Données projet'!$B$218,FE50+FD51-FM50)))</f>
        <v>562.79999999999995</v>
      </c>
      <c r="FF51" s="17">
        <f>FE51*VLOOKUP('Données projet'!$B$16,Paramètres!$A$1:$I$89,3,0)*VLOOKUP('Données projet'!$B$16,Paramètres!$A$1:$I$89,5,0)</f>
        <v>256.07399999999996</v>
      </c>
      <c r="FG51" s="13">
        <f t="shared" si="47"/>
        <v>61.884773790113961</v>
      </c>
      <c r="FH51" s="20">
        <f t="shared" si="22"/>
        <v>553.7781976844484</v>
      </c>
      <c r="FI51" s="59">
        <f t="shared" si="23"/>
        <v>847.11153101778177</v>
      </c>
      <c r="FJ51" s="59">
        <f ca="1">AVERAGE(OFFSET($FI$3,0,0,'Données projet'!$E$16+1,1))-AVERAGE(OFFSET($H$3,0,0,'Données projet'!$E$16+1,1))</f>
        <v>367.36535411813264</v>
      </c>
      <c r="FK51" s="59">
        <f t="shared" si="48"/>
        <v>293.19545174980556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56.566102896425761</v>
      </c>
      <c r="FR51" s="21">
        <f>EXP(-LN(2)/25)*FR50+(1-EXP(-LN(2)/25))/(LN(2)/25)*Calculateur!FM51*Calculateur!FO51*VLOOKUP('Données projet'!$B$16,Paramètres!$A$1:$I$89,3,0)*0.475*44/12</f>
        <v>26.285423572953178</v>
      </c>
      <c r="FS51" s="21">
        <f>EXP(-LN(2)/2)*FS50+(1-EXP(-LN(2)/2))/(LN(2)/2)*FM51*FP51*VLOOKUP('Données projet'!$B$16,Paramètres!$A$1:$I$89,3,0)*0.475*44/12</f>
        <v>1.4149448420321283E-3</v>
      </c>
      <c r="FT51" s="22">
        <f t="shared" si="24"/>
        <v>82.852941414220965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20.8</v>
      </c>
      <c r="FZ51" s="12">
        <f>IF('Données projet'!$A$244&gt;35,FZ50+FY51-GH50,IF(A51&lt;'Données projet'!$A$244,$FW$205^A51,IF(A51='Données projet'!$A$244,'Données projet'!$B$244,FZ50+FY51-GH50)))</f>
        <v>452.4</v>
      </c>
      <c r="GA51" s="17">
        <f>FZ51*VLOOKUP('Données projet'!$B$17,Paramètres!$A$1:$I$89,3,0)*VLOOKUP('Données projet'!$B$17,Paramètres!$A$1:$I$89,5,0)</f>
        <v>217.60439999999997</v>
      </c>
      <c r="GB51" s="13">
        <f t="shared" si="49"/>
        <v>53.593882578706356</v>
      </c>
      <c r="GC51" s="20">
        <f t="shared" si="25"/>
        <v>472.33700882458015</v>
      </c>
      <c r="GD51" s="59">
        <f t="shared" si="26"/>
        <v>765.67034215791341</v>
      </c>
      <c r="GE51" s="59">
        <f ca="1">AVERAGE(OFFSET($GD$3,0,0,'Données projet'!$E$17+1,1))-AVERAGE(OFFSET($H$3,0,0,'Données projet'!$E$17+1,1))</f>
        <v>312.64506496298173</v>
      </c>
      <c r="GF51" s="59">
        <f t="shared" si="50"/>
        <v>259.97532509897508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50.484357385670492</v>
      </c>
      <c r="GM51" s="21">
        <f>EXP(-LN(2)/25)*GM50+(1-EXP(-LN(2)/25))/(LN(2)/25)*Calculateur!GH51*Calculateur!GJ51*VLOOKUP('Données projet'!$B$17,Paramètres!$A$1:$I$89,3,0)*0.475*44/12</f>
        <v>11.884179266731936</v>
      </c>
      <c r="GN51" s="21">
        <f>EXP(-LN(2)/2)*GN50+(1-EXP(-LN(2)/2))/(LN(2)/2)*GH51*GK51*VLOOKUP('Données projet'!$B$17,Paramètres!$A$1:$I$89,3,0)*0.475*44/12</f>
        <v>7.5213475421087098E-3</v>
      </c>
      <c r="GO51" s="21">
        <f t="shared" si="27"/>
        <v>62.376057999944535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8.1999999999999993</v>
      </c>
      <c r="GU51" s="12">
        <f>IF('Données projet'!$A$270&gt;35,GU50+GT51-HC50,IF(A51&lt;'Données projet'!$A$270,$GR$205^A51,IF(A51='Données projet'!$A$270,'Données projet'!$B$270,GU50+GT51-HC50)))</f>
        <v>161.60000000000002</v>
      </c>
      <c r="GV51" s="17">
        <f>GU51*VLOOKUP('Données projet'!$B$18,Paramètres!$A$1:$I$89,3,0)*VLOOKUP('Données projet'!$B$18,Paramètres!$A$1:$I$89,5,0)</f>
        <v>163.86240000000004</v>
      </c>
      <c r="GW51" s="13">
        <f t="shared" si="51"/>
        <v>41.712477409029084</v>
      </c>
      <c r="GX51" s="20">
        <f t="shared" si="28"/>
        <v>358.0429114873923</v>
      </c>
      <c r="GY51" s="59">
        <f t="shared" si="29"/>
        <v>651.37624482072556</v>
      </c>
      <c r="GZ51" s="59">
        <f ca="1">AVERAGE(OFFSET($GY$3,0,0,'Données projet'!$E$18+1,1))-AVERAGE(OFFSET($H$3,0,0,'Données projet'!$E$18+1,1))</f>
        <v>308.80022073574963</v>
      </c>
      <c r="HA51" s="59">
        <f t="shared" si="52"/>
        <v>183.96267407004115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26.001924857423049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26.001924857423049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344.49457749226184</v>
      </c>
      <c r="T52" s="59">
        <f t="shared" si="34"/>
        <v>207.92972431357452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115.39999999999996</v>
      </c>
      <c r="AJ52" s="13">
        <f>AI52*VLOOKUP('Données projet'!$B$10,Paramètres!$A$1:$I$89,3,0)*VLOOKUP('Données projet'!$B$10,Paramètres!$A$1:$I$89,5,0)</f>
        <v>104.41391999999996</v>
      </c>
      <c r="AK52" s="13">
        <f t="shared" si="35"/>
        <v>28.010895142032854</v>
      </c>
      <c r="AL52" s="20">
        <f t="shared" si="4"/>
        <v>230.63988637237381</v>
      </c>
      <c r="AM52" s="59">
        <f t="shared" si="5"/>
        <v>523.97321970570715</v>
      </c>
      <c r="AN52" s="59">
        <f ca="1">AVERAGE(OFFSET($AM$3,0,0,'Données projet'!$E$10+1,1))-AVERAGE(OFFSET($H$3,0,0,'Données projet'!$E$10+1,1))</f>
        <v>183.0147113277086</v>
      </c>
      <c r="AO52" s="59">
        <f t="shared" si="36"/>
        <v>76.413905647258389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14.838543473418886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14.838543473418886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200.80944000000002</v>
      </c>
      <c r="BF52" s="13">
        <f t="shared" si="37"/>
        <v>49.922016299484312</v>
      </c>
      <c r="BG52" s="20">
        <f t="shared" si="7"/>
        <v>436.69061972160188</v>
      </c>
      <c r="BH52" s="59">
        <f t="shared" si="8"/>
        <v>730.02395305493519</v>
      </c>
      <c r="BI52" s="59">
        <f ca="1">AVERAGE(OFFSET($BH$3,0,0,'Données projet'!$E$11+1,1))-AVERAGE(OFFSET($H$3,0,0,'Données projet'!$E$11+1,1))</f>
        <v>279.49721661620544</v>
      </c>
      <c r="BJ52" s="59">
        <f t="shared" si="38"/>
        <v>275.18739333988754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36.35120859224169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36.35120859224169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225.2323446080772</v>
      </c>
      <c r="CE52" s="59">
        <f t="shared" si="40"/>
        <v>222.29030402759292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30.286758761514172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30.286758761514172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181.26575999999994</v>
      </c>
      <c r="CV52" s="13">
        <f t="shared" si="41"/>
        <v>45.60367949511749</v>
      </c>
      <c r="CW52" s="20">
        <f t="shared" si="13"/>
        <v>395.13094045399617</v>
      </c>
      <c r="CX52" s="59">
        <f t="shared" si="14"/>
        <v>688.46427378732949</v>
      </c>
      <c r="CY52" s="59">
        <f ca="1">AVERAGE(OFFSET($CX$3,0,0,'Données projet'!$E$13+1,1))-AVERAGE(OFFSET($H$3,0,0,'Données projet'!$E$13+1,1))</f>
        <v>240.57184010337932</v>
      </c>
      <c r="CZ52" s="59">
        <f t="shared" si="42"/>
        <v>236.36473521227072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25.642683342802684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25.642683342802684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21</v>
      </c>
      <c r="DO52" s="12">
        <f>IF('Données projet'!$A$166&gt;35,DO51+DN52-DW51,IF(A52&lt;'Données projet'!$A$166,$DL$205^A52,IF(A52='Données projet'!$A$166,'Données projet'!$B$166,DO51+DN52-DW51)))</f>
        <v>477.99999999999966</v>
      </c>
      <c r="DP52" s="17">
        <f>DO52*VLOOKUP('Données projet'!$B$14,Paramètres!$A$1:$I$89,3,0)*VLOOKUP('Données projet'!$B$14,Paramètres!$A$1:$I$89,5,0)</f>
        <v>223.70399999999984</v>
      </c>
      <c r="DQ52" s="13">
        <f t="shared" si="43"/>
        <v>54.919147873047535</v>
      </c>
      <c r="DR52" s="20">
        <f t="shared" si="16"/>
        <v>485.26864921222426</v>
      </c>
      <c r="DS52" s="59">
        <f t="shared" si="17"/>
        <v>778.60198254555758</v>
      </c>
      <c r="DT52" s="59">
        <f ca="1">AVERAGE(OFFSET($DS$3,0,0,'Données projet'!$E$14+1,1))-AVERAGE(OFFSET($H$3,0,0,'Données projet'!$E$14+1,1))</f>
        <v>304.29617570272939</v>
      </c>
      <c r="DU52" s="59">
        <f t="shared" si="44"/>
        <v>246.20695736161576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33.665217510335808</v>
      </c>
      <c r="EB52" s="21">
        <f>EXP(-LN(2)/25)*EB51+(1-EXP(-LN(2)/25))/(LN(2)/25)*Calculateur!DW52*Calculateur!DY52*VLOOKUP('Données projet'!$B$14,Paramètres!$A$1:$I$89,3,0)*0.475*44/12</f>
        <v>24.165969471229101</v>
      </c>
      <c r="EC52" s="21">
        <f>EXP(-LN(2)/2)*EC51+(1-EXP(-LN(2)/2))/(LN(2)/2)*DW52*DZ52*VLOOKUP('Données projet'!$B$14,Paramètres!$A$1:$I$89,3,0)*0.475*44/12</f>
        <v>5.4333881934033818E-3</v>
      </c>
      <c r="ED52" s="22">
        <f t="shared" si="18"/>
        <v>57.836620369758315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14.4</v>
      </c>
      <c r="EJ52" s="12">
        <f>IF('Données projet'!$A$192&gt;35,EJ51+EI52-ER51,IF(A52&lt;'Données projet'!$A$192,$EG$205^A52,IF(A52='Données projet'!$A$192,'Données projet'!$B$192,EJ51+EI52-ER51)))</f>
        <v>344.59999999999974</v>
      </c>
      <c r="EK52" s="17">
        <f>EJ52*VLOOKUP('Données projet'!$B$15,Paramètres!$A$1:$I$89,3,0)*VLOOKUP('Données projet'!$B$15,Paramètres!$A$1:$I$89,5,0)</f>
        <v>206.07079999999985</v>
      </c>
      <c r="EL52" s="13">
        <f t="shared" si="45"/>
        <v>51.076015061754525</v>
      </c>
      <c r="EM52" s="20">
        <f t="shared" si="19"/>
        <v>447.86403623255546</v>
      </c>
      <c r="EN52" s="59">
        <f t="shared" si="20"/>
        <v>741.19736956588872</v>
      </c>
      <c r="EO52" s="59">
        <f ca="1">AVERAGE(OFFSET($EN$3,0,0,'Données projet'!$E$15+1,1))-AVERAGE(OFFSET($H$3,0,0,'Données projet'!$E$15+1,1))</f>
        <v>288.41846134875794</v>
      </c>
      <c r="EP52" s="59">
        <f t="shared" si="46"/>
        <v>248.93951719818972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37.759233595058809</v>
      </c>
      <c r="EW52" s="21">
        <f>EXP(-LN(2)/25)*EW51+(1-EXP(-LN(2)/25))/(LN(2)/25)*Calculateur!ER52*Calculateur!ET52*VLOOKUP('Données projet'!$B$15,Paramètres!$A$1:$I$89,3,0)*0.475*44/12</f>
        <v>16.495468013278469</v>
      </c>
      <c r="EX52" s="21">
        <f>EXP(-LN(2)/2)*EX51+(1-EXP(-LN(2)/2))/(LN(2)/2)*ER52*EU52*VLOOKUP('Données projet'!$B$15,Paramètres!$A$1:$I$89,3,0)*0.475*44/12</f>
        <v>6.7209338678640479E-4</v>
      </c>
      <c r="EY52" s="22">
        <f t="shared" si="21"/>
        <v>54.255373701724068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23.6</v>
      </c>
      <c r="FE52" s="12">
        <f>IF('Données projet'!$A$218&gt;35,FE51+FD52-FM51,IF(A52&lt;'Données projet'!$A$218,$FB$205^A52,IF(A52='Données projet'!$A$218,'Données projet'!$B$218,FE51+FD52-FM51)))</f>
        <v>586.4</v>
      </c>
      <c r="FF52" s="17">
        <f>FE52*VLOOKUP('Données projet'!$B$16,Paramètres!$A$1:$I$89,3,0)*VLOOKUP('Données projet'!$B$16,Paramètres!$A$1:$I$89,5,0)</f>
        <v>266.81200000000001</v>
      </c>
      <c r="FG52" s="13">
        <f t="shared" si="47"/>
        <v>64.172228236685967</v>
      </c>
      <c r="FH52" s="20">
        <f t="shared" si="22"/>
        <v>576.464197512228</v>
      </c>
      <c r="FI52" s="59">
        <f t="shared" si="23"/>
        <v>869.79753084556137</v>
      </c>
      <c r="FJ52" s="59">
        <f ca="1">AVERAGE(OFFSET($FI$3,0,0,'Données projet'!$E$16+1,1))-AVERAGE(OFFSET($H$3,0,0,'Données projet'!$E$16+1,1))</f>
        <v>367.36535411813264</v>
      </c>
      <c r="FK52" s="59">
        <f t="shared" si="48"/>
        <v>293.19545174980556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55.456876120542837</v>
      </c>
      <c r="FR52" s="21">
        <f>EXP(-LN(2)/25)*FR51+(1-EXP(-LN(2)/25))/(LN(2)/25)*Calculateur!FM52*Calculateur!FO52*VLOOKUP('Données projet'!$B$16,Paramètres!$A$1:$I$89,3,0)*0.475*44/12</f>
        <v>25.566647283060423</v>
      </c>
      <c r="FS52" s="21">
        <f>EXP(-LN(2)/2)*FS51+(1-EXP(-LN(2)/2))/(LN(2)/2)*FM52*FP52*VLOOKUP('Données projet'!$B$16,Paramètres!$A$1:$I$89,3,0)*0.475*44/12</f>
        <v>1.0005170928058462E-3</v>
      </c>
      <c r="FT52" s="22">
        <f t="shared" si="24"/>
        <v>81.024523920696069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20.8</v>
      </c>
      <c r="FZ52" s="12">
        <f>IF('Données projet'!$A$244&gt;35,FZ51+FY52-GH51,IF(A52&lt;'Données projet'!$A$244,$FW$205^A52,IF(A52='Données projet'!$A$244,'Données projet'!$B$244,FZ51+FY52-GH51)))</f>
        <v>473.2</v>
      </c>
      <c r="GA52" s="17">
        <f>FZ52*VLOOKUP('Données projet'!$B$17,Paramètres!$A$1:$I$89,3,0)*VLOOKUP('Données projet'!$B$17,Paramètres!$A$1:$I$89,5,0)</f>
        <v>227.60920000000002</v>
      </c>
      <c r="GB52" s="13">
        <f t="shared" si="49"/>
        <v>55.765420717151656</v>
      </c>
      <c r="GC52" s="20">
        <f t="shared" si="25"/>
        <v>493.54413108237253</v>
      </c>
      <c r="GD52" s="59">
        <f t="shared" si="26"/>
        <v>786.87746441570584</v>
      </c>
      <c r="GE52" s="59">
        <f ca="1">AVERAGE(OFFSET($GD$3,0,0,'Données projet'!$E$17+1,1))-AVERAGE(OFFSET($H$3,0,0,'Données projet'!$E$17+1,1))</f>
        <v>312.64506496298173</v>
      </c>
      <c r="GF52" s="59">
        <f t="shared" si="50"/>
        <v>259.97532509897508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49.494389929755002</v>
      </c>
      <c r="GM52" s="21">
        <f>EXP(-LN(2)/25)*GM51+(1-EXP(-LN(2)/25))/(LN(2)/25)*Calculateur!GH52*Calculateur!GJ52*VLOOKUP('Données projet'!$B$17,Paramètres!$A$1:$I$89,3,0)*0.475*44/12</f>
        <v>11.559205759721324</v>
      </c>
      <c r="GN52" s="21">
        <f>EXP(-LN(2)/2)*GN51+(1-EXP(-LN(2)/2))/(LN(2)/2)*GH52*GK52*VLOOKUP('Données projet'!$B$17,Paramètres!$A$1:$I$89,3,0)*0.475*44/12</f>
        <v>5.3183958506858404E-3</v>
      </c>
      <c r="GO52" s="21">
        <f t="shared" si="27"/>
        <v>61.058914085327011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8.1999999999999993</v>
      </c>
      <c r="GU52" s="12">
        <f>IF('Données projet'!$A$270&gt;35,GU51+GT52-HC51,IF(A52&lt;'Données projet'!$A$270,$GR$205^A52,IF(A52='Données projet'!$A$270,'Données projet'!$B$270,GU51+GT52-HC51)))</f>
        <v>169.8</v>
      </c>
      <c r="GV52" s="17">
        <f>GU52*VLOOKUP('Données projet'!$B$18,Paramètres!$A$1:$I$89,3,0)*VLOOKUP('Données projet'!$B$18,Paramètres!$A$1:$I$89,5,0)</f>
        <v>172.1772</v>
      </c>
      <c r="GW52" s="13">
        <f t="shared" si="51"/>
        <v>43.577282221917017</v>
      </c>
      <c r="GX52" s="20">
        <f t="shared" si="28"/>
        <v>375.77238986983883</v>
      </c>
      <c r="GY52" s="59">
        <f t="shared" si="29"/>
        <v>669.10572320317215</v>
      </c>
      <c r="GZ52" s="59">
        <f ca="1">AVERAGE(OFFSET($GY$3,0,0,'Données projet'!$E$18+1,1))-AVERAGE(OFFSET($H$3,0,0,'Données projet'!$E$18+1,1))</f>
        <v>308.80022073574963</v>
      </c>
      <c r="HA52" s="59">
        <f t="shared" si="52"/>
        <v>183.96267407004115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25.492042970577138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25.492042970577138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344.49457749226184</v>
      </c>
      <c r="T53" s="59">
        <f t="shared" si="34"/>
        <v>207.92972431357452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120.99999999999996</v>
      </c>
      <c r="AJ53" s="13">
        <f>AI53*VLOOKUP('Données projet'!$B$10,Paramètres!$A$1:$I$89,3,0)*VLOOKUP('Données projet'!$B$10,Paramètres!$A$1:$I$89,5,0)</f>
        <v>109.48079999999995</v>
      </c>
      <c r="AK53" s="13">
        <f t="shared" si="35"/>
        <v>29.208623339903898</v>
      </c>
      <c r="AL53" s="20">
        <f t="shared" si="4"/>
        <v>241.55074565033252</v>
      </c>
      <c r="AM53" s="59">
        <f t="shared" si="5"/>
        <v>534.88407898366586</v>
      </c>
      <c r="AN53" s="59">
        <f ca="1">AVERAGE(OFFSET($AM$3,0,0,'Données projet'!$E$10+1,1))-AVERAGE(OFFSET($H$3,0,0,'Données projet'!$E$10+1,1))</f>
        <v>183.0147113277086</v>
      </c>
      <c r="AO53" s="59">
        <f t="shared" si="36"/>
        <v>76.413905647258389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14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20.568950874919494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20.568950874919494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207.65160000000006</v>
      </c>
      <c r="BF53" s="13">
        <f t="shared" si="37"/>
        <v>51.422065813018108</v>
      </c>
      <c r="BG53" s="20">
        <f t="shared" si="7"/>
        <v>451.2199679576733</v>
      </c>
      <c r="BH53" s="59">
        <f t="shared" si="8"/>
        <v>744.55330129100662</v>
      </c>
      <c r="BI53" s="59">
        <f ca="1">AVERAGE(OFFSET($BH$3,0,0,'Données projet'!$E$11+1,1))-AVERAGE(OFFSET($H$3,0,0,'Données projet'!$E$11+1,1))</f>
        <v>279.49721661620544</v>
      </c>
      <c r="BJ53" s="59">
        <f t="shared" si="38"/>
        <v>275.18739333988754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44.495071759736859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44.495071759736859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225.2323446080772</v>
      </c>
      <c r="CE53" s="59">
        <f t="shared" si="40"/>
        <v>222.29030402759292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37.617259123246953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37.617259123246953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187.29359999999991</v>
      </c>
      <c r="CV53" s="13">
        <f t="shared" si="41"/>
        <v>46.941107550760421</v>
      </c>
      <c r="CW53" s="20">
        <f t="shared" si="13"/>
        <v>407.95878231757428</v>
      </c>
      <c r="CX53" s="59">
        <f t="shared" si="14"/>
        <v>701.29211565090759</v>
      </c>
      <c r="CY53" s="59">
        <f ca="1">AVERAGE(OFFSET($CX$3,0,0,'Données projet'!$E$13+1,1))-AVERAGE(OFFSET($H$3,0,0,'Données projet'!$E$13+1,1))</f>
        <v>240.57184010337932</v>
      </c>
      <c r="CZ53" s="59">
        <f t="shared" si="42"/>
        <v>236.36473521227072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31.7915452523414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31.7915452523414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499</v>
      </c>
      <c r="DM53" s="12">
        <f>VLOOKUP(A53,'Données projet'!$A$165:$I$185,9,0)</f>
        <v>21</v>
      </c>
      <c r="DN53" s="12">
        <f t="array" ref="DN53">INDEX(DM:DM,MIN(IF(ISNUMBER(DM53:DM249),ROW(DM53:DM249),"")))</f>
        <v>21</v>
      </c>
      <c r="DO53" s="12">
        <f>IF('Données projet'!$A$166&gt;35,DO52+DN53-DW52,IF(A53&lt;'Données projet'!$A$166,$DL$205^A53,IF(A53='Données projet'!$A$166,'Données projet'!$B$166,DO52+DN53-DW52)))</f>
        <v>498.99999999999966</v>
      </c>
      <c r="DP53" s="17">
        <f>DO53*VLOOKUP('Données projet'!$B$14,Paramètres!$A$1:$I$89,3,0)*VLOOKUP('Données projet'!$B$14,Paramètres!$A$1:$I$89,5,0)</f>
        <v>233.53199999999984</v>
      </c>
      <c r="DQ53" s="13">
        <f t="shared" si="43"/>
        <v>57.04570382109803</v>
      </c>
      <c r="DR53" s="20">
        <f t="shared" si="16"/>
        <v>506.0895008217455</v>
      </c>
      <c r="DS53" s="59">
        <f t="shared" si="17"/>
        <v>799.42283415507882</v>
      </c>
      <c r="DT53" s="59">
        <f ca="1">AVERAGE(OFFSET($DS$3,0,0,'Données projet'!$E$14+1,1))-AVERAGE(OFFSET($H$3,0,0,'Données projet'!$E$14+1,1))</f>
        <v>304.29617570272939</v>
      </c>
      <c r="DU53" s="59">
        <f t="shared" si="44"/>
        <v>246.20695736161576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0.55000000000000004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52.126693815200966</v>
      </c>
      <c r="EB53" s="21">
        <f>EXP(-LN(2)/25)*EB52+(1-EXP(-LN(2)/25))/(LN(2)/25)*Calculateur!DW53*Calculateur!DY53*VLOOKUP('Données projet'!$B$14,Paramètres!$A$1:$I$89,3,0)*0.475*44/12</f>
        <v>23.505149765205239</v>
      </c>
      <c r="EC53" s="21">
        <f>EXP(-LN(2)/2)*EC52+(1-EXP(-LN(2)/2))/(LN(2)/2)*DW53*DZ53*VLOOKUP('Données projet'!$B$14,Paramètres!$A$1:$I$89,3,0)*0.475*44/12</f>
        <v>3.8419856363744562E-3</v>
      </c>
      <c r="ED53" s="22">
        <f t="shared" si="18"/>
        <v>75.635685566042582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359</v>
      </c>
      <c r="EH53" s="12">
        <f>VLOOKUP(A53,'Données projet'!$A$191:$I$211,9,0)</f>
        <v>14.4</v>
      </c>
      <c r="EI53" s="12">
        <f t="array" ref="EI53">INDEX(EH:EH,MIN(IF(ISNUMBER(EH53:EH249),ROW(EH53:EH249),"")))</f>
        <v>14.4</v>
      </c>
      <c r="EJ53" s="12">
        <f>IF('Données projet'!$A$192&gt;35,EJ52+EI53-ER52,IF(A53&lt;'Données projet'!$A$192,$EG$205^A53,IF(A53='Données projet'!$A$192,'Données projet'!$B$192,EJ52+EI53-ER52)))</f>
        <v>358.99999999999972</v>
      </c>
      <c r="EK53" s="17">
        <f>EJ53*VLOOKUP('Données projet'!$B$15,Paramètres!$A$1:$I$89,3,0)*VLOOKUP('Données projet'!$B$15,Paramètres!$A$1:$I$89,5,0)</f>
        <v>214.68199999999985</v>
      </c>
      <c r="EL53" s="13">
        <f t="shared" si="45"/>
        <v>52.957403780225071</v>
      </c>
      <c r="EM53" s="20">
        <f t="shared" si="19"/>
        <v>466.13862825055838</v>
      </c>
      <c r="EN53" s="59">
        <f t="shared" si="20"/>
        <v>759.4719615838917</v>
      </c>
      <c r="EO53" s="59">
        <f ca="1">AVERAGE(OFFSET($EN$3,0,0,'Données projet'!$E$15+1,1))-AVERAGE(OFFSET($H$3,0,0,'Données projet'!$E$15+1,1))</f>
        <v>288.41846134875794</v>
      </c>
      <c r="EP53" s="59">
        <f t="shared" si="46"/>
        <v>248.93951719818972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40</v>
      </c>
      <c r="ES53" s="16">
        <f>IF(ISNA(VLOOKUP(A53,'Données projet'!$A$191:$I$211,5,0)),0%,VLOOKUP(A53,'Données projet'!$A$191:$I$211,5,0)*VLOOKUP('Données projet'!$B$15,Paramètres!$A$1:$I$89,7,0))</f>
        <v>0.45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51.2979378534693</v>
      </c>
      <c r="EW53" s="21">
        <f>EXP(-LN(2)/25)*EW52+(1-EXP(-LN(2)/25))/(LN(2)/25)*Calculateur!ER53*Calculateur!ET53*VLOOKUP('Données projet'!$B$15,Paramètres!$A$1:$I$89,3,0)*0.475*44/12</f>
        <v>16.044398572996407</v>
      </c>
      <c r="EX53" s="21">
        <f>EXP(-LN(2)/2)*EX52+(1-EXP(-LN(2)/2))/(LN(2)/2)*ER53*EU53*VLOOKUP('Données projet'!$B$15,Paramètres!$A$1:$I$89,3,0)*0.475*44/12</f>
        <v>4.7524179138730004E-4</v>
      </c>
      <c r="EY53" s="22">
        <f t="shared" si="21"/>
        <v>67.342811668257099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610</v>
      </c>
      <c r="FC53" s="12">
        <f>VLOOKUP(A53,'Données projet'!$A$217:$I$237,9,0)</f>
        <v>23.6</v>
      </c>
      <c r="FD53" s="12">
        <f t="array" ref="FD53">INDEX(FC:FC,MIN(IF(ISNUMBER(FC53:FC249),ROW(FC53:FC249),"")))</f>
        <v>23.6</v>
      </c>
      <c r="FE53" s="12">
        <f>IF('Données projet'!$A$218&gt;35,FE52+FD53-FM52,IF(A53&lt;'Données projet'!$A$218,$FB$205^A53,IF(A53='Données projet'!$A$218,'Données projet'!$B$218,FE52+FD53-FM52)))</f>
        <v>610</v>
      </c>
      <c r="FF53" s="17">
        <f>FE53*VLOOKUP('Données projet'!$B$16,Paramètres!$A$1:$I$89,3,0)*VLOOKUP('Données projet'!$B$16,Paramètres!$A$1:$I$89,5,0)</f>
        <v>277.55</v>
      </c>
      <c r="FG53" s="13">
        <f t="shared" si="47"/>
        <v>66.448988922451349</v>
      </c>
      <c r="FH53" s="20">
        <f t="shared" si="22"/>
        <v>599.13157237326948</v>
      </c>
      <c r="FI53" s="59">
        <f t="shared" si="23"/>
        <v>892.46490570660285</v>
      </c>
      <c r="FJ53" s="59">
        <f ca="1">AVERAGE(OFFSET($FI$3,0,0,'Données projet'!$E$16+1,1))-AVERAGE(OFFSET($H$3,0,0,'Données projet'!$E$16+1,1))</f>
        <v>367.36535411813264</v>
      </c>
      <c r="FK53" s="59">
        <f t="shared" si="48"/>
        <v>293.19545174980556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51</v>
      </c>
      <c r="FN53" s="16">
        <f>IF(ISNA(VLOOKUP(A53,'Données projet'!$A$217:$I$237,5,0)),0%,VLOOKUP(A53,'Données projet'!$A$217:$I$237,5,0)*VLOOKUP('Données projet'!$B$16,Paramètres!$A$1:$I$89,7,0))</f>
        <v>0.55000000000000004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71.30001110883444</v>
      </c>
      <c r="FR53" s="21">
        <f>EXP(-LN(2)/25)*FR52+(1-EXP(-LN(2)/25))/(LN(2)/25)*Calculateur!FM53*Calculateur!FO53*VLOOKUP('Données projet'!$B$16,Paramètres!$A$1:$I$89,3,0)*0.475*44/12</f>
        <v>24.867525968613588</v>
      </c>
      <c r="FS53" s="21">
        <f>EXP(-LN(2)/2)*FS52+(1-EXP(-LN(2)/2))/(LN(2)/2)*FM53*FP53*VLOOKUP('Données projet'!$B$16,Paramètres!$A$1:$I$89,3,0)*0.475*44/12</f>
        <v>7.0747242101606414E-4</v>
      </c>
      <c r="FT53" s="22">
        <f t="shared" si="24"/>
        <v>96.168244549869044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494</v>
      </c>
      <c r="FX53" s="12">
        <f>VLOOKUP(A53,'Données projet'!$A$243:$I$263,9,0)</f>
        <v>20.8</v>
      </c>
      <c r="FY53" s="12">
        <f t="array" ref="FY53">INDEX(FX:FX,MIN(IF(ISNUMBER(FX53:FX249),ROW(FX53:FX249),"")))</f>
        <v>20.8</v>
      </c>
      <c r="FZ53" s="12">
        <f>IF('Données projet'!$A$244&gt;35,FZ52+FY53-GH52,IF(A53&lt;'Données projet'!$A$244,$FW$205^A53,IF(A53='Données projet'!$A$244,'Données projet'!$B$244,FZ52+FY53-GH52)))</f>
        <v>494</v>
      </c>
      <c r="GA53" s="17">
        <f>FZ53*VLOOKUP('Données projet'!$B$17,Paramètres!$A$1:$I$89,3,0)*VLOOKUP('Données projet'!$B$17,Paramètres!$A$1:$I$89,5,0)</f>
        <v>237.614</v>
      </c>
      <c r="GB53" s="13">
        <f t="shared" si="49"/>
        <v>57.92587282196115</v>
      </c>
      <c r="GC53" s="20">
        <f t="shared" si="25"/>
        <v>514.7319451649156</v>
      </c>
      <c r="GD53" s="59">
        <f t="shared" si="26"/>
        <v>808.06527849824897</v>
      </c>
      <c r="GE53" s="59">
        <f ca="1">AVERAGE(OFFSET($GD$3,0,0,'Données projet'!$E$17+1,1))-AVERAGE(OFFSET($H$3,0,0,'Données projet'!$E$17+1,1))</f>
        <v>312.64506496298173</v>
      </c>
      <c r="GF53" s="59">
        <f t="shared" si="50"/>
        <v>259.97532509897508</v>
      </c>
      <c r="GG53" s="15">
        <f>IF(ISNA(VLOOKUP(A53,'Données projet'!$A$243:$I$263,3,0)),0,VLOOKUP(A53,'Données projet'!$A$243:$I$263,3,0))</f>
        <v>6</v>
      </c>
      <c r="GH53" s="15">
        <f>IF(ISNA(VLOOKUP(A53,'Données projet'!$A$243:$I$263,4,0)),0,VLOOKUP(A53,'Données projet'!$A$243:$I$263,4,0))</f>
        <v>56</v>
      </c>
      <c r="GI53" s="16">
        <f>IF(ISNA(VLOOKUP(A53,'Données projet'!$A$243:$I$263,5,0)),0%,VLOOKUP(A53,'Données projet'!$A$243:$I$263,5,0)*VLOOKUP('Données projet'!$B$17,Paramètres!$A$1:$I$89,7,0))</f>
        <v>0.55000000000000004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68.176622226275185</v>
      </c>
      <c r="GM53" s="21">
        <f>EXP(-LN(2)/25)*GM52+(1-EXP(-LN(2)/25))/(LN(2)/25)*Calculateur!GH53*Calculateur!GJ53*VLOOKUP('Données projet'!$B$17,Paramètres!$A$1:$I$89,3,0)*0.475*44/12</f>
        <v>11.243118670349533</v>
      </c>
      <c r="GN53" s="21">
        <f>EXP(-LN(2)/2)*GN52+(1-EXP(-LN(2)/2))/(LN(2)/2)*GH53*GK53*VLOOKUP('Données projet'!$B$17,Paramètres!$A$1:$I$89,3,0)*0.475*44/12</f>
        <v>3.7606737710543549E-3</v>
      </c>
      <c r="GO53" s="21">
        <f t="shared" si="27"/>
        <v>79.423501570395771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178</v>
      </c>
      <c r="GS53" s="12">
        <f>VLOOKUP(A53,'Données projet'!$A$269:$I$289,9,0)</f>
        <v>8.1999999999999993</v>
      </c>
      <c r="GT53" s="12">
        <f t="array" ref="GT53">INDEX(GS:GS,MIN(IF(ISNUMBER(GS53:GS249),ROW(GS53:GS249),"")))</f>
        <v>8.1999999999999993</v>
      </c>
      <c r="GU53" s="12">
        <f>IF('Données projet'!$A$270&gt;35,GU52+GT53-HC52,IF(A53&lt;'Données projet'!$A$270,$GR$205^A53,IF(A53='Données projet'!$A$270,'Données projet'!$B$270,GU52+GT53-HC52)))</f>
        <v>178</v>
      </c>
      <c r="GV53" s="17">
        <f>GU53*VLOOKUP('Données projet'!$B$18,Paramètres!$A$1:$I$89,3,0)*VLOOKUP('Données projet'!$B$18,Paramètres!$A$1:$I$89,5,0)</f>
        <v>180.49200000000002</v>
      </c>
      <c r="GW53" s="13">
        <f t="shared" si="51"/>
        <v>45.431629706642653</v>
      </c>
      <c r="GX53" s="20">
        <f t="shared" si="28"/>
        <v>393.4836550724026</v>
      </c>
      <c r="GY53" s="59">
        <f t="shared" si="29"/>
        <v>686.81698840573586</v>
      </c>
      <c r="GZ53" s="59">
        <f ca="1">AVERAGE(OFFSET($GY$3,0,0,'Données projet'!$E$18+1,1))-AVERAGE(OFFSET($H$3,0,0,'Données projet'!$E$18+1,1))</f>
        <v>308.80022073574963</v>
      </c>
      <c r="HA53" s="59">
        <f t="shared" si="52"/>
        <v>183.96267407004115</v>
      </c>
      <c r="HB53" s="15">
        <f>IF(ISNA(VLOOKUP(A53,'Données projet'!$A$269:$I$289,3,0)),0,VLOOKUP(A53,'Données projet'!$A$269:$I$289,3,0))</f>
        <v>6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0.43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35.11431064909813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35.11431064909813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344.49457749226184</v>
      </c>
      <c r="T54" s="59">
        <f t="shared" si="34"/>
        <v>207.92972431357452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112.59999999999995</v>
      </c>
      <c r="AJ54" s="13">
        <f>AI54*VLOOKUP('Données projet'!$B$10,Paramètres!$A$1:$I$89,3,0)*VLOOKUP('Données projet'!$B$10,Paramètres!$A$1:$I$89,5,0)</f>
        <v>101.88047999999995</v>
      </c>
      <c r="AK54" s="13">
        <f t="shared" si="35"/>
        <v>27.409509067425631</v>
      </c>
      <c r="AL54" s="20">
        <f t="shared" si="4"/>
        <v>225.18006429243289</v>
      </c>
      <c r="AM54" s="59">
        <f t="shared" si="5"/>
        <v>518.51339762576617</v>
      </c>
      <c r="AN54" s="59">
        <f ca="1">AVERAGE(OFFSET($AM$3,0,0,'Données projet'!$E$10+1,1))-AVERAGE(OFFSET($H$3,0,0,'Données projet'!$E$10+1,1))</f>
        <v>183.0147113277086</v>
      </c>
      <c r="AO54" s="59">
        <f t="shared" si="36"/>
        <v>76.413905647258389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20.16560629408356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20.16560629408356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198.42264000000003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279.49721661620544</v>
      </c>
      <c r="BJ54" s="59">
        <f t="shared" si="38"/>
        <v>275.18739333988754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43.622550541842408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43.622550541842408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225.2323446080772</v>
      </c>
      <c r="CE54" s="59">
        <f t="shared" si="40"/>
        <v>222.29030402759292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36.879607616102589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36.879607616102589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178.46711999999994</v>
      </c>
      <c r="CV54" s="13">
        <f t="shared" si="41"/>
        <v>44.98097904125423</v>
      </c>
      <c r="CW54" s="20">
        <f t="shared" si="13"/>
        <v>389.17210583018436</v>
      </c>
      <c r="CX54" s="59">
        <f t="shared" si="14"/>
        <v>682.50543916351762</v>
      </c>
      <c r="CY54" s="59">
        <f ca="1">AVERAGE(OFFSET($CX$3,0,0,'Données projet'!$E$13+1,1))-AVERAGE(OFFSET($H$3,0,0,'Données projet'!$E$13+1,1))</f>
        <v>240.57184010337932</v>
      </c>
      <c r="CZ54" s="59">
        <f t="shared" si="42"/>
        <v>236.36473521227072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31.168132440870895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31.168132440870895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19.8</v>
      </c>
      <c r="DO54" s="12">
        <f>IF('Données projet'!$A$166&gt;35,DO53+DN54-DW53,IF(A54&lt;'Données projet'!$A$166,$DL$205^A54,IF(A54='Données projet'!$A$166,'Données projet'!$B$166,DO53+DN54-DW53)))</f>
        <v>462.79999999999961</v>
      </c>
      <c r="DP54" s="17">
        <f>DO54*VLOOKUP('Données projet'!$B$14,Paramètres!$A$1:$I$89,3,0)*VLOOKUP('Données projet'!$B$14,Paramètres!$A$1:$I$89,5,0)</f>
        <v>216.59039999999982</v>
      </c>
      <c r="DQ54" s="13">
        <f t="shared" si="43"/>
        <v>53.373153688190904</v>
      </c>
      <c r="DR54" s="20">
        <f t="shared" si="16"/>
        <v>470.1865226735988</v>
      </c>
      <c r="DS54" s="59">
        <f t="shared" si="17"/>
        <v>763.51985600693206</v>
      </c>
      <c r="DT54" s="59">
        <f ca="1">AVERAGE(OFFSET($DS$3,0,0,'Données projet'!$E$14+1,1))-AVERAGE(OFFSET($H$3,0,0,'Données projet'!$E$14+1,1))</f>
        <v>304.29617570272939</v>
      </c>
      <c r="DU54" s="59">
        <f t="shared" si="44"/>
        <v>246.20695736161576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51.104521143628688</v>
      </c>
      <c r="EB54" s="21">
        <f>EXP(-LN(2)/25)*EB53+(1-EXP(-LN(2)/25))/(LN(2)/25)*Calculateur!DW54*Calculateur!DY54*VLOOKUP('Données projet'!$B$14,Paramètres!$A$1:$I$89,3,0)*0.475*44/12</f>
        <v>22.862400208793598</v>
      </c>
      <c r="EC54" s="21">
        <f>EXP(-LN(2)/2)*EC53+(1-EXP(-LN(2)/2))/(LN(2)/2)*DW54*DZ54*VLOOKUP('Données projet'!$B$14,Paramètres!$A$1:$I$89,3,0)*0.475*44/12</f>
        <v>2.7166940967016913E-3</v>
      </c>
      <c r="ED54" s="22">
        <f t="shared" si="18"/>
        <v>73.969638046518995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13.2</v>
      </c>
      <c r="EJ54" s="12">
        <f>IF('Données projet'!$A$192&gt;35,EJ53+EI54-ER53,IF(A54&lt;'Données projet'!$A$192,$EG$205^A54,IF(A54='Données projet'!$A$192,'Données projet'!$B$192,EJ53+EI54-ER53)))</f>
        <v>332.1999999999997</v>
      </c>
      <c r="EK54" s="17">
        <f>EJ54*VLOOKUP('Données projet'!$B$15,Paramètres!$A$1:$I$89,3,0)*VLOOKUP('Données projet'!$B$15,Paramètres!$A$1:$I$89,5,0)</f>
        <v>198.65559999999985</v>
      </c>
      <c r="EL54" s="13">
        <f t="shared" si="45"/>
        <v>49.448593416781478</v>
      </c>
      <c r="EM54" s="20">
        <f t="shared" si="19"/>
        <v>432.11480353422752</v>
      </c>
      <c r="EN54" s="59">
        <f t="shared" si="20"/>
        <v>725.44813686756083</v>
      </c>
      <c r="EO54" s="59">
        <f ca="1">AVERAGE(OFFSET($EN$3,0,0,'Données projet'!$E$15+1,1))-AVERAGE(OFFSET($H$3,0,0,'Données projet'!$E$15+1,1))</f>
        <v>288.41846134875794</v>
      </c>
      <c r="EP54" s="59">
        <f t="shared" si="46"/>
        <v>248.93951719818972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50.292016580815357</v>
      </c>
      <c r="EW54" s="21">
        <f>EXP(-LN(2)/25)*EW53+(1-EXP(-LN(2)/25))/(LN(2)/25)*Calculateur!ER54*Calculateur!ET54*VLOOKUP('Données projet'!$B$15,Paramètres!$A$1:$I$89,3,0)*0.475*44/12</f>
        <v>15.605663650279569</v>
      </c>
      <c r="EX54" s="21">
        <f>EXP(-LN(2)/2)*EX53+(1-EXP(-LN(2)/2))/(LN(2)/2)*ER54*EU54*VLOOKUP('Données projet'!$B$15,Paramètres!$A$1:$I$89,3,0)*0.475*44/12</f>
        <v>3.3604669339320245E-4</v>
      </c>
      <c r="EY54" s="22">
        <f t="shared" si="21"/>
        <v>65.898016277788315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21</v>
      </c>
      <c r="FE54" s="12">
        <f>IF('Données projet'!$A$218&gt;35,FE53+FD54-FM53,IF(A54&lt;'Données projet'!$A$218,$FB$205^A54,IF(A54='Données projet'!$A$218,'Données projet'!$B$218,FE53+FD54-FM53)))</f>
        <v>580</v>
      </c>
      <c r="FF54" s="17">
        <f>FE54*VLOOKUP('Données projet'!$B$16,Paramètres!$A$1:$I$89,3,0)*VLOOKUP('Données projet'!$B$16,Paramètres!$A$1:$I$89,5,0)</f>
        <v>263.90000000000003</v>
      </c>
      <c r="FG54" s="13">
        <f t="shared" si="47"/>
        <v>63.552978628392196</v>
      </c>
      <c r="FH54" s="20">
        <f t="shared" si="22"/>
        <v>570.31393777778305</v>
      </c>
      <c r="FI54" s="59">
        <f t="shared" si="23"/>
        <v>863.64727111111642</v>
      </c>
      <c r="FJ54" s="59">
        <f ca="1">AVERAGE(OFFSET($FI$3,0,0,'Données projet'!$E$16+1,1))-AVERAGE(OFFSET($H$3,0,0,'Données projet'!$E$16+1,1))</f>
        <v>367.36535411813264</v>
      </c>
      <c r="FK54" s="59">
        <f t="shared" si="48"/>
        <v>293.19545174980556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69.901861379702822</v>
      </c>
      <c r="FR54" s="21">
        <f>EXP(-LN(2)/25)*FR53+(1-EXP(-LN(2)/25))/(LN(2)/25)*Calculateur!FM54*Calculateur!FO54*VLOOKUP('Données projet'!$B$16,Paramètres!$A$1:$I$89,3,0)*0.475*44/12</f>
        <v>24.187522163275496</v>
      </c>
      <c r="FS54" s="21">
        <f>EXP(-LN(2)/2)*FS53+(1-EXP(-LN(2)/2))/(LN(2)/2)*FM54*FP54*VLOOKUP('Données projet'!$B$16,Paramètres!$A$1:$I$89,3,0)*0.475*44/12</f>
        <v>5.0025854640292308E-4</v>
      </c>
      <c r="FT54" s="22">
        <f t="shared" si="24"/>
        <v>94.089883801524721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19.8</v>
      </c>
      <c r="FZ54" s="12">
        <f>IF('Données projet'!$A$244&gt;35,FZ53+FY54-GH53,IF(A54&lt;'Données projet'!$A$244,$FW$205^A54,IF(A54='Données projet'!$A$244,'Données projet'!$B$244,FZ53+FY54-GH53)))</f>
        <v>457.79999999999995</v>
      </c>
      <c r="GA54" s="17">
        <f>FZ54*VLOOKUP('Données projet'!$B$17,Paramètres!$A$1:$I$89,3,0)*VLOOKUP('Données projet'!$B$17,Paramètres!$A$1:$I$89,5,0)</f>
        <v>220.20179999999996</v>
      </c>
      <c r="GB54" s="13">
        <f t="shared" si="49"/>
        <v>54.158743612849761</v>
      </c>
      <c r="GC54" s="20">
        <f t="shared" si="25"/>
        <v>477.84461345904657</v>
      </c>
      <c r="GD54" s="59">
        <f t="shared" si="26"/>
        <v>771.17794679237988</v>
      </c>
      <c r="GE54" s="59">
        <f ca="1">AVERAGE(OFFSET($GD$3,0,0,'Données projet'!$E$17+1,1))-AVERAGE(OFFSET($H$3,0,0,'Données projet'!$E$17+1,1))</f>
        <v>312.64506496298173</v>
      </c>
      <c r="GF54" s="59">
        <f t="shared" si="50"/>
        <v>259.97532509897508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66.839720248051449</v>
      </c>
      <c r="GM54" s="21">
        <f>EXP(-LN(2)/25)*GM53+(1-EXP(-LN(2)/25))/(LN(2)/25)*Calculateur!GH54*Calculateur!GJ54*VLOOKUP('Données projet'!$B$17,Paramètres!$A$1:$I$89,3,0)*0.475*44/12</f>
        <v>10.935674999058911</v>
      </c>
      <c r="GN54" s="21">
        <f>EXP(-LN(2)/2)*GN53+(1-EXP(-LN(2)/2))/(LN(2)/2)*GH54*GK54*VLOOKUP('Données projet'!$B$17,Paramètres!$A$1:$I$89,3,0)*0.475*44/12</f>
        <v>2.6591979253429202E-3</v>
      </c>
      <c r="GO54" s="21">
        <f t="shared" si="27"/>
        <v>77.778054445035707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</v>
      </c>
      <c r="GU54" s="12">
        <f>IF('Données projet'!$A$270&gt;35,GU53+GT54-HC53,IF(A54&lt;'Données projet'!$A$270,$GR$205^A54,IF(A54='Données projet'!$A$270,'Données projet'!$B$270,GU53+GT54-HC53)))</f>
        <v>165</v>
      </c>
      <c r="GV54" s="17">
        <f>GU54*VLOOKUP('Données projet'!$B$18,Paramètres!$A$1:$I$89,3,0)*VLOOKUP('Données projet'!$B$18,Paramètres!$A$1:$I$89,5,0)</f>
        <v>167.31</v>
      </c>
      <c r="GW54" s="13">
        <f t="shared" si="51"/>
        <v>42.486994942347515</v>
      </c>
      <c r="GX54" s="20">
        <f t="shared" si="28"/>
        <v>365.39643285792187</v>
      </c>
      <c r="GY54" s="59">
        <f t="shared" si="29"/>
        <v>658.72976619125518</v>
      </c>
      <c r="GZ54" s="59">
        <f ca="1">AVERAGE(OFFSET($GY$3,0,0,'Données projet'!$E$18+1,1))-AVERAGE(OFFSET($H$3,0,0,'Données projet'!$E$18+1,1))</f>
        <v>308.80022073574963</v>
      </c>
      <c r="HA54" s="59">
        <f t="shared" si="52"/>
        <v>183.96267407004115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34.425740434883998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34.425740434883998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344.49457749226184</v>
      </c>
      <c r="T55" s="59">
        <f t="shared" si="34"/>
        <v>207.92972431357452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118.19999999999995</v>
      </c>
      <c r="AJ55" s="13">
        <f>AI55*VLOOKUP('Données projet'!$B$10,Paramètres!$A$1:$I$89,3,0)*VLOOKUP('Données projet'!$B$10,Paramètres!$A$1:$I$89,5,0)</f>
        <v>106.94735999999996</v>
      </c>
      <c r="AK55" s="13">
        <f t="shared" si="35"/>
        <v>28.61058496425451</v>
      </c>
      <c r="AL55" s="20">
        <f t="shared" si="4"/>
        <v>236.09675414607651</v>
      </c>
      <c r="AM55" s="59">
        <f t="shared" si="5"/>
        <v>529.43008747940985</v>
      </c>
      <c r="AN55" s="59">
        <f ca="1">AVERAGE(OFFSET($AM$3,0,0,'Données projet'!$E$10+1,1))-AVERAGE(OFFSET($H$3,0,0,'Données projet'!$E$10+1,1))</f>
        <v>183.0147113277086</v>
      </c>
      <c r="AO55" s="59">
        <f t="shared" si="36"/>
        <v>76.413905647258389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19.770171054461915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19.770171054461915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204.31008000000003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279.49721661620544</v>
      </c>
      <c r="BJ55" s="59">
        <f t="shared" si="38"/>
        <v>275.18739333988754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42.767138932845469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42.767138932845469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225.2323446080772</v>
      </c>
      <c r="CE55" s="59">
        <f t="shared" si="40"/>
        <v>222.29030402759292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36.15642100509033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36.15642100509033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183.63383999999996</v>
      </c>
      <c r="CV55" s="13">
        <f t="shared" si="41"/>
        <v>46.12970578180645</v>
      </c>
      <c r="CW55" s="20">
        <f t="shared" si="13"/>
        <v>400.17150890331277</v>
      </c>
      <c r="CX55" s="59">
        <f t="shared" si="14"/>
        <v>693.50484223664603</v>
      </c>
      <c r="CY55" s="59">
        <f ca="1">AVERAGE(OFFSET($CX$3,0,0,'Données projet'!$E$13+1,1))-AVERAGE(OFFSET($H$3,0,0,'Données projet'!$E$13+1,1))</f>
        <v>240.57184010337932</v>
      </c>
      <c r="CZ55" s="59">
        <f t="shared" si="42"/>
        <v>236.36473521227072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30.556944374389058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30.556944374389058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19.8</v>
      </c>
      <c r="DO55" s="12">
        <f>IF('Données projet'!$A$166&gt;35,DO54+DN55-DW54,IF(A55&lt;'Données projet'!$A$166,$DL$205^A55,IF(A55='Données projet'!$A$166,'Données projet'!$B$166,DO54+DN55-DW54)))</f>
        <v>482.59999999999962</v>
      </c>
      <c r="DP55" s="17">
        <f>DO55*VLOOKUP('Données projet'!$B$14,Paramètres!$A$1:$I$89,3,0)*VLOOKUP('Données projet'!$B$14,Paramètres!$A$1:$I$89,5,0)</f>
        <v>225.85679999999982</v>
      </c>
      <c r="DQ55" s="13">
        <f t="shared" si="43"/>
        <v>55.385879241351994</v>
      </c>
      <c r="DR55" s="20">
        <f t="shared" si="16"/>
        <v>489.8309996786877</v>
      </c>
      <c r="DS55" s="59">
        <f t="shared" si="17"/>
        <v>783.16433301202096</v>
      </c>
      <c r="DT55" s="59">
        <f ca="1">AVERAGE(OFFSET($DS$3,0,0,'Données projet'!$E$14+1,1))-AVERAGE(OFFSET($H$3,0,0,'Données projet'!$E$14+1,1))</f>
        <v>304.29617570272939</v>
      </c>
      <c r="DU55" s="59">
        <f t="shared" si="44"/>
        <v>246.20695736161576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50.102392654682177</v>
      </c>
      <c r="EB55" s="21">
        <f>EXP(-LN(2)/25)*EB54+(1-EXP(-LN(2)/25))/(LN(2)/25)*Calculateur!DW55*Calculateur!DY55*VLOOKUP('Données projet'!$B$14,Paramètres!$A$1:$I$89,3,0)*0.475*44/12</f>
        <v>22.237226672802763</v>
      </c>
      <c r="EC55" s="21">
        <f>EXP(-LN(2)/2)*EC54+(1-EXP(-LN(2)/2))/(LN(2)/2)*DW55*DZ55*VLOOKUP('Données projet'!$B$14,Paramètres!$A$1:$I$89,3,0)*0.475*44/12</f>
        <v>1.9209928181872283E-3</v>
      </c>
      <c r="ED55" s="22">
        <f t="shared" si="18"/>
        <v>72.341540320303125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13.2</v>
      </c>
      <c r="EJ55" s="12">
        <f>IF('Données projet'!$A$192&gt;35,EJ54+EI55-ER54,IF(A55&lt;'Données projet'!$A$192,$EG$205^A55,IF(A55='Données projet'!$A$192,'Données projet'!$B$192,EJ54+EI55-ER54)))</f>
        <v>345.39999999999969</v>
      </c>
      <c r="EK55" s="17">
        <f>EJ55*VLOOKUP('Données projet'!$B$15,Paramètres!$A$1:$I$89,3,0)*VLOOKUP('Données projet'!$B$15,Paramètres!$A$1:$I$89,5,0)</f>
        <v>206.54919999999984</v>
      </c>
      <c r="EL55" s="13">
        <f t="shared" si="45"/>
        <v>51.180773446917371</v>
      </c>
      <c r="EM55" s="20">
        <f t="shared" si="19"/>
        <v>448.87970375338074</v>
      </c>
      <c r="EN55" s="59">
        <f t="shared" si="20"/>
        <v>742.21303708671405</v>
      </c>
      <c r="EO55" s="59">
        <f ca="1">AVERAGE(OFFSET($EN$3,0,0,'Données projet'!$E$15+1,1))-AVERAGE(OFFSET($H$3,0,0,'Données projet'!$E$15+1,1))</f>
        <v>288.41846134875794</v>
      </c>
      <c r="EP55" s="59">
        <f t="shared" si="46"/>
        <v>248.93951719818972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49.305820810766768</v>
      </c>
      <c r="EW55" s="21">
        <f>EXP(-LN(2)/25)*EW54+(1-EXP(-LN(2)/25))/(LN(2)/25)*Calculateur!ER55*Calculateur!ET55*VLOOKUP('Données projet'!$B$15,Paramètres!$A$1:$I$89,3,0)*0.475*44/12</f>
        <v>15.178925957096491</v>
      </c>
      <c r="EX55" s="21">
        <f>EXP(-LN(2)/2)*EX54+(1-EXP(-LN(2)/2))/(LN(2)/2)*ER55*EU55*VLOOKUP('Données projet'!$B$15,Paramètres!$A$1:$I$89,3,0)*0.475*44/12</f>
        <v>2.3762089569365005E-4</v>
      </c>
      <c r="EY55" s="22">
        <f t="shared" si="21"/>
        <v>64.484984388758946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21</v>
      </c>
      <c r="FE55" s="12">
        <f>IF('Données projet'!$A$218&gt;35,FE54+FD55-FM54,IF(A55&lt;'Données projet'!$A$218,$FB$205^A55,IF(A55='Données projet'!$A$218,'Données projet'!$B$218,FE54+FD55-FM54)))</f>
        <v>601</v>
      </c>
      <c r="FF55" s="17">
        <f>FE55*VLOOKUP('Données projet'!$B$16,Paramètres!$A$1:$I$89,3,0)*VLOOKUP('Données projet'!$B$16,Paramètres!$A$1:$I$89,5,0)</f>
        <v>273.45499999999998</v>
      </c>
      <c r="FG55" s="13">
        <f t="shared" si="47"/>
        <v>65.58196399401649</v>
      </c>
      <c r="FH55" s="20">
        <f t="shared" si="22"/>
        <v>590.48937895624522</v>
      </c>
      <c r="FI55" s="59">
        <f t="shared" si="23"/>
        <v>883.82271228957848</v>
      </c>
      <c r="FJ55" s="59">
        <f ca="1">AVERAGE(OFFSET($FI$3,0,0,'Données projet'!$E$16+1,1))-AVERAGE(OFFSET($H$3,0,0,'Données projet'!$E$16+1,1))</f>
        <v>367.36535411813264</v>
      </c>
      <c r="FK55" s="59">
        <f t="shared" si="48"/>
        <v>293.19545174980556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68.531128513972348</v>
      </c>
      <c r="FR55" s="21">
        <f>EXP(-LN(2)/25)*FR54+(1-EXP(-LN(2)/25))/(LN(2)/25)*Calculateur!FM55*Calculateur!FO55*VLOOKUP('Données projet'!$B$16,Paramètres!$A$1:$I$89,3,0)*0.475*44/12</f>
        <v>23.526113097754219</v>
      </c>
      <c r="FS55" s="21">
        <f>EXP(-LN(2)/2)*FS54+(1-EXP(-LN(2)/2))/(LN(2)/2)*FM55*FP55*VLOOKUP('Données projet'!$B$16,Paramètres!$A$1:$I$89,3,0)*0.475*44/12</f>
        <v>3.5373621050803207E-4</v>
      </c>
      <c r="FT55" s="22">
        <f t="shared" si="24"/>
        <v>92.057595347937081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19.8</v>
      </c>
      <c r="FZ55" s="12">
        <f>IF('Données projet'!$A$244&gt;35,FZ54+FY55-GH54,IF(A55&lt;'Données projet'!$A$244,$FW$205^A55,IF(A55='Données projet'!$A$244,'Données projet'!$B$244,FZ54+FY55-GH54)))</f>
        <v>477.59999999999997</v>
      </c>
      <c r="GA55" s="17">
        <f>FZ55*VLOOKUP('Données projet'!$B$17,Paramètres!$A$1:$I$89,3,0)*VLOOKUP('Données projet'!$B$17,Paramètres!$A$1:$I$89,5,0)</f>
        <v>229.72559999999999</v>
      </c>
      <c r="GB55" s="13">
        <f t="shared" si="49"/>
        <v>56.223345714133728</v>
      </c>
      <c r="GC55" s="20">
        <f t="shared" si="25"/>
        <v>498.02774711878288</v>
      </c>
      <c r="GD55" s="59">
        <f t="shared" si="26"/>
        <v>791.3610804521162</v>
      </c>
      <c r="GE55" s="59">
        <f ca="1">AVERAGE(OFFSET($GD$3,0,0,'Données projet'!$E$17+1,1))-AVERAGE(OFFSET($H$3,0,0,'Données projet'!$E$17+1,1))</f>
        <v>312.64506496298173</v>
      </c>
      <c r="GF55" s="59">
        <f t="shared" si="50"/>
        <v>259.97532509897508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65.529034102190991</v>
      </c>
      <c r="GM55" s="21">
        <f>EXP(-LN(2)/25)*GM54+(1-EXP(-LN(2)/25))/(LN(2)/25)*Calculateur!GH55*Calculateur!GJ55*VLOOKUP('Données projet'!$B$17,Paramètres!$A$1:$I$89,3,0)*0.475*44/12</f>
        <v>10.636638391127491</v>
      </c>
      <c r="GN55" s="21">
        <f>EXP(-LN(2)/2)*GN54+(1-EXP(-LN(2)/2))/(LN(2)/2)*GH55*GK55*VLOOKUP('Données projet'!$B$17,Paramètres!$A$1:$I$89,3,0)*0.475*44/12</f>
        <v>1.8803368855271774E-3</v>
      </c>
      <c r="GO55" s="21">
        <f t="shared" si="27"/>
        <v>76.167552830204002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</v>
      </c>
      <c r="GU55" s="12">
        <f>IF('Données projet'!$A$270&gt;35,GU54+GT55-HC54,IF(A55&lt;'Données projet'!$A$270,$GR$205^A55,IF(A55='Données projet'!$A$270,'Données projet'!$B$270,GU54+GT55-HC54)))</f>
        <v>173</v>
      </c>
      <c r="GV55" s="17">
        <f>GU55*VLOOKUP('Données projet'!$B$18,Paramètres!$A$1:$I$89,3,0)*VLOOKUP('Données projet'!$B$18,Paramètres!$A$1:$I$89,5,0)</f>
        <v>175.422</v>
      </c>
      <c r="GW55" s="13">
        <f t="shared" si="51"/>
        <v>44.302143412304737</v>
      </c>
      <c r="GX55" s="20">
        <f t="shared" si="28"/>
        <v>382.68621644309741</v>
      </c>
      <c r="GY55" s="59">
        <f t="shared" si="29"/>
        <v>676.01954977643072</v>
      </c>
      <c r="GZ55" s="59">
        <f ca="1">AVERAGE(OFFSET($GY$3,0,0,'Données projet'!$E$18+1,1))-AVERAGE(OFFSET($H$3,0,0,'Données projet'!$E$18+1,1))</f>
        <v>308.80022073574963</v>
      </c>
      <c r="HA55" s="59">
        <f t="shared" si="52"/>
        <v>183.96267407004115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33.750672662584243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33.750672662584243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344.49457749226184</v>
      </c>
      <c r="T56" s="59">
        <f t="shared" si="34"/>
        <v>207.92972431357452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123.79999999999994</v>
      </c>
      <c r="AJ56" s="13">
        <f>AI56*VLOOKUP('Données projet'!$B$10,Paramètres!$A$1:$I$89,3,0)*VLOOKUP('Données projet'!$B$10,Paramètres!$A$1:$I$89,5,0)</f>
        <v>112.01423999999994</v>
      </c>
      <c r="AK56" s="13">
        <f t="shared" si="35"/>
        <v>29.805052882814007</v>
      </c>
      <c r="AL56" s="20">
        <f t="shared" si="4"/>
        <v>247.00193510423426</v>
      </c>
      <c r="AM56" s="59">
        <f t="shared" si="5"/>
        <v>540.33526843756761</v>
      </c>
      <c r="AN56" s="59">
        <f ca="1">AVERAGE(OFFSET($AM$3,0,0,'Données projet'!$E$10+1,1))-AVERAGE(OFFSET($H$3,0,0,'Données projet'!$E$10+1,1))</f>
        <v>183.0147113277086</v>
      </c>
      <c r="AO56" s="59">
        <f t="shared" si="36"/>
        <v>76.413905647258389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19.38249005869757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19.38249005869757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210.19752</v>
      </c>
      <c r="BF56" s="13">
        <f t="shared" si="37"/>
        <v>51.978746425856599</v>
      </c>
      <c r="BG56" s="20">
        <f t="shared" si="7"/>
        <v>456.62366402503358</v>
      </c>
      <c r="BH56" s="59">
        <f t="shared" si="8"/>
        <v>749.95699735836683</v>
      </c>
      <c r="BI56" s="59">
        <f ca="1">AVERAGE(OFFSET($BH$3,0,0,'Données projet'!$E$11+1,1))-AVERAGE(OFFSET($H$3,0,0,'Données projet'!$E$11+1,1))</f>
        <v>279.49721661620544</v>
      </c>
      <c r="BJ56" s="59">
        <f t="shared" si="38"/>
        <v>275.18739333988754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41.928501423751399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41.928501423751399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225.2323446080772</v>
      </c>
      <c r="CE56" s="59">
        <f t="shared" si="40"/>
        <v>222.29030402759292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35.447415642419742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35.447415642419742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188.80055999999999</v>
      </c>
      <c r="CV56" s="13">
        <f t="shared" si="41"/>
        <v>47.274676038698416</v>
      </c>
      <c r="CW56" s="20">
        <f t="shared" si="13"/>
        <v>411.16436943406637</v>
      </c>
      <c r="CX56" s="59">
        <f t="shared" si="14"/>
        <v>704.49770276739969</v>
      </c>
      <c r="CY56" s="59">
        <f ca="1">AVERAGE(OFFSET($CX$3,0,0,'Données projet'!$E$13+1,1))-AVERAGE(OFFSET($H$3,0,0,'Données projet'!$E$13+1,1))</f>
        <v>240.57184010337932</v>
      </c>
      <c r="CZ56" s="59">
        <f t="shared" si="42"/>
        <v>236.36473521227072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29.957741333103019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29.957741333103019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19.8</v>
      </c>
      <c r="DO56" s="12">
        <f>IF('Données projet'!$A$166&gt;35,DO55+DN56-DW55,IF(A56&lt;'Données projet'!$A$166,$DL$205^A56,IF(A56='Données projet'!$A$166,'Données projet'!$B$166,DO55+DN56-DW55)))</f>
        <v>502.39999999999964</v>
      </c>
      <c r="DP56" s="17">
        <f>DO56*VLOOKUP('Données projet'!$B$14,Paramètres!$A$1:$I$89,3,0)*VLOOKUP('Données projet'!$B$14,Paramètres!$A$1:$I$89,5,0)</f>
        <v>235.12319999999983</v>
      </c>
      <c r="DQ56" s="13">
        <f t="shared" si="43"/>
        <v>57.389012831278478</v>
      </c>
      <c r="DR56" s="20">
        <f t="shared" si="16"/>
        <v>509.45877068114305</v>
      </c>
      <c r="DS56" s="59">
        <f t="shared" si="17"/>
        <v>802.79210401447631</v>
      </c>
      <c r="DT56" s="59">
        <f ca="1">AVERAGE(OFFSET($DS$3,0,0,'Données projet'!$E$14+1,1))-AVERAGE(OFFSET($H$3,0,0,'Données projet'!$E$14+1,1))</f>
        <v>304.29617570272939</v>
      </c>
      <c r="DU56" s="59">
        <f t="shared" si="44"/>
        <v>246.20695736161576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49.119915294165885</v>
      </c>
      <c r="EB56" s="21">
        <f>EXP(-LN(2)/25)*EB55+(1-EXP(-LN(2)/25))/(LN(2)/25)*Calculateur!DW56*Calculateur!DY56*VLOOKUP('Données projet'!$B$14,Paramètres!$A$1:$I$89,3,0)*0.475*44/12</f>
        <v>21.629148540030045</v>
      </c>
      <c r="EC56" s="21">
        <f>EXP(-LN(2)/2)*EC55+(1-EXP(-LN(2)/2))/(LN(2)/2)*DW56*DZ56*VLOOKUP('Données projet'!$B$14,Paramètres!$A$1:$I$89,3,0)*0.475*44/12</f>
        <v>1.3583470483508459E-3</v>
      </c>
      <c r="ED56" s="22">
        <f t="shared" si="18"/>
        <v>70.750422181244289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13.2</v>
      </c>
      <c r="EJ56" s="12">
        <f>IF('Données projet'!$A$192&gt;35,EJ55+EI56-ER55,IF(A56&lt;'Données projet'!$A$192,$EG$205^A56,IF(A56='Données projet'!$A$192,'Données projet'!$B$192,EJ55+EI56-ER55)))</f>
        <v>358.59999999999968</v>
      </c>
      <c r="EK56" s="17">
        <f>EJ56*VLOOKUP('Données projet'!$B$15,Paramètres!$A$1:$I$89,3,0)*VLOOKUP('Données projet'!$B$15,Paramètres!$A$1:$I$89,5,0)</f>
        <v>214.44279999999981</v>
      </c>
      <c r="EL56" s="13">
        <f t="shared" si="45"/>
        <v>52.905263170057076</v>
      </c>
      <c r="EM56" s="20">
        <f t="shared" si="19"/>
        <v>465.63121002118237</v>
      </c>
      <c r="EN56" s="59">
        <f t="shared" si="20"/>
        <v>758.96454335451563</v>
      </c>
      <c r="EO56" s="59">
        <f ca="1">AVERAGE(OFFSET($EN$3,0,0,'Données projet'!$E$15+1,1))-AVERAGE(OFFSET($H$3,0,0,'Données projet'!$E$15+1,1))</f>
        <v>288.41846134875794</v>
      </c>
      <c r="EP56" s="59">
        <f t="shared" si="46"/>
        <v>248.93951719818972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48.338963738248808</v>
      </c>
      <c r="EW56" s="21">
        <f>EXP(-LN(2)/25)*EW55+(1-EXP(-LN(2)/25))/(LN(2)/25)*Calculateur!ER56*Calculateur!ET56*VLOOKUP('Données projet'!$B$15,Paramètres!$A$1:$I$89,3,0)*0.475*44/12</f>
        <v>14.763857428574664</v>
      </c>
      <c r="EX56" s="21">
        <f>EXP(-LN(2)/2)*EX55+(1-EXP(-LN(2)/2))/(LN(2)/2)*ER56*EU56*VLOOKUP('Données projet'!$B$15,Paramètres!$A$1:$I$89,3,0)*0.475*44/12</f>
        <v>1.6802334669660125E-4</v>
      </c>
      <c r="EY56" s="22">
        <f t="shared" si="21"/>
        <v>63.10298919017017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21</v>
      </c>
      <c r="FE56" s="12">
        <f>IF('Données projet'!$A$218&gt;35,FE55+FD56-FM55,IF(A56&lt;'Données projet'!$A$218,$FB$205^A56,IF(A56='Données projet'!$A$218,'Données projet'!$B$218,FE55+FD56-FM55)))</f>
        <v>622</v>
      </c>
      <c r="FF56" s="17">
        <f>FE56*VLOOKUP('Données projet'!$B$16,Paramètres!$A$1:$I$89,3,0)*VLOOKUP('Données projet'!$B$16,Paramètres!$A$1:$I$89,5,0)</f>
        <v>283.01</v>
      </c>
      <c r="FG56" s="13">
        <f t="shared" si="47"/>
        <v>67.602712015777698</v>
      </c>
      <c r="FH56" s="20">
        <f t="shared" si="22"/>
        <v>610.65047342747937</v>
      </c>
      <c r="FI56" s="59">
        <f t="shared" si="23"/>
        <v>903.98380676081274</v>
      </c>
      <c r="FJ56" s="59">
        <f ca="1">AVERAGE(OFFSET($FI$3,0,0,'Données projet'!$E$16+1,1))-AVERAGE(OFFSET($H$3,0,0,'Données projet'!$E$16+1,1))</f>
        <v>367.36535411813264</v>
      </c>
      <c r="FK56" s="59">
        <f t="shared" si="48"/>
        <v>293.19545174980556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67.187274883674348</v>
      </c>
      <c r="FR56" s="21">
        <f>EXP(-LN(2)/25)*FR55+(1-EXP(-LN(2)/25))/(LN(2)/25)*Calculateur!FM56*Calculateur!FO56*VLOOKUP('Données projet'!$B$16,Paramètres!$A$1:$I$89,3,0)*0.475*44/12</f>
        <v>22.882790297911612</v>
      </c>
      <c r="FS56" s="21">
        <f>EXP(-LN(2)/2)*FS55+(1-EXP(-LN(2)/2))/(LN(2)/2)*FM56*FP56*VLOOKUP('Données projet'!$B$16,Paramètres!$A$1:$I$89,3,0)*0.475*44/12</f>
        <v>2.5012927320146154E-4</v>
      </c>
      <c r="FT56" s="22">
        <f t="shared" si="24"/>
        <v>90.070315310859158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19.8</v>
      </c>
      <c r="FZ56" s="12">
        <f>IF('Données projet'!$A$244&gt;35,FZ55+FY56-GH55,IF(A56&lt;'Données projet'!$A$244,$FW$205^A56,IF(A56='Données projet'!$A$244,'Données projet'!$B$244,FZ55+FY56-GH55)))</f>
        <v>497.4</v>
      </c>
      <c r="GA56" s="17">
        <f>FZ56*VLOOKUP('Données projet'!$B$17,Paramètres!$A$1:$I$89,3,0)*VLOOKUP('Données projet'!$B$17,Paramètres!$A$1:$I$89,5,0)</f>
        <v>239.24939999999998</v>
      </c>
      <c r="GB56" s="13">
        <f t="shared" si="49"/>
        <v>58.278005806033633</v>
      </c>
      <c r="GC56" s="20">
        <f t="shared" si="25"/>
        <v>518.19356511217518</v>
      </c>
      <c r="GD56" s="59">
        <f t="shared" si="26"/>
        <v>811.52689844550855</v>
      </c>
      <c r="GE56" s="59">
        <f ca="1">AVERAGE(OFFSET($GD$3,0,0,'Données projet'!$E$17+1,1))-AVERAGE(OFFSET($H$3,0,0,'Données projet'!$E$17+1,1))</f>
        <v>312.64506496298173</v>
      </c>
      <c r="GF56" s="59">
        <f t="shared" si="50"/>
        <v>259.97532509897508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64.244049712211236</v>
      </c>
      <c r="GM56" s="21">
        <f>EXP(-LN(2)/25)*GM55+(1-EXP(-LN(2)/25))/(LN(2)/25)*Calculateur!GH56*Calculateur!GJ56*VLOOKUP('Données projet'!$B$17,Paramètres!$A$1:$I$89,3,0)*0.475*44/12</f>
        <v>10.345778954965606</v>
      </c>
      <c r="GN56" s="21">
        <f>EXP(-LN(2)/2)*GN55+(1-EXP(-LN(2)/2))/(LN(2)/2)*GH56*GK56*VLOOKUP('Données projet'!$B$17,Paramètres!$A$1:$I$89,3,0)*0.475*44/12</f>
        <v>1.3295989626714601E-3</v>
      </c>
      <c r="GO56" s="21">
        <f t="shared" si="27"/>
        <v>74.591158266139516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</v>
      </c>
      <c r="GU56" s="12">
        <f>IF('Données projet'!$A$270&gt;35,GU55+GT56-HC55,IF(A56&lt;'Données projet'!$A$270,$GR$205^A56,IF(A56='Données projet'!$A$270,'Données projet'!$B$270,GU55+GT56-HC55)))</f>
        <v>181</v>
      </c>
      <c r="GV56" s="17">
        <f>GU56*VLOOKUP('Données projet'!$B$18,Paramètres!$A$1:$I$89,3,0)*VLOOKUP('Données projet'!$B$18,Paramètres!$A$1:$I$89,5,0)</f>
        <v>183.53400000000002</v>
      </c>
      <c r="GW56" s="13">
        <f t="shared" si="51"/>
        <v>46.107544136839593</v>
      </c>
      <c r="GX56" s="20">
        <f t="shared" si="28"/>
        <v>399.95902270499568</v>
      </c>
      <c r="GY56" s="59">
        <f t="shared" si="29"/>
        <v>693.29235603832899</v>
      </c>
      <c r="GZ56" s="59">
        <f ca="1">AVERAGE(OFFSET($GY$3,0,0,'Données projet'!$E$18+1,1))-AVERAGE(OFFSET($H$3,0,0,'Données projet'!$E$18+1,1))</f>
        <v>308.80022073574963</v>
      </c>
      <c r="HA56" s="59">
        <f t="shared" si="52"/>
        <v>183.96267407004115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33.088842557548602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33.088842557548602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344.49457749226184</v>
      </c>
      <c r="T57" s="59">
        <f t="shared" si="34"/>
        <v>207.92972431357452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129.39999999999995</v>
      </c>
      <c r="AJ57" s="13">
        <f>AI57*VLOOKUP('Données projet'!$B$10,Paramètres!$A$1:$I$89,3,0)*VLOOKUP('Données projet'!$B$10,Paramètres!$A$1:$I$89,5,0)</f>
        <v>117.08111999999994</v>
      </c>
      <c r="AK57" s="13">
        <f t="shared" si="35"/>
        <v>30.993245877902066</v>
      </c>
      <c r="AL57" s="20">
        <f t="shared" si="4"/>
        <v>257.896187237346</v>
      </c>
      <c r="AM57" s="59">
        <f t="shared" si="5"/>
        <v>551.22952057067937</v>
      </c>
      <c r="AN57" s="59">
        <f ca="1">AVERAGE(OFFSET($AM$3,0,0,'Données projet'!$E$10+1,1))-AVERAGE(OFFSET($H$3,0,0,'Données projet'!$E$10+1,1))</f>
        <v>183.0147113277086</v>
      </c>
      <c r="AO57" s="59">
        <f t="shared" si="36"/>
        <v>76.413905647258389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19.002411250798104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19.002411250798104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216.08496</v>
      </c>
      <c r="BF57" s="13">
        <f t="shared" si="37"/>
        <v>53.26308393083157</v>
      </c>
      <c r="BG57" s="20">
        <f t="shared" si="7"/>
        <v>469.11450984619825</v>
      </c>
      <c r="BH57" s="59">
        <f t="shared" si="8"/>
        <v>762.44784317953156</v>
      </c>
      <c r="BI57" s="59">
        <f ca="1">AVERAGE(OFFSET($BH$3,0,0,'Données projet'!$E$11+1,1))-AVERAGE(OFFSET($H$3,0,0,'Données projet'!$E$11+1,1))</f>
        <v>279.49721661620544</v>
      </c>
      <c r="BJ57" s="59">
        <f t="shared" si="38"/>
        <v>275.18739333988754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41.106309084692292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41.106309084692292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225.2323446080772</v>
      </c>
      <c r="CE57" s="59">
        <f t="shared" si="40"/>
        <v>222.29030402759292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34.752313442460554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34.752313442460554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193.96727999999999</v>
      </c>
      <c r="CV57" s="13">
        <f t="shared" si="41"/>
        <v>48.41600442423902</v>
      </c>
      <c r="CW57" s="20">
        <f t="shared" si="13"/>
        <v>422.1508870388829</v>
      </c>
      <c r="CX57" s="59">
        <f t="shared" si="14"/>
        <v>715.48422037221621</v>
      </c>
      <c r="CY57" s="59">
        <f ca="1">AVERAGE(OFFSET($CX$3,0,0,'Données projet'!$E$13+1,1))-AVERAGE(OFFSET($H$3,0,0,'Données projet'!$E$13+1,1))</f>
        <v>240.57184010337932</v>
      </c>
      <c r="CZ57" s="59">
        <f t="shared" si="42"/>
        <v>236.36473521227072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29.370288297978831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29.370288297978831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19.8</v>
      </c>
      <c r="DO57" s="12">
        <f>IF('Données projet'!$A$166&gt;35,DO56+DN57-DW56,IF(A57&lt;'Données projet'!$A$166,$DL$205^A57,IF(A57='Données projet'!$A$166,'Données projet'!$B$166,DO56+DN57-DW56)))</f>
        <v>522.19999999999959</v>
      </c>
      <c r="DP57" s="17">
        <f>DO57*VLOOKUP('Données projet'!$B$14,Paramètres!$A$1:$I$89,3,0)*VLOOKUP('Données projet'!$B$14,Paramètres!$A$1:$I$89,5,0)</f>
        <v>244.3895999999998</v>
      </c>
      <c r="DQ57" s="13">
        <f t="shared" si="43"/>
        <v>59.382975743194187</v>
      </c>
      <c r="DR57" s="20">
        <f t="shared" si="16"/>
        <v>529.07056941939629</v>
      </c>
      <c r="DS57" s="59">
        <f t="shared" si="17"/>
        <v>822.40390275272966</v>
      </c>
      <c r="DT57" s="59">
        <f ca="1">AVERAGE(OFFSET($DS$3,0,0,'Données projet'!$E$14+1,1))-AVERAGE(OFFSET($H$3,0,0,'Données projet'!$E$14+1,1))</f>
        <v>304.29617570272939</v>
      </c>
      <c r="DU57" s="59">
        <f t="shared" si="44"/>
        <v>246.20695736161576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48.156703715437295</v>
      </c>
      <c r="EB57" s="21">
        <f>EXP(-LN(2)/25)*EB56+(1-EXP(-LN(2)/25))/(LN(2)/25)*Calculateur!DW57*Calculateur!DY57*VLOOKUP('Données projet'!$B$14,Paramètres!$A$1:$I$89,3,0)*0.475*44/12</f>
        <v>21.037698335775435</v>
      </c>
      <c r="EC57" s="21">
        <f>EXP(-LN(2)/2)*EC56+(1-EXP(-LN(2)/2))/(LN(2)/2)*DW57*DZ57*VLOOKUP('Données projet'!$B$14,Paramètres!$A$1:$I$89,3,0)*0.475*44/12</f>
        <v>9.6049640909361437E-4</v>
      </c>
      <c r="ED57" s="22">
        <f t="shared" si="18"/>
        <v>69.195362547621826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13.2</v>
      </c>
      <c r="EJ57" s="12">
        <f>IF('Données projet'!$A$192&gt;35,EJ56+EI57-ER56,IF(A57&lt;'Données projet'!$A$192,$EG$205^A57,IF(A57='Données projet'!$A$192,'Données projet'!$B$192,EJ56+EI57-ER56)))</f>
        <v>371.79999999999967</v>
      </c>
      <c r="EK57" s="17">
        <f>EJ57*VLOOKUP('Données projet'!$B$15,Paramètres!$A$1:$I$89,3,0)*VLOOKUP('Données projet'!$B$15,Paramètres!$A$1:$I$89,5,0)</f>
        <v>222.3363999999998</v>
      </c>
      <c r="EL57" s="13">
        <f t="shared" si="45"/>
        <v>54.622378084246307</v>
      </c>
      <c r="EM57" s="20">
        <f t="shared" si="19"/>
        <v>482.36987183006198</v>
      </c>
      <c r="EN57" s="59">
        <f t="shared" si="20"/>
        <v>775.7032051633953</v>
      </c>
      <c r="EO57" s="59">
        <f ca="1">AVERAGE(OFFSET($EN$3,0,0,'Données projet'!$E$15+1,1))-AVERAGE(OFFSET($H$3,0,0,'Données projet'!$E$15+1,1))</f>
        <v>288.41846134875794</v>
      </c>
      <c r="EP57" s="59">
        <f t="shared" si="46"/>
        <v>248.93951719818972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47.391066143198337</v>
      </c>
      <c r="EW57" s="21">
        <f>EXP(-LN(2)/25)*EW56+(1-EXP(-LN(2)/25))/(LN(2)/25)*Calculateur!ER57*Calculateur!ET57*VLOOKUP('Données projet'!$B$15,Paramètres!$A$1:$I$89,3,0)*0.475*44/12</f>
        <v>14.36013897079277</v>
      </c>
      <c r="EX57" s="21">
        <f>EXP(-LN(2)/2)*EX56+(1-EXP(-LN(2)/2))/(LN(2)/2)*ER57*EU57*VLOOKUP('Données projet'!$B$15,Paramètres!$A$1:$I$89,3,0)*0.475*44/12</f>
        <v>1.1881044784682504E-4</v>
      </c>
      <c r="EY57" s="22">
        <f t="shared" si="21"/>
        <v>61.75132392443895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21</v>
      </c>
      <c r="FE57" s="12">
        <f>IF('Données projet'!$A$218&gt;35,FE56+FD57-FM56,IF(A57&lt;'Données projet'!$A$218,$FB$205^A57,IF(A57='Données projet'!$A$218,'Données projet'!$B$218,FE56+FD57-FM56)))</f>
        <v>643</v>
      </c>
      <c r="FF57" s="17">
        <f>FE57*VLOOKUP('Données projet'!$B$16,Paramètres!$A$1:$I$89,3,0)*VLOOKUP('Données projet'!$B$16,Paramètres!$A$1:$I$89,5,0)</f>
        <v>292.565</v>
      </c>
      <c r="FG57" s="13">
        <f t="shared" si="47"/>
        <v>69.615532685684016</v>
      </c>
      <c r="FH57" s="20">
        <f t="shared" si="22"/>
        <v>630.79776109423301</v>
      </c>
      <c r="FI57" s="59">
        <f t="shared" si="23"/>
        <v>924.13109442756627</v>
      </c>
      <c r="FJ57" s="59">
        <f ca="1">AVERAGE(OFFSET($FI$3,0,0,'Données projet'!$E$16+1,1))-AVERAGE(OFFSET($H$3,0,0,'Données projet'!$E$16+1,1))</f>
        <v>367.36535411813264</v>
      </c>
      <c r="FK57" s="59">
        <f t="shared" si="48"/>
        <v>293.19545174980556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65.869773403396721</v>
      </c>
      <c r="FR57" s="21">
        <f>EXP(-LN(2)/25)*FR56+(1-EXP(-LN(2)/25))/(LN(2)/25)*Calculateur!FM57*Calculateur!FO57*VLOOKUP('Données projet'!$B$16,Paramètres!$A$1:$I$89,3,0)*0.475*44/12</f>
        <v>22.257059193861576</v>
      </c>
      <c r="FS57" s="21">
        <f>EXP(-LN(2)/2)*FS56+(1-EXP(-LN(2)/2))/(LN(2)/2)*FM57*FP57*VLOOKUP('Données projet'!$B$16,Paramètres!$A$1:$I$89,3,0)*0.475*44/12</f>
        <v>1.7686810525401603E-4</v>
      </c>
      <c r="FT57" s="22">
        <f t="shared" si="24"/>
        <v>88.127009465363557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19.8</v>
      </c>
      <c r="FZ57" s="12">
        <f>IF('Données projet'!$A$244&gt;35,FZ56+FY57-GH56,IF(A57&lt;'Données projet'!$A$244,$FW$205^A57,IF(A57='Données projet'!$A$244,'Données projet'!$B$244,FZ56+FY57-GH56)))</f>
        <v>517.19999999999993</v>
      </c>
      <c r="GA57" s="17">
        <f>FZ57*VLOOKUP('Données projet'!$B$17,Paramètres!$A$1:$I$89,3,0)*VLOOKUP('Données projet'!$B$17,Paramètres!$A$1:$I$89,5,0)</f>
        <v>248.77319999999997</v>
      </c>
      <c r="GB57" s="13">
        <f t="shared" si="49"/>
        <v>60.323164932034068</v>
      </c>
      <c r="GC57" s="20">
        <f t="shared" si="25"/>
        <v>538.34283558995924</v>
      </c>
      <c r="GD57" s="59">
        <f t="shared" si="26"/>
        <v>831.67616892329261</v>
      </c>
      <c r="GE57" s="59">
        <f ca="1">AVERAGE(OFFSET($GD$3,0,0,'Données projet'!$E$17+1,1))-AVERAGE(OFFSET($H$3,0,0,'Données projet'!$E$17+1,1))</f>
        <v>312.64506496298173</v>
      </c>
      <c r="GF57" s="59">
        <f t="shared" si="50"/>
        <v>259.97532509897508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62.984263082355902</v>
      </c>
      <c r="GM57" s="21">
        <f>EXP(-LN(2)/25)*GM56+(1-EXP(-LN(2)/25))/(LN(2)/25)*Calculateur!GH57*Calculateur!GJ57*VLOOKUP('Données projet'!$B$17,Paramètres!$A$1:$I$89,3,0)*0.475*44/12</f>
        <v>10.062873085381202</v>
      </c>
      <c r="GN57" s="21">
        <f>EXP(-LN(2)/2)*GN56+(1-EXP(-LN(2)/2))/(LN(2)/2)*GH57*GK57*VLOOKUP('Données projet'!$B$17,Paramètres!$A$1:$I$89,3,0)*0.475*44/12</f>
        <v>9.4016844276358872E-4</v>
      </c>
      <c r="GO57" s="21">
        <f t="shared" si="27"/>
        <v>73.048076336179875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</v>
      </c>
      <c r="GU57" s="12">
        <f>IF('Données projet'!$A$270&gt;35,GU56+GT57-HC56,IF(A57&lt;'Données projet'!$A$270,$GR$205^A57,IF(A57='Données projet'!$A$270,'Données projet'!$B$270,GU56+GT57-HC56)))</f>
        <v>189</v>
      </c>
      <c r="GV57" s="17">
        <f>GU57*VLOOKUP('Données projet'!$B$18,Paramètres!$A$1:$I$89,3,0)*VLOOKUP('Données projet'!$B$18,Paramètres!$A$1:$I$89,5,0)</f>
        <v>191.64600000000002</v>
      </c>
      <c r="GW57" s="13">
        <f t="shared" si="51"/>
        <v>47.903677189291635</v>
      </c>
      <c r="GX57" s="20">
        <f t="shared" si="28"/>
        <v>417.21568777134962</v>
      </c>
      <c r="GY57" s="59">
        <f t="shared" si="29"/>
        <v>710.54902110468288</v>
      </c>
      <c r="GZ57" s="59">
        <f ca="1">AVERAGE(OFFSET($GY$3,0,0,'Données projet'!$E$18+1,1))-AVERAGE(OFFSET($H$3,0,0,'Données projet'!$E$18+1,1))</f>
        <v>308.80022073574963</v>
      </c>
      <c r="HA57" s="59">
        <f t="shared" si="52"/>
        <v>183.96267407004115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32.439990537196209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32.439990537196209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344.49457749226184</v>
      </c>
      <c r="T58" s="59">
        <f t="shared" si="34"/>
        <v>207.92972431357452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135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134.99999999999994</v>
      </c>
      <c r="AJ58" s="13">
        <f>AI58*VLOOKUP('Données projet'!$B$10,Paramètres!$A$1:$I$89,3,0)*VLOOKUP('Données projet'!$B$10,Paramètres!$A$1:$I$89,5,0)</f>
        <v>122.14799999999995</v>
      </c>
      <c r="AK58" s="13">
        <f t="shared" si="35"/>
        <v>32.175466547071615</v>
      </c>
      <c r="AL58" s="20">
        <f t="shared" si="4"/>
        <v>268.780037569483</v>
      </c>
      <c r="AM58" s="59">
        <f t="shared" si="5"/>
        <v>562.11337090281631</v>
      </c>
      <c r="AN58" s="59">
        <f ca="1">AVERAGE(OFFSET($AM$3,0,0,'Données projet'!$E$10+1,1))-AVERAGE(OFFSET($H$3,0,0,'Données projet'!$E$10+1,1))</f>
        <v>183.0147113277086</v>
      </c>
      <c r="AO58" s="59">
        <f t="shared" si="36"/>
        <v>76.413905647258389</v>
      </c>
      <c r="AP58" s="15">
        <f>IF(ISNA(VLOOKUP(A58,'Données projet'!$A$61:$I$81,3,0)),0,VLOOKUP(A58,'Données projet'!$A$61:$I$81,3,0))</f>
        <v>5</v>
      </c>
      <c r="AQ58" s="15">
        <f>IF(ISNA(VLOOKUP(A58,'Données projet'!$A$61:$I$81,4,0)),0,VLOOKUP(A58,'Données projet'!$A$61:$I$81,4,0))</f>
        <v>14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24.651167744892874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24.651167744892874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221.97239999999996</v>
      </c>
      <c r="BF58" s="13">
        <f t="shared" si="37"/>
        <v>54.543354171476821</v>
      </c>
      <c r="BG58" s="20">
        <f t="shared" si="7"/>
        <v>481.59827184865543</v>
      </c>
      <c r="BH58" s="59">
        <f t="shared" si="8"/>
        <v>774.93160518198874</v>
      </c>
      <c r="BI58" s="59">
        <f ca="1">AVERAGE(OFFSET($BH$3,0,0,'Données projet'!$E$11+1,1))-AVERAGE(OFFSET($H$3,0,0,'Données projet'!$E$11+1,1))</f>
        <v>279.49721661620544</v>
      </c>
      <c r="BJ58" s="59">
        <f t="shared" si="38"/>
        <v>275.18739333988754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47.758503179864732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47.758503179864732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225.2323446080772</v>
      </c>
      <c r="CE58" s="59">
        <f t="shared" si="40"/>
        <v>222.29030402759292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40.130681064631787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40.130681064631787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199.13399999999999</v>
      </c>
      <c r="CV58" s="13">
        <f t="shared" si="41"/>
        <v>49.553799097205186</v>
      </c>
      <c r="CW58" s="20">
        <f t="shared" si="13"/>
        <v>433.13125009429899</v>
      </c>
      <c r="CX58" s="59">
        <f t="shared" si="14"/>
        <v>726.46458342763231</v>
      </c>
      <c r="CY58" s="59">
        <f ca="1">AVERAGE(OFFSET($CX$3,0,0,'Données projet'!$E$13+1,1))-AVERAGE(OFFSET($H$3,0,0,'Données projet'!$E$13+1,1))</f>
        <v>240.57184010337932</v>
      </c>
      <c r="CZ58" s="59">
        <f t="shared" si="42"/>
        <v>236.36473521227072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34.422715795745894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34.422715795745894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542</v>
      </c>
      <c r="DM58" s="12">
        <f>VLOOKUP(A58,'Données projet'!$A$165:$I$185,9,0)</f>
        <v>19.8</v>
      </c>
      <c r="DN58" s="12">
        <f t="array" ref="DN58">INDEX(DM:DM,MIN(IF(ISNUMBER(DM58:DM254),ROW(DM58:DM254),"")))</f>
        <v>19.8</v>
      </c>
      <c r="DO58" s="12">
        <f>IF('Données projet'!$A$166&gt;35,DO57+DN58-DW57,IF(A58&lt;'Données projet'!$A$166,$DL$205^A58,IF(A58='Données projet'!$A$166,'Données projet'!$B$166,DO57+DN58-DW57)))</f>
        <v>541.99999999999955</v>
      </c>
      <c r="DP58" s="17">
        <f>DO58*VLOOKUP('Données projet'!$B$14,Paramètres!$A$1:$I$89,3,0)*VLOOKUP('Données projet'!$B$14,Paramètres!$A$1:$I$89,5,0)</f>
        <v>253.65599999999981</v>
      </c>
      <c r="DQ58" s="13">
        <f t="shared" si="43"/>
        <v>61.368155505438203</v>
      </c>
      <c r="DR58" s="20">
        <f t="shared" si="16"/>
        <v>548.66707083863787</v>
      </c>
      <c r="DS58" s="59">
        <f t="shared" si="17"/>
        <v>842.00040417197124</v>
      </c>
      <c r="DT58" s="59">
        <f ca="1">AVERAGE(OFFSET($DS$3,0,0,'Données projet'!$E$14+1,1))-AVERAGE(OFFSET($H$3,0,0,'Données projet'!$E$14+1,1))</f>
        <v>304.29617570272939</v>
      </c>
      <c r="DU58" s="59">
        <f t="shared" si="44"/>
        <v>246.20695736161576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56</v>
      </c>
      <c r="DX58" s="16">
        <f>IF(ISNA(VLOOKUP(A58,'Données projet'!$A$165:$I$185,5,0)),0%,VLOOKUP(A58,'Données projet'!$A$165:$I$185,5,0)*VLOOKUP('Données projet'!$B$14,Paramètres!$A$1:$I$89,7,0))</f>
        <v>0.55000000000000004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66.334010814754237</v>
      </c>
      <c r="EB58" s="21">
        <f>EXP(-LN(2)/25)*EB57+(1-EXP(-LN(2)/25))/(LN(2)/25)*Calculateur!DW58*Calculateur!DY58*VLOOKUP('Données projet'!$B$14,Paramètres!$A$1:$I$89,3,0)*0.475*44/12</f>
        <v>20.462421368459182</v>
      </c>
      <c r="EC58" s="21">
        <f>EXP(-LN(2)/2)*EC57+(1-EXP(-LN(2)/2))/(LN(2)/2)*DW58*DZ58*VLOOKUP('Données projet'!$B$14,Paramètres!$A$1:$I$89,3,0)*0.475*44/12</f>
        <v>6.7917352417542305E-4</v>
      </c>
      <c r="ED58" s="22">
        <f t="shared" si="18"/>
        <v>86.797111356737602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385</v>
      </c>
      <c r="EH58" s="12">
        <f>VLOOKUP(A58,'Données projet'!$A$191:$I$211,9,0)</f>
        <v>13.2</v>
      </c>
      <c r="EI58" s="12">
        <f t="array" ref="EI58">INDEX(EH:EH,MIN(IF(ISNUMBER(EH58:EH254),ROW(EH58:EH254),"")))</f>
        <v>13.2</v>
      </c>
      <c r="EJ58" s="12">
        <f>IF('Données projet'!$A$192&gt;35,EJ57+EI58-ER57,IF(A58&lt;'Données projet'!$A$192,$EG$205^A58,IF(A58='Données projet'!$A$192,'Données projet'!$B$192,EJ57+EI58-ER57)))</f>
        <v>384.99999999999966</v>
      </c>
      <c r="EK58" s="17">
        <f>EJ58*VLOOKUP('Données projet'!$B$15,Paramètres!$A$1:$I$89,3,0)*VLOOKUP('Données projet'!$B$15,Paramètres!$A$1:$I$89,5,0)</f>
        <v>230.22999999999982</v>
      </c>
      <c r="EL58" s="13">
        <f t="shared" si="45"/>
        <v>56.33241001525225</v>
      </c>
      <c r="EM58" s="20">
        <f t="shared" si="19"/>
        <v>499.09619744323066</v>
      </c>
      <c r="EN58" s="59">
        <f t="shared" si="20"/>
        <v>792.42953077656398</v>
      </c>
      <c r="EO58" s="59">
        <f ca="1">AVERAGE(OFFSET($EN$3,0,0,'Données projet'!$E$15+1,1))-AVERAGE(OFFSET($H$3,0,0,'Données projet'!$E$15+1,1))</f>
        <v>288.41846134875794</v>
      </c>
      <c r="EP58" s="59">
        <f t="shared" si="46"/>
        <v>248.93951719818972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34</v>
      </c>
      <c r="ES58" s="16">
        <f>IF(ISNA(VLOOKUP(A58,'Données projet'!$A$191:$I$211,5,0)),0%,VLOOKUP(A58,'Données projet'!$A$191:$I$211,5,0)*VLOOKUP('Données projet'!$B$15,Paramètres!$A$1:$I$89,7,0))</f>
        <v>0.45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58.599025070424894</v>
      </c>
      <c r="EW58" s="21">
        <f>EXP(-LN(2)/25)*EW57+(1-EXP(-LN(2)/25))/(LN(2)/25)*Calculateur!ER58*Calculateur!ET58*VLOOKUP('Données projet'!$B$15,Paramètres!$A$1:$I$89,3,0)*0.475*44/12</f>
        <v>13.967460215469554</v>
      </c>
      <c r="EX58" s="21">
        <f>EXP(-LN(2)/2)*EX57+(1-EXP(-LN(2)/2))/(LN(2)/2)*ER58*EU58*VLOOKUP('Données projet'!$B$15,Paramètres!$A$1:$I$89,3,0)*0.475*44/12</f>
        <v>8.4011673348300639E-5</v>
      </c>
      <c r="EY58" s="22">
        <f t="shared" si="21"/>
        <v>72.566569297567796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664</v>
      </c>
      <c r="FC58" s="12">
        <f>VLOOKUP(A58,'Données projet'!$A$217:$I$237,9,0)</f>
        <v>21</v>
      </c>
      <c r="FD58" s="12">
        <f t="array" ref="FD58">INDEX(FC:FC,MIN(IF(ISNUMBER(FC58:FC254),ROW(FC58:FC254),"")))</f>
        <v>21</v>
      </c>
      <c r="FE58" s="12">
        <f>IF('Données projet'!$A$218&gt;35,FE57+FD58-FM57,IF(A58&lt;'Données projet'!$A$218,$FB$205^A58,IF(A58='Données projet'!$A$218,'Données projet'!$B$218,FE57+FD58-FM57)))</f>
        <v>664</v>
      </c>
      <c r="FF58" s="17">
        <f>FE58*VLOOKUP('Données projet'!$B$16,Paramètres!$A$1:$I$89,3,0)*VLOOKUP('Données projet'!$B$16,Paramètres!$A$1:$I$89,5,0)</f>
        <v>302.12</v>
      </c>
      <c r="FG58" s="13">
        <f t="shared" si="47"/>
        <v>71.620714598097649</v>
      </c>
      <c r="FH58" s="20">
        <f t="shared" si="22"/>
        <v>650.93174459168677</v>
      </c>
      <c r="FI58" s="59">
        <f t="shared" si="23"/>
        <v>944.26507792502002</v>
      </c>
      <c r="FJ58" s="59">
        <f ca="1">AVERAGE(OFFSET($FI$3,0,0,'Données projet'!$E$16+1,1))-AVERAGE(OFFSET($H$3,0,0,'Données projet'!$E$16+1,1))</f>
        <v>367.36535411813264</v>
      </c>
      <c r="FK58" s="59">
        <f t="shared" si="48"/>
        <v>293.19545174980556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44</v>
      </c>
      <c r="FN58" s="16">
        <f>IF(ISNA(VLOOKUP(A58,'Données projet'!$A$217:$I$237,5,0)),0%,VLOOKUP(A58,'Données projet'!$A$217:$I$237,5,0)*VLOOKUP('Données projet'!$B$16,Paramètres!$A$1:$I$89,7,0))</f>
        <v>0.55000000000000004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79.184908542395561</v>
      </c>
      <c r="FR58" s="21">
        <f>EXP(-LN(2)/25)*FR57+(1-EXP(-LN(2)/25))/(LN(2)/25)*Calculateur!FM58*Calculateur!FO58*VLOOKUP('Données projet'!$B$16,Paramètres!$A$1:$I$89,3,0)*0.475*44/12</f>
        <v>21.648438739757555</v>
      </c>
      <c r="FS58" s="21">
        <f>EXP(-LN(2)/2)*FS57+(1-EXP(-LN(2)/2))/(LN(2)/2)*FM58*FP58*VLOOKUP('Données projet'!$B$16,Paramètres!$A$1:$I$89,3,0)*0.475*44/12</f>
        <v>1.2506463660073077E-4</v>
      </c>
      <c r="FT58" s="22">
        <f t="shared" si="24"/>
        <v>100.83347234678972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537</v>
      </c>
      <c r="FX58" s="12">
        <f>VLOOKUP(A58,'Données projet'!$A$243:$I$263,9,0)</f>
        <v>19.8</v>
      </c>
      <c r="FY58" s="12">
        <f t="array" ref="FY58">INDEX(FX:FX,MIN(IF(ISNUMBER(FX58:FX254),ROW(FX58:FX254),"")))</f>
        <v>19.8</v>
      </c>
      <c r="FZ58" s="12">
        <f>IF('Données projet'!$A$244&gt;35,FZ57+FY58-GH57,IF(A58&lt;'Données projet'!$A$244,$FW$205^A58,IF(A58='Données projet'!$A$244,'Données projet'!$B$244,FZ57+FY58-GH57)))</f>
        <v>536.99999999999989</v>
      </c>
      <c r="GA58" s="17">
        <f>FZ58*VLOOKUP('Données projet'!$B$17,Paramètres!$A$1:$I$89,3,0)*VLOOKUP('Données projet'!$B$17,Paramètres!$A$1:$I$89,5,0)</f>
        <v>258.29699999999997</v>
      </c>
      <c r="GB58" s="13">
        <f t="shared" si="49"/>
        <v>62.359228454132143</v>
      </c>
      <c r="GC58" s="20">
        <f t="shared" si="25"/>
        <v>558.47626455761349</v>
      </c>
      <c r="GD58" s="59">
        <f t="shared" si="26"/>
        <v>851.80959789094686</v>
      </c>
      <c r="GE58" s="59">
        <f ca="1">AVERAGE(OFFSET($GD$3,0,0,'Données projet'!$E$17+1,1))-AVERAGE(OFFSET($H$3,0,0,'Données projet'!$E$17+1,1))</f>
        <v>312.64506496298173</v>
      </c>
      <c r="GF58" s="59">
        <f t="shared" si="50"/>
        <v>259.97532509897508</v>
      </c>
      <c r="GG58" s="15">
        <f>IF(ISNA(VLOOKUP(A58,'Données projet'!$A$243:$I$263,3,0)),0,VLOOKUP(A58,'Données projet'!$A$243:$I$263,3,0))</f>
        <v>7</v>
      </c>
      <c r="GH58" s="15">
        <f>IF(ISNA(VLOOKUP(A58,'Données projet'!$A$243:$I$263,4,0)),0,VLOOKUP(A58,'Données projet'!$A$243:$I$263,4,0))</f>
        <v>56</v>
      </c>
      <c r="GI58" s="16">
        <f>IF(ISNA(VLOOKUP(A58,'Données projet'!$A$243:$I$263,5,0)),0%,VLOOKUP(A58,'Données projet'!$A$243:$I$263,5,0)*VLOOKUP('Données projet'!$B$17,Paramètres!$A$1:$I$89,7,0))</f>
        <v>0.55000000000000004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81.401967194363749</v>
      </c>
      <c r="GM58" s="21">
        <f>EXP(-LN(2)/25)*GM57+(1-EXP(-LN(2)/25))/(LN(2)/25)*Calculateur!GH58*Calculateur!GJ58*VLOOKUP('Données projet'!$B$17,Paramètres!$A$1:$I$89,3,0)*0.475*44/12</f>
        <v>9.7877032916779569</v>
      </c>
      <c r="GN58" s="21">
        <f>EXP(-LN(2)/2)*GN57+(1-EXP(-LN(2)/2))/(LN(2)/2)*GH58*GK58*VLOOKUP('Données projet'!$B$17,Paramètres!$A$1:$I$89,3,0)*0.475*44/12</f>
        <v>6.6479948133573005E-4</v>
      </c>
      <c r="GO58" s="21">
        <f t="shared" si="27"/>
        <v>91.190335285523048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197</v>
      </c>
      <c r="GS58" s="12">
        <f>VLOOKUP(A58,'Données projet'!$A$269:$I$289,9,0)</f>
        <v>8</v>
      </c>
      <c r="GT58" s="12">
        <f t="array" ref="GT58">INDEX(GS:GS,MIN(IF(ISNUMBER(GS58:GS254),ROW(GS58:GS254),"")))</f>
        <v>8</v>
      </c>
      <c r="GU58" s="12">
        <f>IF('Données projet'!$A$270&gt;35,GU57+GT58-HC57,IF(A58&lt;'Données projet'!$A$270,$GR$205^A58,IF(A58='Données projet'!$A$270,'Données projet'!$B$270,GU57+GT58-HC57)))</f>
        <v>197</v>
      </c>
      <c r="GV58" s="17">
        <f>GU58*VLOOKUP('Données projet'!$B$18,Paramètres!$A$1:$I$89,3,0)*VLOOKUP('Données projet'!$B$18,Paramètres!$A$1:$I$89,5,0)</f>
        <v>199.75800000000004</v>
      </c>
      <c r="GW58" s="13">
        <f t="shared" si="51"/>
        <v>49.690979702964015</v>
      </c>
      <c r="GX58" s="20">
        <f t="shared" si="28"/>
        <v>434.45697298266236</v>
      </c>
      <c r="GY58" s="59">
        <f t="shared" si="29"/>
        <v>727.79030631599562</v>
      </c>
      <c r="GZ58" s="59">
        <f ca="1">AVERAGE(OFFSET($GY$3,0,0,'Données projet'!$E$18+1,1))-AVERAGE(OFFSET($H$3,0,0,'Données projet'!$E$18+1,1))</f>
        <v>308.80022073574963</v>
      </c>
      <c r="HA58" s="59">
        <f t="shared" si="52"/>
        <v>183.96267407004115</v>
      </c>
      <c r="HB58" s="15">
        <f>IF(ISNA(VLOOKUP(A58,'Données projet'!$A$269:$I$289,3,0)),0,VLOOKUP(A58,'Données projet'!$A$269:$I$289,3,0))</f>
        <v>7</v>
      </c>
      <c r="HC58" s="15">
        <f>IF(ISNA(VLOOKUP(A58,'Données projet'!$A$269:$I$289,4,0)),0,VLOOKUP(A58,'Données projet'!$A$269:$I$289,4,0))</f>
        <v>21</v>
      </c>
      <c r="HD58" s="16">
        <f>IF(ISNA(VLOOKUP(A58,'Données projet'!$A$269:$I$289,5,0)),0%,VLOOKUP(A58,'Données projet'!$A$269:$I$289,5,0)*VLOOKUP('Données projet'!$B$18,Paramètres!$A$1:$I$89,7,0))</f>
        <v>0.43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41.926013201765365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41.926013201765365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344.49457749226184</v>
      </c>
      <c r="T59" s="59">
        <f t="shared" si="34"/>
        <v>207.92972431357452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126.39999999999995</v>
      </c>
      <c r="AJ59" s="13">
        <f>AI59*VLOOKUP('Données projet'!$B$10,Paramètres!$A$1:$I$89,3,0)*VLOOKUP('Données projet'!$B$10,Paramètres!$A$1:$I$89,5,0)</f>
        <v>114.36671999999996</v>
      </c>
      <c r="AK59" s="13">
        <f t="shared" si="35"/>
        <v>30.357475250812541</v>
      </c>
      <c r="AL59" s="20">
        <f t="shared" si="4"/>
        <v>252.06130672849841</v>
      </c>
      <c r="AM59" s="59">
        <f t="shared" si="5"/>
        <v>545.39464006183175</v>
      </c>
      <c r="AN59" s="59">
        <f ca="1">AVERAGE(OFFSET($AM$3,0,0,'Données projet'!$E$10+1,1))-AVERAGE(OFFSET($H$3,0,0,'Données projet'!$E$10+1,1))</f>
        <v>183.0147113277086</v>
      </c>
      <c r="AO59" s="59">
        <f t="shared" si="36"/>
        <v>76.413905647258389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24.167773381143196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24.167773381143196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214.17551999999998</v>
      </c>
      <c r="BF59" s="13">
        <f t="shared" si="37"/>
        <v>52.846993696165399</v>
      </c>
      <c r="BG59" s="20">
        <f t="shared" si="7"/>
        <v>465.06421135415468</v>
      </c>
      <c r="BH59" s="59">
        <f t="shared" si="8"/>
        <v>758.39754468748799</v>
      </c>
      <c r="BI59" s="59">
        <f ca="1">AVERAGE(OFFSET($BH$3,0,0,'Données projet'!$E$11+1,1))-AVERAGE(OFFSET($H$3,0,0,'Données projet'!$E$11+1,1))</f>
        <v>279.49721661620544</v>
      </c>
      <c r="BJ59" s="59">
        <f t="shared" si="38"/>
        <v>275.18739333988754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46.821988062318198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46.821988062318198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225.2323446080772</v>
      </c>
      <c r="CE59" s="59">
        <f t="shared" si="40"/>
        <v>222.29030402759292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39.343742886252876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39.343742886252876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191.5992</v>
      </c>
      <c r="CV59" s="13">
        <f t="shared" si="41"/>
        <v>47.893340610341859</v>
      </c>
      <c r="CW59" s="20">
        <f t="shared" si="13"/>
        <v>417.1161748963454</v>
      </c>
      <c r="CX59" s="59">
        <f t="shared" si="14"/>
        <v>710.44950822967871</v>
      </c>
      <c r="CY59" s="59">
        <f ca="1">AVERAGE(OFFSET($CX$3,0,0,'Données projet'!$E$13+1,1))-AVERAGE(OFFSET($H$3,0,0,'Données projet'!$E$13+1,1))</f>
        <v>240.57184010337932</v>
      </c>
      <c r="CZ59" s="59">
        <f t="shared" si="42"/>
        <v>236.36473521227072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33.747707334774795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33.747707334774795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18.2</v>
      </c>
      <c r="DO59" s="12">
        <f>IF('Données projet'!$A$166&gt;35,DO58+DN59-DW58,IF(A59&lt;'Données projet'!$A$166,$DL$205^A59,IF(A59='Données projet'!$A$166,'Données projet'!$B$166,DO58+DN59-DW58)))</f>
        <v>504.19999999999959</v>
      </c>
      <c r="DP59" s="17">
        <f>DO59*VLOOKUP('Données projet'!$B$14,Paramètres!$A$1:$I$89,3,0)*VLOOKUP('Données projet'!$B$14,Paramètres!$A$1:$I$89,5,0)</f>
        <v>235.96559999999982</v>
      </c>
      <c r="DQ59" s="13">
        <f t="shared" si="43"/>
        <v>57.570655087746921</v>
      </c>
      <c r="DR59" s="20">
        <f t="shared" si="16"/>
        <v>511.24231094449215</v>
      </c>
      <c r="DS59" s="59">
        <f t="shared" si="17"/>
        <v>804.5756442778254</v>
      </c>
      <c r="DT59" s="59">
        <f ca="1">AVERAGE(OFFSET($DS$3,0,0,'Données projet'!$E$14+1,1))-AVERAGE(OFFSET($H$3,0,0,'Données projet'!$E$14+1,1))</f>
        <v>304.29617570272939</v>
      </c>
      <c r="DU59" s="59">
        <f t="shared" si="44"/>
        <v>246.20695736161576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65.033241322428438</v>
      </c>
      <c r="EB59" s="21">
        <f>EXP(-LN(2)/25)*EB58+(1-EXP(-LN(2)/25))/(LN(2)/25)*Calculateur!DW59*Calculateur!DY59*VLOOKUP('Données projet'!$B$14,Paramètres!$A$1:$I$89,3,0)*0.475*44/12</f>
        <v>19.902875380066693</v>
      </c>
      <c r="EC59" s="21">
        <f>EXP(-LN(2)/2)*EC58+(1-EXP(-LN(2)/2))/(LN(2)/2)*DW59*DZ59*VLOOKUP('Données projet'!$B$14,Paramètres!$A$1:$I$89,3,0)*0.475*44/12</f>
        <v>4.8024820454680724E-4</v>
      </c>
      <c r="ED59" s="22">
        <f t="shared" si="18"/>
        <v>84.936596950699681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12.4</v>
      </c>
      <c r="EJ59" s="12">
        <f>IF('Données projet'!$A$192&gt;35,EJ58+EI59-ER58,IF(A59&lt;'Données projet'!$A$192,$EG$205^A59,IF(A59='Données projet'!$A$192,'Données projet'!$B$192,EJ58+EI59-ER58)))</f>
        <v>363.39999999999964</v>
      </c>
      <c r="EK59" s="17">
        <f>EJ59*VLOOKUP('Données projet'!$B$15,Paramètres!$A$1:$I$89,3,0)*VLOOKUP('Données projet'!$B$15,Paramètres!$A$1:$I$89,5,0)</f>
        <v>217.3131999999998</v>
      </c>
      <c r="EL59" s="13">
        <f t="shared" si="45"/>
        <v>53.530506047441698</v>
      </c>
      <c r="EM59" s="20">
        <f t="shared" si="19"/>
        <v>471.71945469929392</v>
      </c>
      <c r="EN59" s="59">
        <f t="shared" si="20"/>
        <v>765.05278803262718</v>
      </c>
      <c r="EO59" s="59">
        <f ca="1">AVERAGE(OFFSET($EN$3,0,0,'Données projet'!$E$15+1,1))-AVERAGE(OFFSET($H$3,0,0,'Données projet'!$E$15+1,1))</f>
        <v>288.41846134875794</v>
      </c>
      <c r="EP59" s="59">
        <f t="shared" si="46"/>
        <v>248.93951719818972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57.449933930669935</v>
      </c>
      <c r="EW59" s="21">
        <f>EXP(-LN(2)/25)*EW58+(1-EXP(-LN(2)/25))/(LN(2)/25)*Calculateur!ER59*Calculateur!ET59*VLOOKUP('Données projet'!$B$15,Paramètres!$A$1:$I$89,3,0)*0.475*44/12</f>
        <v>13.58551928136073</v>
      </c>
      <c r="EX59" s="21">
        <f>EXP(-LN(2)/2)*EX58+(1-EXP(-LN(2)/2))/(LN(2)/2)*ER59*EU59*VLOOKUP('Données projet'!$B$15,Paramètres!$A$1:$I$89,3,0)*0.475*44/12</f>
        <v>5.9405223923412532E-5</v>
      </c>
      <c r="EY59" s="22">
        <f t="shared" si="21"/>
        <v>71.035512617254582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18.2</v>
      </c>
      <c r="FE59" s="12">
        <f>IF('Données projet'!$A$218&gt;35,FE58+FD59-FM58,IF(A59&lt;'Données projet'!$A$218,$FB$205^A59,IF(A59='Données projet'!$A$218,'Données projet'!$B$218,FE58+FD59-FM58)))</f>
        <v>638.20000000000005</v>
      </c>
      <c r="FF59" s="17">
        <f>FE59*VLOOKUP('Données projet'!$B$16,Paramètres!$A$1:$I$89,3,0)*VLOOKUP('Données projet'!$B$16,Paramètres!$A$1:$I$89,5,0)</f>
        <v>290.38100000000003</v>
      </c>
      <c r="FG59" s="13">
        <f t="shared" si="47"/>
        <v>69.156142944672993</v>
      </c>
      <c r="FH59" s="20">
        <f t="shared" si="22"/>
        <v>626.19385729530552</v>
      </c>
      <c r="FI59" s="59">
        <f t="shared" si="23"/>
        <v>919.52719062863889</v>
      </c>
      <c r="FJ59" s="59">
        <f ca="1">AVERAGE(OFFSET($FI$3,0,0,'Données projet'!$E$16+1,1))-AVERAGE(OFFSET($H$3,0,0,'Données projet'!$E$16+1,1))</f>
        <v>367.36535411813264</v>
      </c>
      <c r="FK59" s="59">
        <f t="shared" si="48"/>
        <v>293.19545174980556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77.632140783904362</v>
      </c>
      <c r="FR59" s="21">
        <f>EXP(-LN(2)/25)*FR58+(1-EXP(-LN(2)/25))/(LN(2)/25)*Calculateur!FM59*Calculateur!FO59*VLOOKUP('Données projet'!$B$16,Paramètres!$A$1:$I$89,3,0)*0.475*44/12</f>
        <v>21.05646104397697</v>
      </c>
      <c r="FS59" s="21">
        <f>EXP(-LN(2)/2)*FS58+(1-EXP(-LN(2)/2))/(LN(2)/2)*FM59*FP59*VLOOKUP('Données projet'!$B$16,Paramètres!$A$1:$I$89,3,0)*0.475*44/12</f>
        <v>8.8434052627008017E-5</v>
      </c>
      <c r="FT59" s="22">
        <f t="shared" si="24"/>
        <v>98.688690261933957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18.600000000000001</v>
      </c>
      <c r="FZ59" s="12">
        <f>IF('Données projet'!$A$244&gt;35,FZ58+FY59-GH58,IF(A59&lt;'Données projet'!$A$244,$FW$205^A59,IF(A59='Données projet'!$A$244,'Données projet'!$B$244,FZ58+FY59-GH58)))</f>
        <v>499.59999999999991</v>
      </c>
      <c r="GA59" s="17">
        <f>FZ59*VLOOKUP('Données projet'!$B$17,Paramètres!$A$1:$I$89,3,0)*VLOOKUP('Données projet'!$B$17,Paramètres!$A$1:$I$89,5,0)</f>
        <v>240.30759999999998</v>
      </c>
      <c r="GB59" s="13">
        <f t="shared" si="49"/>
        <v>58.505707186320713</v>
      </c>
      <c r="GC59" s="20">
        <f t="shared" si="25"/>
        <v>520.43317668284192</v>
      </c>
      <c r="GD59" s="59">
        <f t="shared" si="26"/>
        <v>813.76651001617529</v>
      </c>
      <c r="GE59" s="59">
        <f ca="1">AVERAGE(OFFSET($GD$3,0,0,'Données projet'!$E$17+1,1))-AVERAGE(OFFSET($H$3,0,0,'Données projet'!$E$17+1,1))</f>
        <v>312.64506496298173</v>
      </c>
      <c r="GF59" s="59">
        <f t="shared" si="50"/>
        <v>259.97532509897508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79.805724267979699</v>
      </c>
      <c r="GM59" s="21">
        <f>EXP(-LN(2)/25)*GM58+(1-EXP(-LN(2)/25))/(LN(2)/25)*Calculateur!GH59*Calculateur!GJ59*VLOOKUP('Données projet'!$B$17,Paramètres!$A$1:$I$89,3,0)*0.475*44/12</f>
        <v>9.5200580304540772</v>
      </c>
      <c r="GN59" s="21">
        <f>EXP(-LN(2)/2)*GN58+(1-EXP(-LN(2)/2))/(LN(2)/2)*GH59*GK59*VLOOKUP('Données projet'!$B$17,Paramètres!$A$1:$I$89,3,0)*0.475*44/12</f>
        <v>4.7008422138179436E-4</v>
      </c>
      <c r="GO59" s="21">
        <f t="shared" si="27"/>
        <v>89.326252382655156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7.6</v>
      </c>
      <c r="GU59" s="12">
        <f>IF('Données projet'!$A$270&gt;35,GU58+GT59-HC58,IF(A59&lt;'Données projet'!$A$270,$GR$205^A59,IF(A59='Données projet'!$A$270,'Données projet'!$B$270,GU58+GT59-HC58)))</f>
        <v>183.6</v>
      </c>
      <c r="GV59" s="17">
        <f>GU59*VLOOKUP('Données projet'!$B$18,Paramètres!$A$1:$I$89,3,0)*VLOOKUP('Données projet'!$B$18,Paramètres!$A$1:$I$89,5,0)</f>
        <v>186.1704</v>
      </c>
      <c r="GW59" s="13">
        <f t="shared" si="51"/>
        <v>46.692281933796018</v>
      </c>
      <c r="GX59" s="20">
        <f t="shared" si="28"/>
        <v>405.56917103469476</v>
      </c>
      <c r="GY59" s="59">
        <f t="shared" si="29"/>
        <v>698.90250436802808</v>
      </c>
      <c r="GZ59" s="59">
        <f ca="1">AVERAGE(OFFSET($GY$3,0,0,'Données projet'!$E$18+1,1))-AVERAGE(OFFSET($H$3,0,0,'Données projet'!$E$18+1,1))</f>
        <v>308.80022073574963</v>
      </c>
      <c r="HA59" s="59">
        <f t="shared" si="52"/>
        <v>183.96267407004115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41.103869655221743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41.103869655221743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344.49457749226184</v>
      </c>
      <c r="T60" s="59">
        <f t="shared" si="34"/>
        <v>207.92972431357452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131.79999999999995</v>
      </c>
      <c r="AJ60" s="13">
        <f>AI60*VLOOKUP('Données projet'!$B$10,Paramètres!$A$1:$I$89,3,0)*VLOOKUP('Données projet'!$B$10,Paramètres!$A$1:$I$89,5,0)</f>
        <v>119.25263999999996</v>
      </c>
      <c r="AK60" s="13">
        <f t="shared" si="35"/>
        <v>31.500626518374347</v>
      </c>
      <c r="AL60" s="20">
        <f t="shared" si="4"/>
        <v>262.56193918616856</v>
      </c>
      <c r="AM60" s="59">
        <f t="shared" si="5"/>
        <v>555.89527251950187</v>
      </c>
      <c r="AN60" s="59">
        <f ca="1">AVERAGE(OFFSET($AM$3,0,0,'Données projet'!$E$10+1,1))-AVERAGE(OFFSET($H$3,0,0,'Données projet'!$E$10+1,1))</f>
        <v>183.0147113277086</v>
      </c>
      <c r="AO60" s="59">
        <f t="shared" si="36"/>
        <v>76.413905647258389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23.693858086025198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23.693858086025198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219.10823999999994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279.49721661620544</v>
      </c>
      <c r="BJ60" s="59">
        <f t="shared" si="38"/>
        <v>275.18739333988754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45.903837435008931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45.903837435008931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225.2323446080772</v>
      </c>
      <c r="CE60" s="59">
        <f t="shared" si="40"/>
        <v>222.29030402759292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38.572236085567077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38.572236085567077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195.90479999999999</v>
      </c>
      <c r="CV60" s="13">
        <f t="shared" si="41"/>
        <v>48.843085918490004</v>
      </c>
      <c r="CW60" s="20">
        <f t="shared" si="13"/>
        <v>426.26923464137008</v>
      </c>
      <c r="CX60" s="59">
        <f t="shared" si="14"/>
        <v>719.60256797470333</v>
      </c>
      <c r="CY60" s="59">
        <f ca="1">AVERAGE(OFFSET($CX$3,0,0,'Données projet'!$E$13+1,1))-AVERAGE(OFFSET($H$3,0,0,'Données projet'!$E$13+1,1))</f>
        <v>240.57184010337932</v>
      </c>
      <c r="CZ60" s="59">
        <f t="shared" si="42"/>
        <v>236.36473521227072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33.085935378008827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33.085935378008827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18.2</v>
      </c>
      <c r="DO60" s="12">
        <f>IF('Données projet'!$A$166&gt;35,DO59+DN60-DW59,IF(A60&lt;'Données projet'!$A$166,$DL$205^A60,IF(A60='Données projet'!$A$166,'Données projet'!$B$166,DO59+DN60-DW59)))</f>
        <v>522.39999999999964</v>
      </c>
      <c r="DP60" s="17">
        <f>DO60*VLOOKUP('Données projet'!$B$14,Paramètres!$A$1:$I$89,3,0)*VLOOKUP('Données projet'!$B$14,Paramètres!$A$1:$I$89,5,0)</f>
        <v>244.48319999999981</v>
      </c>
      <c r="DQ60" s="13">
        <f t="shared" si="43"/>
        <v>59.403071349453455</v>
      </c>
      <c r="DR60" s="20">
        <f t="shared" si="16"/>
        <v>529.26858926696434</v>
      </c>
      <c r="DS60" s="59">
        <f t="shared" si="17"/>
        <v>822.60192260029771</v>
      </c>
      <c r="DT60" s="59">
        <f ca="1">AVERAGE(OFFSET($DS$3,0,0,'Données projet'!$E$14+1,1))-AVERAGE(OFFSET($H$3,0,0,'Données projet'!$E$14+1,1))</f>
        <v>304.29617570272939</v>
      </c>
      <c r="DU60" s="59">
        <f t="shared" si="44"/>
        <v>246.20695736161576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63.757979126456092</v>
      </c>
      <c r="EB60" s="21">
        <f>EXP(-LN(2)/25)*EB59+(1-EXP(-LN(2)/25))/(LN(2)/25)*Calculateur!DW60*Calculateur!DY60*VLOOKUP('Données projet'!$B$14,Paramètres!$A$1:$I$89,3,0)*0.475*44/12</f>
        <v>19.358630206152043</v>
      </c>
      <c r="EC60" s="21">
        <f>EXP(-LN(2)/2)*EC59+(1-EXP(-LN(2)/2))/(LN(2)/2)*DW60*DZ60*VLOOKUP('Données projet'!$B$14,Paramètres!$A$1:$I$89,3,0)*0.475*44/12</f>
        <v>3.3958676208771158E-4</v>
      </c>
      <c r="ED60" s="22">
        <f t="shared" si="18"/>
        <v>83.116948919370216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12.4</v>
      </c>
      <c r="EJ60" s="12">
        <f>IF('Données projet'!$A$192&gt;35,EJ59+EI60-ER59,IF(A60&lt;'Données projet'!$A$192,$EG$205^A60,IF(A60='Données projet'!$A$192,'Données projet'!$B$192,EJ59+EI60-ER59)))</f>
        <v>375.79999999999961</v>
      </c>
      <c r="EK60" s="17">
        <f>EJ60*VLOOKUP('Données projet'!$B$15,Paramètres!$A$1:$I$89,3,0)*VLOOKUP('Données projet'!$B$15,Paramètres!$A$1:$I$89,5,0)</f>
        <v>224.72839999999977</v>
      </c>
      <c r="EL60" s="13">
        <f t="shared" si="45"/>
        <v>55.14130474591758</v>
      </c>
      <c r="EM60" s="20">
        <f t="shared" si="19"/>
        <v>487.43973576580606</v>
      </c>
      <c r="EN60" s="59">
        <f t="shared" si="20"/>
        <v>780.77306909913932</v>
      </c>
      <c r="EO60" s="59">
        <f ca="1">AVERAGE(OFFSET($EN$3,0,0,'Données projet'!$E$15+1,1))-AVERAGE(OFFSET($H$3,0,0,'Données projet'!$E$15+1,1))</f>
        <v>288.41846134875794</v>
      </c>
      <c r="EP60" s="59">
        <f t="shared" si="46"/>
        <v>248.93951719818972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56.323375767289185</v>
      </c>
      <c r="EW60" s="21">
        <f>EXP(-LN(2)/25)*EW59+(1-EXP(-LN(2)/25))/(LN(2)/25)*Calculateur!ER60*Calculateur!ET60*VLOOKUP('Données projet'!$B$15,Paramètres!$A$1:$I$89,3,0)*0.475*44/12</f>
        <v>13.214022542180512</v>
      </c>
      <c r="EX60" s="21">
        <f>EXP(-LN(2)/2)*EX59+(1-EXP(-LN(2)/2))/(LN(2)/2)*ER60*EU60*VLOOKUP('Données projet'!$B$15,Paramètres!$A$1:$I$89,3,0)*0.475*44/12</f>
        <v>4.2005836674150326E-5</v>
      </c>
      <c r="EY60" s="22">
        <f t="shared" si="21"/>
        <v>69.53744031530637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18.2</v>
      </c>
      <c r="FE60" s="12">
        <f>IF('Données projet'!$A$218&gt;35,FE59+FD60-FM59,IF(A60&lt;'Données projet'!$A$218,$FB$205^A60,IF(A60='Données projet'!$A$218,'Données projet'!$B$218,FE59+FD60-FM59)))</f>
        <v>656.40000000000009</v>
      </c>
      <c r="FF60" s="17">
        <f>FE60*VLOOKUP('Données projet'!$B$16,Paramètres!$A$1:$I$89,3,0)*VLOOKUP('Données projet'!$B$16,Paramètres!$A$1:$I$89,5,0)</f>
        <v>298.66200000000003</v>
      </c>
      <c r="FG60" s="13">
        <f t="shared" si="47"/>
        <v>70.895894352455485</v>
      </c>
      <c r="FH60" s="20">
        <f t="shared" si="22"/>
        <v>643.64666599719328</v>
      </c>
      <c r="FI60" s="59">
        <f t="shared" si="23"/>
        <v>936.97999933052665</v>
      </c>
      <c r="FJ60" s="59">
        <f ca="1">AVERAGE(OFFSET($FI$3,0,0,'Données projet'!$E$16+1,1))-AVERAGE(OFFSET($H$3,0,0,'Données projet'!$E$16+1,1))</f>
        <v>367.36535411813264</v>
      </c>
      <c r="FK60" s="59">
        <f t="shared" si="48"/>
        <v>293.19545174980556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76.109821854062361</v>
      </c>
      <c r="FR60" s="21">
        <f>EXP(-LN(2)/25)*FR59+(1-EXP(-LN(2)/25))/(LN(2)/25)*Calculateur!FM60*Calculateur!FO60*VLOOKUP('Données projet'!$B$16,Paramètres!$A$1:$I$89,3,0)*0.475*44/12</f>
        <v>20.480671009418259</v>
      </c>
      <c r="FS60" s="21">
        <f>EXP(-LN(2)/2)*FS59+(1-EXP(-LN(2)/2))/(LN(2)/2)*FM60*FP60*VLOOKUP('Données projet'!$B$16,Paramètres!$A$1:$I$89,3,0)*0.475*44/12</f>
        <v>6.2532318300365385E-5</v>
      </c>
      <c r="FT60" s="22">
        <f t="shared" si="24"/>
        <v>96.590555395798916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18.600000000000001</v>
      </c>
      <c r="FZ60" s="12">
        <f>IF('Données projet'!$A$244&gt;35,FZ59+FY60-GH59,IF(A60&lt;'Données projet'!$A$244,$FW$205^A60,IF(A60='Données projet'!$A$244,'Données projet'!$B$244,FZ59+FY60-GH59)))</f>
        <v>518.19999999999993</v>
      </c>
      <c r="GA60" s="17">
        <f>FZ60*VLOOKUP('Données projet'!$B$17,Paramètres!$A$1:$I$89,3,0)*VLOOKUP('Données projet'!$B$17,Paramètres!$A$1:$I$89,5,0)</f>
        <v>249.25419999999997</v>
      </c>
      <c r="GB60" s="13">
        <f t="shared" si="49"/>
        <v>60.4262112484979</v>
      </c>
      <c r="GC60" s="20">
        <f t="shared" si="25"/>
        <v>539.36004959113382</v>
      </c>
      <c r="GD60" s="59">
        <f t="shared" si="26"/>
        <v>832.69338292446719</v>
      </c>
      <c r="GE60" s="59">
        <f ca="1">AVERAGE(OFFSET($GD$3,0,0,'Données projet'!$E$17+1,1))-AVERAGE(OFFSET($H$3,0,0,'Données projet'!$E$17+1,1))</f>
        <v>312.64506496298173</v>
      </c>
      <c r="GF60" s="59">
        <f t="shared" si="50"/>
        <v>259.97532509897508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78.240782691769994</v>
      </c>
      <c r="GM60" s="21">
        <f>EXP(-LN(2)/25)*GM59+(1-EXP(-LN(2)/25))/(LN(2)/25)*Calculateur!GH60*Calculateur!GJ60*VLOOKUP('Données projet'!$B$17,Paramètres!$A$1:$I$89,3,0)*0.475*44/12</f>
        <v>9.259731542973217</v>
      </c>
      <c r="GN60" s="21">
        <f>EXP(-LN(2)/2)*GN59+(1-EXP(-LN(2)/2))/(LN(2)/2)*GH60*GK60*VLOOKUP('Données projet'!$B$17,Paramètres!$A$1:$I$89,3,0)*0.475*44/12</f>
        <v>3.3239974066786503E-4</v>
      </c>
      <c r="GO60" s="21">
        <f t="shared" si="27"/>
        <v>87.500846634483878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7.6</v>
      </c>
      <c r="GU60" s="12">
        <f>IF('Données projet'!$A$270&gt;35,GU59+GT60-HC59,IF(A60&lt;'Données projet'!$A$270,$GR$205^A60,IF(A60='Données projet'!$A$270,'Données projet'!$B$270,GU59+GT60-HC59)))</f>
        <v>191.2</v>
      </c>
      <c r="GV60" s="17">
        <f>GU60*VLOOKUP('Données projet'!$B$18,Paramètres!$A$1:$I$89,3,0)*VLOOKUP('Données projet'!$B$18,Paramètres!$A$1:$I$89,5,0)</f>
        <v>193.8768</v>
      </c>
      <c r="GW60" s="13">
        <f t="shared" si="51"/>
        <v>48.396048099527611</v>
      </c>
      <c r="GX60" s="20">
        <f t="shared" si="28"/>
        <v>421.95854377334393</v>
      </c>
      <c r="GY60" s="59">
        <f t="shared" si="29"/>
        <v>715.29187710667725</v>
      </c>
      <c r="GZ60" s="59">
        <f ca="1">AVERAGE(OFFSET($GY$3,0,0,'Données projet'!$E$18+1,1))-AVERAGE(OFFSET($H$3,0,0,'Données projet'!$E$18+1,1))</f>
        <v>308.80022073574963</v>
      </c>
      <c r="HA60" s="59">
        <f t="shared" si="52"/>
        <v>183.96267407004115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40.297847842167791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40.297847842167791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344.49457749226184</v>
      </c>
      <c r="T61" s="59">
        <f t="shared" si="34"/>
        <v>207.92972431357452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137.19999999999996</v>
      </c>
      <c r="AJ61" s="13">
        <f>AI61*VLOOKUP('Données projet'!$B$10,Paramètres!$A$1:$I$89,3,0)*VLOOKUP('Données projet'!$B$10,Paramètres!$A$1:$I$89,5,0)</f>
        <v>124.13855999999996</v>
      </c>
      <c r="AK61" s="13">
        <f t="shared" si="35"/>
        <v>32.638337418917978</v>
      </c>
      <c r="AL61" s="20">
        <f t="shared" si="4"/>
        <v>273.05309633794872</v>
      </c>
      <c r="AM61" s="59">
        <f t="shared" si="5"/>
        <v>566.38642967128203</v>
      </c>
      <c r="AN61" s="59">
        <f ca="1">AVERAGE(OFFSET($AM$3,0,0,'Données projet'!$E$10+1,1))-AVERAGE(OFFSET($H$3,0,0,'Données projet'!$E$10+1,1))</f>
        <v>183.0147113277086</v>
      </c>
      <c r="AO61" s="59">
        <f t="shared" si="36"/>
        <v>76.413905647258389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23.229235980784676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23.229235980784676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224.04095999999993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279.49721661620544</v>
      </c>
      <c r="BJ61" s="59">
        <f t="shared" si="38"/>
        <v>275.18739333988754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45.003691181484612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45.003691181484612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225.2323446080772</v>
      </c>
      <c r="CE61" s="59">
        <f t="shared" si="40"/>
        <v>222.29030402759292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37.815858062670046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37.815858062670046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200.21040000000002</v>
      </c>
      <c r="CV61" s="13">
        <f t="shared" si="41"/>
        <v>49.790404447235048</v>
      </c>
      <c r="CW61" s="20">
        <f t="shared" si="13"/>
        <v>435.41806774560104</v>
      </c>
      <c r="CX61" s="59">
        <f t="shared" si="14"/>
        <v>728.75140107893435</v>
      </c>
      <c r="CY61" s="59">
        <f ca="1">AVERAGE(OFFSET($CX$3,0,0,'Données projet'!$E$13+1,1))-AVERAGE(OFFSET($H$3,0,0,'Données projet'!$E$13+1,1))</f>
        <v>240.57184010337932</v>
      </c>
      <c r="CZ61" s="59">
        <f t="shared" si="42"/>
        <v>236.36473521227072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32.437140365674004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32.437140365674004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18.2</v>
      </c>
      <c r="DO61" s="12">
        <f>IF('Données projet'!$A$166&gt;35,DO60+DN61-DW60,IF(A61&lt;'Données projet'!$A$166,$DL$205^A61,IF(A61='Données projet'!$A$166,'Données projet'!$B$166,DO60+DN61-DW60)))</f>
        <v>540.59999999999968</v>
      </c>
      <c r="DP61" s="17">
        <f>DO61*VLOOKUP('Données projet'!$B$14,Paramètres!$A$1:$I$89,3,0)*VLOOKUP('Données projet'!$B$14,Paramètres!$A$1:$I$89,5,0)</f>
        <v>253.00079999999986</v>
      </c>
      <c r="DQ61" s="13">
        <f t="shared" si="43"/>
        <v>61.228070105968683</v>
      </c>
      <c r="DR61" s="20">
        <f t="shared" si="16"/>
        <v>547.28194876789519</v>
      </c>
      <c r="DS61" s="59">
        <f t="shared" si="17"/>
        <v>840.61528210122856</v>
      </c>
      <c r="DT61" s="59">
        <f ca="1">AVERAGE(OFFSET($DS$3,0,0,'Données projet'!$E$14+1,1))-AVERAGE(OFFSET($H$3,0,0,'Données projet'!$E$14+1,1))</f>
        <v>304.29617570272939</v>
      </c>
      <c r="DU61" s="59">
        <f t="shared" si="44"/>
        <v>246.20695736161576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62.507724044313633</v>
      </c>
      <c r="EB61" s="21">
        <f>EXP(-LN(2)/25)*EB60+(1-EXP(-LN(2)/25))/(LN(2)/25)*Calculateur!DW61*Calculateur!DY61*VLOOKUP('Données projet'!$B$14,Paramètres!$A$1:$I$89,3,0)*0.475*44/12</f>
        <v>18.829267445138697</v>
      </c>
      <c r="EC61" s="21">
        <f>EXP(-LN(2)/2)*EC60+(1-EXP(-LN(2)/2))/(LN(2)/2)*DW61*DZ61*VLOOKUP('Données projet'!$B$14,Paramètres!$A$1:$I$89,3,0)*0.475*44/12</f>
        <v>2.4012410227340365E-4</v>
      </c>
      <c r="ED61" s="22">
        <f t="shared" si="18"/>
        <v>81.337231613554607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12.4</v>
      </c>
      <c r="EJ61" s="12">
        <f>IF('Données projet'!$A$192&gt;35,EJ60+EI61-ER60,IF(A61&lt;'Données projet'!$A$192,$EG$205^A61,IF(A61='Données projet'!$A$192,'Données projet'!$B$192,EJ60+EI61-ER60)))</f>
        <v>388.19999999999959</v>
      </c>
      <c r="EK61" s="17">
        <f>EJ61*VLOOKUP('Données projet'!$B$15,Paramètres!$A$1:$I$89,3,0)*VLOOKUP('Données projet'!$B$15,Paramètres!$A$1:$I$89,5,0)</f>
        <v>232.14359999999979</v>
      </c>
      <c r="EL61" s="13">
        <f t="shared" si="45"/>
        <v>56.745927424617399</v>
      </c>
      <c r="EM61" s="20">
        <f t="shared" si="19"/>
        <v>503.14926026454168</v>
      </c>
      <c r="EN61" s="59">
        <f t="shared" si="20"/>
        <v>796.48259359787494</v>
      </c>
      <c r="EO61" s="59">
        <f ca="1">AVERAGE(OFFSET($EN$3,0,0,'Données projet'!$E$15+1,1))-AVERAGE(OFFSET($H$3,0,0,'Données projet'!$E$15+1,1))</f>
        <v>288.41846134875794</v>
      </c>
      <c r="EP61" s="59">
        <f t="shared" si="46"/>
        <v>248.93951719818972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55.2189087223597</v>
      </c>
      <c r="EW61" s="21">
        <f>EXP(-LN(2)/25)*EW60+(1-EXP(-LN(2)/25))/(LN(2)/25)*Calculateur!ER61*Calculateur!ET61*VLOOKUP('Données projet'!$B$15,Paramètres!$A$1:$I$89,3,0)*0.475*44/12</f>
        <v>12.852684400869341</v>
      </c>
      <c r="EX61" s="21">
        <f>EXP(-LN(2)/2)*EX60+(1-EXP(-LN(2)/2))/(LN(2)/2)*ER61*EU61*VLOOKUP('Données projet'!$B$15,Paramètres!$A$1:$I$89,3,0)*0.475*44/12</f>
        <v>2.9702611961706269E-5</v>
      </c>
      <c r="EY61" s="22">
        <f t="shared" si="21"/>
        <v>68.071622825841004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18.2</v>
      </c>
      <c r="FE61" s="12">
        <f>IF('Données projet'!$A$218&gt;35,FE60+FD61-FM60,IF(A61&lt;'Données projet'!$A$218,$FB$205^A61,IF(A61='Données projet'!$A$218,'Données projet'!$B$218,FE60+FD61-FM60)))</f>
        <v>674.60000000000014</v>
      </c>
      <c r="FF61" s="17">
        <f>FE61*VLOOKUP('Données projet'!$B$16,Paramètres!$A$1:$I$89,3,0)*VLOOKUP('Données projet'!$B$16,Paramètres!$A$1:$I$89,5,0)</f>
        <v>306.94300000000004</v>
      </c>
      <c r="FG61" s="13">
        <f t="shared" si="47"/>
        <v>72.630039139741598</v>
      </c>
      <c r="FH61" s="20">
        <f t="shared" si="22"/>
        <v>661.08970983505003</v>
      </c>
      <c r="FI61" s="59">
        <f t="shared" si="23"/>
        <v>954.4230431683834</v>
      </c>
      <c r="FJ61" s="59">
        <f ca="1">AVERAGE(OFFSET($FI$3,0,0,'Données projet'!$E$16+1,1))-AVERAGE(OFFSET($H$3,0,0,'Données projet'!$E$16+1,1))</f>
        <v>367.36535411813264</v>
      </c>
      <c r="FK61" s="59">
        <f t="shared" si="48"/>
        <v>293.19545174980556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74.617354669911691</v>
      </c>
      <c r="FR61" s="21">
        <f>EXP(-LN(2)/25)*FR60+(1-EXP(-LN(2)/25))/(LN(2)/25)*Calculateur!FM61*Calculateur!FO61*VLOOKUP('Données projet'!$B$16,Paramètres!$A$1:$I$89,3,0)*0.475*44/12</f>
        <v>19.920625983634039</v>
      </c>
      <c r="FS61" s="21">
        <f>EXP(-LN(2)/2)*FS60+(1-EXP(-LN(2)/2))/(LN(2)/2)*FM61*FP61*VLOOKUP('Données projet'!$B$16,Paramètres!$A$1:$I$89,3,0)*0.475*44/12</f>
        <v>4.4217026313504009E-5</v>
      </c>
      <c r="FT61" s="22">
        <f t="shared" si="24"/>
        <v>94.538024870572045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18.600000000000001</v>
      </c>
      <c r="FZ61" s="12">
        <f>IF('Données projet'!$A$244&gt;35,FZ60+FY61-GH60,IF(A61&lt;'Données projet'!$A$244,$FW$205^A61,IF(A61='Données projet'!$A$244,'Données projet'!$B$244,FZ60+FY61-GH60)))</f>
        <v>536.79999999999995</v>
      </c>
      <c r="GA61" s="17">
        <f>FZ61*VLOOKUP('Données projet'!$B$17,Paramètres!$A$1:$I$89,3,0)*VLOOKUP('Données projet'!$B$17,Paramètres!$A$1:$I$89,5,0)</f>
        <v>258.20080000000002</v>
      </c>
      <c r="GB61" s="13">
        <f t="shared" si="49"/>
        <v>62.338706365198384</v>
      </c>
      <c r="GC61" s="20">
        <f t="shared" si="25"/>
        <v>558.27297358605381</v>
      </c>
      <c r="GD61" s="59">
        <f t="shared" si="26"/>
        <v>851.60630691938718</v>
      </c>
      <c r="GE61" s="59">
        <f ca="1">AVERAGE(OFFSET($GD$3,0,0,'Données projet'!$E$17+1,1))-AVERAGE(OFFSET($H$3,0,0,'Données projet'!$E$17+1,1))</f>
        <v>312.64506496298173</v>
      </c>
      <c r="GF61" s="59">
        <f t="shared" si="50"/>
        <v>259.97532509897508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76.706528665349651</v>
      </c>
      <c r="GM61" s="21">
        <f>EXP(-LN(2)/25)*GM60+(1-EXP(-LN(2)/25))/(LN(2)/25)*Calculateur!GH61*Calculateur!GJ61*VLOOKUP('Données projet'!$B$17,Paramètres!$A$1:$I$89,3,0)*0.475*44/12</f>
        <v>9.0065236969824962</v>
      </c>
      <c r="GN61" s="21">
        <f>EXP(-LN(2)/2)*GN60+(1-EXP(-LN(2)/2))/(LN(2)/2)*GH61*GK61*VLOOKUP('Données projet'!$B$17,Paramètres!$A$1:$I$89,3,0)*0.475*44/12</f>
        <v>2.3504211069089718E-4</v>
      </c>
      <c r="GO61" s="21">
        <f t="shared" si="27"/>
        <v>85.713287404442838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7.6</v>
      </c>
      <c r="GU61" s="12">
        <f>IF('Données projet'!$A$270&gt;35,GU60+GT61-HC60,IF(A61&lt;'Données projet'!$A$270,$GR$205^A61,IF(A61='Données projet'!$A$270,'Données projet'!$B$270,GU60+GT61-HC60)))</f>
        <v>198.79999999999998</v>
      </c>
      <c r="GV61" s="17">
        <f>GU61*VLOOKUP('Données projet'!$B$18,Paramètres!$A$1:$I$89,3,0)*VLOOKUP('Données projet'!$B$18,Paramètres!$A$1:$I$89,5,0)</f>
        <v>201.58320000000001</v>
      </c>
      <c r="GW61" s="13">
        <f t="shared" si="51"/>
        <v>50.091947337331924</v>
      </c>
      <c r="GX61" s="20">
        <f t="shared" si="28"/>
        <v>438.33421494585309</v>
      </c>
      <c r="GY61" s="59">
        <f t="shared" si="29"/>
        <v>731.66754827918635</v>
      </c>
      <c r="GZ61" s="59">
        <f ca="1">AVERAGE(OFFSET($GY$3,0,0,'Données projet'!$E$18+1,1))-AVERAGE(OFFSET($H$3,0,0,'Données projet'!$E$18+1,1))</f>
        <v>308.80022073574963</v>
      </c>
      <c r="HA61" s="59">
        <f t="shared" si="52"/>
        <v>183.96267407004115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39.507631625243064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39.507631625243064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344.49457749226184</v>
      </c>
      <c r="T62" s="59">
        <f t="shared" si="34"/>
        <v>207.92972431357452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142.59999999999997</v>
      </c>
      <c r="AJ62" s="13">
        <f>AI62*VLOOKUP('Données projet'!$B$10,Paramètres!$A$1:$I$89,3,0)*VLOOKUP('Données projet'!$B$10,Paramètres!$A$1:$I$89,5,0)</f>
        <v>129.02447999999995</v>
      </c>
      <c r="AK62" s="13">
        <f t="shared" si="35"/>
        <v>33.770846580616251</v>
      </c>
      <c r="AL62" s="20">
        <f t="shared" si="4"/>
        <v>283.53519379457322</v>
      </c>
      <c r="AM62" s="59">
        <f t="shared" si="5"/>
        <v>576.86852712790653</v>
      </c>
      <c r="AN62" s="59">
        <f ca="1">AVERAGE(OFFSET($AM$3,0,0,'Données projet'!$E$10+1,1))-AVERAGE(OFFSET($H$3,0,0,'Données projet'!$E$10+1,1))</f>
        <v>183.0147113277086</v>
      </c>
      <c r="AO62" s="59">
        <f t="shared" si="36"/>
        <v>76.413905647258389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22.773724831636422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22.773724831636422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228.97367999999994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279.49721661620544</v>
      </c>
      <c r="BJ62" s="59">
        <f t="shared" si="38"/>
        <v>275.18739333988754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44.121196246956906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44.121196246956906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225.2323446080772</v>
      </c>
      <c r="CE62" s="59">
        <f t="shared" si="40"/>
        <v>222.29030402759292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37.074312151456986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37.074312151456986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204.51599999999999</v>
      </c>
      <c r="CV62" s="13">
        <f t="shared" si="41"/>
        <v>50.735354396355888</v>
      </c>
      <c r="CW62" s="20">
        <f t="shared" si="13"/>
        <v>444.56277557365314</v>
      </c>
      <c r="CX62" s="59">
        <f t="shared" si="14"/>
        <v>737.89610890698646</v>
      </c>
      <c r="CY62" s="59">
        <f ca="1">AVERAGE(OFFSET($CX$3,0,0,'Données projet'!$E$13+1,1))-AVERAGE(OFFSET($H$3,0,0,'Données projet'!$E$13+1,1))</f>
        <v>240.57184010337932</v>
      </c>
      <c r="CZ62" s="59">
        <f t="shared" si="42"/>
        <v>236.36473521227072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31.801067827805184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31.801067827805184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18.2</v>
      </c>
      <c r="DO62" s="12">
        <f>IF('Données projet'!$A$166&gt;35,DO61+DN62-DW61,IF(A62&lt;'Données projet'!$A$166,$DL$205^A62,IF(A62='Données projet'!$A$166,'Données projet'!$B$166,DO61+DN62-DW61)))</f>
        <v>558.79999999999973</v>
      </c>
      <c r="DP62" s="17">
        <f>DO62*VLOOKUP('Données projet'!$B$14,Paramètres!$A$1:$I$89,3,0)*VLOOKUP('Données projet'!$B$14,Paramètres!$A$1:$I$89,5,0)</f>
        <v>261.51839999999987</v>
      </c>
      <c r="DQ62" s="13">
        <f t="shared" si="43"/>
        <v>63.045929705903603</v>
      </c>
      <c r="DR62" s="20">
        <f t="shared" si="16"/>
        <v>565.28287423778181</v>
      </c>
      <c r="DS62" s="59">
        <f t="shared" si="17"/>
        <v>858.61620757111518</v>
      </c>
      <c r="DT62" s="59">
        <f ca="1">AVERAGE(OFFSET($DS$3,0,0,'Données projet'!$E$14+1,1))-AVERAGE(OFFSET($H$3,0,0,'Données projet'!$E$14+1,1))</f>
        <v>304.29617570272939</v>
      </c>
      <c r="DU62" s="59">
        <f t="shared" si="44"/>
        <v>246.20695736161576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61.281985701751687</v>
      </c>
      <c r="EB62" s="21">
        <f>EXP(-LN(2)/25)*EB61+(1-EXP(-LN(2)/25))/(LN(2)/25)*Calculateur!DW62*Calculateur!DY62*VLOOKUP('Données projet'!$B$14,Paramètres!$A$1:$I$89,3,0)*0.475*44/12</f>
        <v>18.314380136663239</v>
      </c>
      <c r="EC62" s="21">
        <f>EXP(-LN(2)/2)*EC61+(1-EXP(-LN(2)/2))/(LN(2)/2)*DW62*DZ62*VLOOKUP('Données projet'!$B$14,Paramètres!$A$1:$I$89,3,0)*0.475*44/12</f>
        <v>1.6979338104385582E-4</v>
      </c>
      <c r="ED62" s="22">
        <f t="shared" si="18"/>
        <v>79.596535631795973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12.4</v>
      </c>
      <c r="EJ62" s="12">
        <f>IF('Données projet'!$A$192&gt;35,EJ61+EI62-ER61,IF(A62&lt;'Données projet'!$A$192,$EG$205^A62,IF(A62='Données projet'!$A$192,'Données projet'!$B$192,EJ61+EI62-ER61)))</f>
        <v>400.59999999999957</v>
      </c>
      <c r="EK62" s="17">
        <f>EJ62*VLOOKUP('Données projet'!$B$15,Paramètres!$A$1:$I$89,3,0)*VLOOKUP('Données projet'!$B$15,Paramètres!$A$1:$I$89,5,0)</f>
        <v>239.55879999999976</v>
      </c>
      <c r="EL62" s="13">
        <f t="shared" si="45"/>
        <v>58.344593989738705</v>
      </c>
      <c r="EM62" s="20">
        <f t="shared" si="19"/>
        <v>518.84841119879445</v>
      </c>
      <c r="EN62" s="59">
        <f t="shared" si="20"/>
        <v>812.18174453212782</v>
      </c>
      <c r="EO62" s="59">
        <f ca="1">AVERAGE(OFFSET($EN$3,0,0,'Données projet'!$E$15+1,1))-AVERAGE(OFFSET($H$3,0,0,'Données projet'!$E$15+1,1))</f>
        <v>288.41846134875794</v>
      </c>
      <c r="EP62" s="59">
        <f t="shared" si="46"/>
        <v>248.93951719818972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54.136099602522904</v>
      </c>
      <c r="EW62" s="21">
        <f>EXP(-LN(2)/25)*EW61+(1-EXP(-LN(2)/25))/(LN(2)/25)*Calculateur!ER62*Calculateur!ET62*VLOOKUP('Données projet'!$B$15,Paramètres!$A$1:$I$89,3,0)*0.475*44/12</f>
        <v>12.501227070034272</v>
      </c>
      <c r="EX62" s="21">
        <f>EXP(-LN(2)/2)*EX61+(1-EXP(-LN(2)/2))/(LN(2)/2)*ER62*EU62*VLOOKUP('Données projet'!$B$15,Paramètres!$A$1:$I$89,3,0)*0.475*44/12</f>
        <v>2.1002918337075167E-5</v>
      </c>
      <c r="EY62" s="22">
        <f t="shared" si="21"/>
        <v>66.63734767547551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18.2</v>
      </c>
      <c r="FE62" s="12">
        <f>IF('Données projet'!$A$218&gt;35,FE61+FD62-FM61,IF(A62&lt;'Données projet'!$A$218,$FB$205^A62,IF(A62='Données projet'!$A$218,'Données projet'!$B$218,FE61+FD62-FM61)))</f>
        <v>692.80000000000018</v>
      </c>
      <c r="FF62" s="17">
        <f>FE62*VLOOKUP('Données projet'!$B$16,Paramètres!$A$1:$I$89,3,0)*VLOOKUP('Données projet'!$B$16,Paramètres!$A$1:$I$89,5,0)</f>
        <v>315.22400000000005</v>
      </c>
      <c r="FG62" s="13">
        <f t="shared" si="47"/>
        <v>74.358745950570395</v>
      </c>
      <c r="FH62" s="20">
        <f t="shared" si="22"/>
        <v>678.52328253057669</v>
      </c>
      <c r="FI62" s="59">
        <f t="shared" si="23"/>
        <v>971.85661586391006</v>
      </c>
      <c r="FJ62" s="59">
        <f ca="1">AVERAGE(OFFSET($FI$3,0,0,'Données projet'!$E$16+1,1))-AVERAGE(OFFSET($H$3,0,0,'Données projet'!$E$16+1,1))</f>
        <v>367.36535411813264</v>
      </c>
      <c r="FK62" s="59">
        <f t="shared" si="48"/>
        <v>293.19545174980556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73.154153856927124</v>
      </c>
      <c r="FR62" s="21">
        <f>EXP(-LN(2)/25)*FR61+(1-EXP(-LN(2)/25))/(LN(2)/25)*Calculateur!FM62*Calculateur!FO62*VLOOKUP('Données projet'!$B$16,Paramètres!$A$1:$I$89,3,0)*0.475*44/12</f>
        <v>19.375895418531375</v>
      </c>
      <c r="FS62" s="21">
        <f>EXP(-LN(2)/2)*FS61+(1-EXP(-LN(2)/2))/(LN(2)/2)*FM62*FP62*VLOOKUP('Données projet'!$B$16,Paramètres!$A$1:$I$89,3,0)*0.475*44/12</f>
        <v>3.1266159150182692E-5</v>
      </c>
      <c r="FT62" s="22">
        <f t="shared" si="24"/>
        <v>92.53008054161765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18.600000000000001</v>
      </c>
      <c r="FZ62" s="12">
        <f>IF('Données projet'!$A$244&gt;35,FZ61+FY62-GH61,IF(A62&lt;'Données projet'!$A$244,$FW$205^A62,IF(A62='Données projet'!$A$244,'Données projet'!$B$244,FZ61+FY62-GH61)))</f>
        <v>555.4</v>
      </c>
      <c r="GA62" s="17">
        <f>FZ62*VLOOKUP('Données projet'!$B$17,Paramètres!$A$1:$I$89,3,0)*VLOOKUP('Données projet'!$B$17,Paramètres!$A$1:$I$89,5,0)</f>
        <v>267.1474</v>
      </c>
      <c r="GB62" s="13">
        <f t="shared" si="49"/>
        <v>64.243501848411128</v>
      </c>
      <c r="GC62" s="20">
        <f t="shared" si="25"/>
        <v>577.17248738598266</v>
      </c>
      <c r="GD62" s="59">
        <f t="shared" si="26"/>
        <v>870.50582071931603</v>
      </c>
      <c r="GE62" s="59">
        <f ca="1">AVERAGE(OFFSET($GD$3,0,0,'Données projet'!$E$17+1,1))-AVERAGE(OFFSET($H$3,0,0,'Données projet'!$E$17+1,1))</f>
        <v>312.64506496298173</v>
      </c>
      <c r="GF62" s="59">
        <f t="shared" si="50"/>
        <v>259.97532509897508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75.202360424584867</v>
      </c>
      <c r="GM62" s="21">
        <f>EXP(-LN(2)/25)*GM61+(1-EXP(-LN(2)/25))/(LN(2)/25)*Calculateur!GH62*Calculateur!GJ62*VLOOKUP('Données projet'!$B$17,Paramètres!$A$1:$I$89,3,0)*0.475*44/12</f>
        <v>8.7602398328560138</v>
      </c>
      <c r="GN62" s="21">
        <f>EXP(-LN(2)/2)*GN61+(1-EXP(-LN(2)/2))/(LN(2)/2)*GH62*GK62*VLOOKUP('Données projet'!$B$17,Paramètres!$A$1:$I$89,3,0)*0.475*44/12</f>
        <v>1.6619987033393251E-4</v>
      </c>
      <c r="GO62" s="21">
        <f t="shared" si="27"/>
        <v>83.962766457311218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7.6</v>
      </c>
      <c r="GU62" s="12">
        <f>IF('Données projet'!$A$270&gt;35,GU61+GT62-HC61,IF(A62&lt;'Données projet'!$A$270,$GR$205^A62,IF(A62='Données projet'!$A$270,'Données projet'!$B$270,GU61+GT62-HC61)))</f>
        <v>206.39999999999998</v>
      </c>
      <c r="GV62" s="17">
        <f>GU62*VLOOKUP('Données projet'!$B$18,Paramètres!$A$1:$I$89,3,0)*VLOOKUP('Données projet'!$B$18,Paramètres!$A$1:$I$89,5,0)</f>
        <v>209.28960000000001</v>
      </c>
      <c r="GW62" s="13">
        <f t="shared" si="51"/>
        <v>51.780314822292169</v>
      </c>
      <c r="GX62" s="20">
        <f t="shared" si="28"/>
        <v>454.69676831549214</v>
      </c>
      <c r="GY62" s="59">
        <f t="shared" si="29"/>
        <v>748.03010164882539</v>
      </c>
      <c r="GZ62" s="59">
        <f ca="1">AVERAGE(OFFSET($GY$3,0,0,'Données projet'!$E$18+1,1))-AVERAGE(OFFSET($H$3,0,0,'Données projet'!$E$18+1,1))</f>
        <v>308.80022073574963</v>
      </c>
      <c r="HA62" s="59">
        <f t="shared" si="52"/>
        <v>183.96267407004115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38.732911066347931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38.732911066347931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344.49457749226184</v>
      </c>
      <c r="T63" s="59">
        <f t="shared" si="34"/>
        <v>207.92972431357452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148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147.99999999999997</v>
      </c>
      <c r="AJ63" s="13">
        <f>AI63*VLOOKUP('Données projet'!$B$10,Paramètres!$A$1:$I$89,3,0)*VLOOKUP('Données projet'!$B$10,Paramètres!$A$1:$I$89,5,0)</f>
        <v>133.91039999999995</v>
      </c>
      <c r="AK63" s="13">
        <f t="shared" si="35"/>
        <v>34.898373535125089</v>
      </c>
      <c r="AL63" s="20">
        <f t="shared" si="4"/>
        <v>294.00861390700948</v>
      </c>
      <c r="AM63" s="59">
        <f t="shared" si="5"/>
        <v>587.34194724034273</v>
      </c>
      <c r="AN63" s="59">
        <f ca="1">AVERAGE(OFFSET($AM$3,0,0,'Données projet'!$E$10+1,1))-AVERAGE(OFFSET($H$3,0,0,'Données projet'!$E$10+1,1))</f>
        <v>183.0147113277086</v>
      </c>
      <c r="AO63" s="59">
        <f t="shared" si="36"/>
        <v>76.413905647258389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28.348528166685103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28.348528166685103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233.90639999999991</v>
      </c>
      <c r="BF63" s="13">
        <f t="shared" si="37"/>
        <v>57.126506840778347</v>
      </c>
      <c r="BG63" s="20">
        <f t="shared" si="7"/>
        <v>506.88231274768879</v>
      </c>
      <c r="BH63" s="59">
        <f t="shared" si="8"/>
        <v>800.2156460810221</v>
      </c>
      <c r="BI63" s="59">
        <f ca="1">AVERAGE(OFFSET($BH$3,0,0,'Données projet'!$E$11+1,1))-AVERAGE(OFFSET($H$3,0,0,'Données projet'!$E$11+1,1))</f>
        <v>279.49721661620544</v>
      </c>
      <c r="BJ63" s="59">
        <f t="shared" si="38"/>
        <v>275.18739333988754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49.781987275783123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49.781987275783123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225.2323446080772</v>
      </c>
      <c r="CE63" s="59">
        <f t="shared" si="40"/>
        <v>222.29030402759292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41.941005311227265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41.941005311227265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208.82159999999999</v>
      </c>
      <c r="CV63" s="13">
        <f t="shared" si="41"/>
        <v>51.6779913750944</v>
      </c>
      <c r="CW63" s="20">
        <f t="shared" si="13"/>
        <v>453.70345497828936</v>
      </c>
      <c r="CX63" s="59">
        <f t="shared" si="14"/>
        <v>747.03678831162267</v>
      </c>
      <c r="CY63" s="59">
        <f ca="1">AVERAGE(OFFSET($CX$3,0,0,'Données projet'!$E$13+1,1))-AVERAGE(OFFSET($H$3,0,0,'Données projet'!$E$13+1,1))</f>
        <v>240.57184010337932</v>
      </c>
      <c r="CZ63" s="59">
        <f t="shared" si="42"/>
        <v>236.36473521227072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35.782490869406296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35.782490869406296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577</v>
      </c>
      <c r="DM63" s="12">
        <f>VLOOKUP(A63,'Données projet'!$A$165:$I$185,9,0)</f>
        <v>18.2</v>
      </c>
      <c r="DN63" s="12">
        <f t="array" ref="DN63">INDEX(DM:DM,MIN(IF(ISNUMBER(DM63:DM259),ROW(DM63:DM259),"")))</f>
        <v>18.2</v>
      </c>
      <c r="DO63" s="12">
        <f>IF('Données projet'!$A$166&gt;35,DO62+DN63-DW62,IF(A63&lt;'Données projet'!$A$166,$DL$205^A63,IF(A63='Données projet'!$A$166,'Données projet'!$B$166,DO62+DN63-DW62)))</f>
        <v>576.99999999999977</v>
      </c>
      <c r="DP63" s="17">
        <f>DO63*VLOOKUP('Données projet'!$B$14,Paramètres!$A$1:$I$89,3,0)*VLOOKUP('Données projet'!$B$14,Paramètres!$A$1:$I$89,5,0)</f>
        <v>270.03599999999989</v>
      </c>
      <c r="DQ63" s="13">
        <f t="shared" si="43"/>
        <v>64.856909337133416</v>
      </c>
      <c r="DR63" s="20">
        <f t="shared" si="16"/>
        <v>583.27181709550712</v>
      </c>
      <c r="DS63" s="59">
        <f t="shared" si="17"/>
        <v>876.60515042884049</v>
      </c>
      <c r="DT63" s="59">
        <f ca="1">AVERAGE(OFFSET($DS$3,0,0,'Données projet'!$E$14+1,1))-AVERAGE(OFFSET($H$3,0,0,'Données projet'!$E$14+1,1))</f>
        <v>304.29617570272939</v>
      </c>
      <c r="DU63" s="59">
        <f t="shared" si="44"/>
        <v>246.20695736161576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50</v>
      </c>
      <c r="DX63" s="16">
        <f>IF(ISNA(VLOOKUP(A63,'Données projet'!$A$165:$I$185,5,0)),0%,VLOOKUP(A63,'Données projet'!$A$165:$I$185,5,0)*VLOOKUP('Données projet'!$B$14,Paramètres!$A$1:$I$89,7,0))</f>
        <v>0.55000000000000004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77.15316788196769</v>
      </c>
      <c r="EB63" s="21">
        <f>EXP(-LN(2)/25)*EB62+(1-EXP(-LN(2)/25))/(LN(2)/25)*Calculateur!DW63*Calculateur!DY63*VLOOKUP('Données projet'!$B$14,Paramètres!$A$1:$I$89,3,0)*0.475*44/12</f>
        <v>17.81357244871479</v>
      </c>
      <c r="EC63" s="21">
        <f>EXP(-LN(2)/2)*EC62+(1-EXP(-LN(2)/2))/(LN(2)/2)*DW63*DZ63*VLOOKUP('Données projet'!$B$14,Paramètres!$A$1:$I$89,3,0)*0.475*44/12</f>
        <v>1.2006205113670185E-4</v>
      </c>
      <c r="ED63" s="22">
        <f t="shared" si="18"/>
        <v>94.966860392733622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413</v>
      </c>
      <c r="EH63" s="12">
        <f>VLOOKUP(A63,'Données projet'!$A$191:$I$211,9,0)</f>
        <v>12.4</v>
      </c>
      <c r="EI63" s="12">
        <f t="array" ref="EI63">INDEX(EH:EH,MIN(IF(ISNUMBER(EH63:EH259),ROW(EH63:EH259),"")))</f>
        <v>12.4</v>
      </c>
      <c r="EJ63" s="12">
        <f>IF('Données projet'!$A$192&gt;35,EJ62+EI63-ER62,IF(A63&lt;'Données projet'!$A$192,$EG$205^A63,IF(A63='Données projet'!$A$192,'Données projet'!$B$192,EJ62+EI63-ER62)))</f>
        <v>412.99999999999955</v>
      </c>
      <c r="EK63" s="17">
        <f>EJ63*VLOOKUP('Données projet'!$B$15,Paramètres!$A$1:$I$89,3,0)*VLOOKUP('Données projet'!$B$15,Paramètres!$A$1:$I$89,5,0)</f>
        <v>246.97399999999973</v>
      </c>
      <c r="EL63" s="13">
        <f t="shared" si="45"/>
        <v>59.937509960346993</v>
      </c>
      <c r="EM63" s="20">
        <f t="shared" si="19"/>
        <v>534.5375465142705</v>
      </c>
      <c r="EN63" s="59">
        <f t="shared" si="20"/>
        <v>827.87087984760387</v>
      </c>
      <c r="EO63" s="59">
        <f ca="1">AVERAGE(OFFSET($EN$3,0,0,'Données projet'!$E$15+1,1))-AVERAGE(OFFSET($H$3,0,0,'Données projet'!$E$15+1,1))</f>
        <v>288.41846134875794</v>
      </c>
      <c r="EP63" s="59">
        <f t="shared" si="46"/>
        <v>248.93951719818972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30</v>
      </c>
      <c r="ES63" s="16">
        <f>IF(ISNA(VLOOKUP(A63,'Données projet'!$A$191:$I$211,5,0)),0%,VLOOKUP(A63,'Données projet'!$A$191:$I$211,5,0)*VLOOKUP('Données projet'!$B$15,Paramètres!$A$1:$I$89,7,0))</f>
        <v>0.45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63.78387855784117</v>
      </c>
      <c r="EW63" s="21">
        <f>EXP(-LN(2)/25)*EW62+(1-EXP(-LN(2)/25))/(LN(2)/25)*Calculateur!ER63*Calculateur!ET63*VLOOKUP('Données projet'!$B$15,Paramètres!$A$1:$I$89,3,0)*0.475*44/12</f>
        <v>12.159380358393225</v>
      </c>
      <c r="EX63" s="21">
        <f>EXP(-LN(2)/2)*EX62+(1-EXP(-LN(2)/2))/(LN(2)/2)*ER63*EU63*VLOOKUP('Données projet'!$B$15,Paramètres!$A$1:$I$89,3,0)*0.475*44/12</f>
        <v>1.4851305980853138E-5</v>
      </c>
      <c r="EY63" s="22">
        <f t="shared" si="21"/>
        <v>75.943273767540376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711</v>
      </c>
      <c r="FC63" s="12">
        <f>VLOOKUP(A63,'Données projet'!$A$217:$I$237,9,0)</f>
        <v>18.2</v>
      </c>
      <c r="FD63" s="12">
        <f t="array" ref="FD63">INDEX(FC:FC,MIN(IF(ISNUMBER(FC63:FC259),ROW(FC63:FC259),"")))</f>
        <v>18.2</v>
      </c>
      <c r="FE63" s="12">
        <f>IF('Données projet'!$A$218&gt;35,FE62+FD63-FM62,IF(A63&lt;'Données projet'!$A$218,$FB$205^A63,IF(A63='Données projet'!$A$218,'Données projet'!$B$218,FE62+FD63-FM62)))</f>
        <v>711.00000000000023</v>
      </c>
      <c r="FF63" s="17">
        <f>FE63*VLOOKUP('Données projet'!$B$16,Paramètres!$A$1:$I$89,3,0)*VLOOKUP('Données projet'!$B$16,Paramètres!$A$1:$I$89,5,0)</f>
        <v>323.50500000000005</v>
      </c>
      <c r="FG63" s="13">
        <f t="shared" si="47"/>
        <v>76.082174063733902</v>
      </c>
      <c r="FH63" s="20">
        <f t="shared" si="22"/>
        <v>695.94766149433656</v>
      </c>
      <c r="FI63" s="59">
        <f t="shared" si="23"/>
        <v>989.28099482766993</v>
      </c>
      <c r="FJ63" s="59">
        <f ca="1">AVERAGE(OFFSET($FI$3,0,0,'Données projet'!$E$16+1,1))-AVERAGE(OFFSET($H$3,0,0,'Données projet'!$E$16+1,1))</f>
        <v>367.36535411813264</v>
      </c>
      <c r="FK63" s="59">
        <f t="shared" si="48"/>
        <v>293.19545174980556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39</v>
      </c>
      <c r="FN63" s="16">
        <f>IF(ISNA(VLOOKUP(A63,'Données projet'!$A$217:$I$237,5,0)),0%,VLOOKUP(A63,'Données projet'!$A$217:$I$237,5,0)*VLOOKUP('Données projet'!$B$16,Paramètres!$A$1:$I$89,7,0))</f>
        <v>0.55000000000000004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84.666582963396863</v>
      </c>
      <c r="FR63" s="21">
        <f>EXP(-LN(2)/25)*FR62+(1-EXP(-LN(2)/25))/(LN(2)/25)*Calculateur!FM63*Calculateur!FO63*VLOOKUP('Données projet'!$B$16,Paramètres!$A$1:$I$89,3,0)*0.475*44/12</f>
        <v>18.846060539377579</v>
      </c>
      <c r="FS63" s="21">
        <f>EXP(-LN(2)/2)*FS62+(1-EXP(-LN(2)/2))/(LN(2)/2)*FM63*FP63*VLOOKUP('Données projet'!$B$16,Paramètres!$A$1:$I$89,3,0)*0.475*44/12</f>
        <v>2.2108513156752004E-5</v>
      </c>
      <c r="FT63" s="22">
        <f t="shared" si="24"/>
        <v>103.51266561128759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574</v>
      </c>
      <c r="FX63" s="12">
        <f>VLOOKUP(A63,'Données projet'!$A$243:$I$263,9,0)</f>
        <v>18.600000000000001</v>
      </c>
      <c r="FY63" s="12">
        <f t="array" ref="FY63">INDEX(FX:FX,MIN(IF(ISNUMBER(FX63:FX259),ROW(FX63:FX259),"")))</f>
        <v>18.600000000000001</v>
      </c>
      <c r="FZ63" s="12">
        <f>IF('Données projet'!$A$244&gt;35,FZ62+FY63-GH62,IF(A63&lt;'Données projet'!$A$244,$FW$205^A63,IF(A63='Données projet'!$A$244,'Données projet'!$B$244,FZ62+FY63-GH62)))</f>
        <v>574</v>
      </c>
      <c r="GA63" s="17">
        <f>FZ63*VLOOKUP('Données projet'!$B$17,Paramètres!$A$1:$I$89,3,0)*VLOOKUP('Données projet'!$B$17,Paramètres!$A$1:$I$89,5,0)</f>
        <v>276.09399999999999</v>
      </c>
      <c r="GB63" s="13">
        <f t="shared" si="49"/>
        <v>66.140885117273569</v>
      </c>
      <c r="GC63" s="20">
        <f t="shared" si="25"/>
        <v>596.05909157925146</v>
      </c>
      <c r="GD63" s="59">
        <f t="shared" si="26"/>
        <v>889.39242491258483</v>
      </c>
      <c r="GE63" s="59">
        <f ca="1">AVERAGE(OFFSET($GD$3,0,0,'Données projet'!$E$17+1,1))-AVERAGE(OFFSET($H$3,0,0,'Données projet'!$E$17+1,1))</f>
        <v>312.64506496298173</v>
      </c>
      <c r="GF63" s="59">
        <f t="shared" si="50"/>
        <v>259.97532509897508</v>
      </c>
      <c r="GG63" s="15">
        <f>IF(ISNA(VLOOKUP(A63,'Données projet'!$A$243:$I$263,3,0)),0,VLOOKUP(A63,'Données projet'!$A$243:$I$263,3,0))</f>
        <v>8</v>
      </c>
      <c r="GH63" s="15">
        <f>IF(ISNA(VLOOKUP(A63,'Données projet'!$A$243:$I$263,4,0)),0,VLOOKUP(A63,'Données projet'!$A$243:$I$263,4,0))</f>
        <v>50</v>
      </c>
      <c r="GI63" s="16">
        <f>IF(ISNA(VLOOKUP(A63,'Données projet'!$A$243:$I$263,5,0)),0%,VLOOKUP(A63,'Données projet'!$A$243:$I$263,5,0)*VLOOKUP('Données projet'!$B$17,Paramètres!$A$1:$I$89,7,0))</f>
        <v>0.55000000000000004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91.274819339895956</v>
      </c>
      <c r="GM63" s="21">
        <f>EXP(-LN(2)/25)*GM62+(1-EXP(-LN(2)/25))/(LN(2)/25)*Calculateur!GH63*Calculateur!GJ63*VLOOKUP('Données projet'!$B$17,Paramètres!$A$1:$I$89,3,0)*0.475*44/12</f>
        <v>8.5206906139455754</v>
      </c>
      <c r="GN63" s="21">
        <f>EXP(-LN(2)/2)*GN62+(1-EXP(-LN(2)/2))/(LN(2)/2)*GH63*GK63*VLOOKUP('Données projet'!$B$17,Paramètres!$A$1:$I$89,3,0)*0.475*44/12</f>
        <v>1.1752105534544859E-4</v>
      </c>
      <c r="GO63" s="21">
        <f t="shared" si="27"/>
        <v>99.795627474896875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214</v>
      </c>
      <c r="GS63" s="12">
        <f>VLOOKUP(A63,'Données projet'!$A$269:$I$289,9,0)</f>
        <v>7.6</v>
      </c>
      <c r="GT63" s="12">
        <f t="array" ref="GT63">INDEX(GS:GS,MIN(IF(ISNUMBER(GS63:GS259),ROW(GS63:GS259),"")))</f>
        <v>7.6</v>
      </c>
      <c r="GU63" s="12">
        <f>IF('Données projet'!$A$270&gt;35,GU62+GT63-HC62,IF(A63&lt;'Données projet'!$A$270,$GR$205^A63,IF(A63='Données projet'!$A$270,'Données projet'!$B$270,GU62+GT63-HC62)))</f>
        <v>213.99999999999997</v>
      </c>
      <c r="GV63" s="17">
        <f>GU63*VLOOKUP('Données projet'!$B$18,Paramètres!$A$1:$I$89,3,0)*VLOOKUP('Données projet'!$B$18,Paramètres!$A$1:$I$89,5,0)</f>
        <v>216.99600000000001</v>
      </c>
      <c r="GW63" s="13">
        <f t="shared" si="51"/>
        <v>53.461459647386917</v>
      </c>
      <c r="GX63" s="20">
        <f t="shared" si="28"/>
        <v>471.04674221919896</v>
      </c>
      <c r="GY63" s="59">
        <f t="shared" si="29"/>
        <v>764.38007555253228</v>
      </c>
      <c r="GZ63" s="59">
        <f ca="1">AVERAGE(OFFSET($GY$3,0,0,'Données projet'!$E$18+1,1))-AVERAGE(OFFSET($H$3,0,0,'Données projet'!$E$18+1,1))</f>
        <v>308.80022073574963</v>
      </c>
      <c r="HA63" s="59">
        <f t="shared" si="52"/>
        <v>183.96267407004115</v>
      </c>
      <c r="HB63" s="15">
        <f>IF(ISNA(VLOOKUP(A63,'Données projet'!$A$269:$I$289,3,0)),0,VLOOKUP(A63,'Données projet'!$A$269:$I$289,3,0))</f>
        <v>8</v>
      </c>
      <c r="HC63" s="15">
        <f>IF(ISNA(VLOOKUP(A63,'Données projet'!$A$269:$I$289,4,0)),0,VLOOKUP(A63,'Données projet'!$A$269:$I$289,4,0))</f>
        <v>21</v>
      </c>
      <c r="HD63" s="16">
        <f>IF(ISNA(VLOOKUP(A63,'Données projet'!$A$269:$I$289,5,0)),0%,VLOOKUP(A63,'Données projet'!$A$269:$I$289,5,0)*VLOOKUP('Données projet'!$B$18,Paramètres!$A$1:$I$89,7,0))</f>
        <v>0.43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48.095533397642946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48.095533397642946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344.49457749226184</v>
      </c>
      <c r="T64" s="59">
        <f t="shared" si="34"/>
        <v>207.92972431357452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5.4</v>
      </c>
      <c r="AI64" s="13">
        <f>IF('Données projet'!$A$62&gt;35,AI63+AH64-AQ63,IF(A64&lt;'Données projet'!$A$62,$AF$205^A64,IF(A64='Données projet'!$A$62,'Données projet'!$B$62,AI63+AH64-AQ63)))</f>
        <v>139.39999999999998</v>
      </c>
      <c r="AJ64" s="13">
        <f>AI64*VLOOKUP('Données projet'!$B$10,Paramètres!$A$1:$I$89,3,0)*VLOOKUP('Données projet'!$B$10,Paramètres!$A$1:$I$89,5,0)</f>
        <v>126.12911999999997</v>
      </c>
      <c r="AK64" s="13">
        <f t="shared" si="35"/>
        <v>33.100345121748241</v>
      </c>
      <c r="AL64" s="20">
        <f t="shared" si="4"/>
        <v>277.32465175371141</v>
      </c>
      <c r="AM64" s="59">
        <f t="shared" si="5"/>
        <v>570.65798508704472</v>
      </c>
      <c r="AN64" s="59">
        <f ca="1">AVERAGE(OFFSET($AM$3,0,0,'Données projet'!$E$10+1,1))-AVERAGE(OFFSET($H$3,0,0,'Données projet'!$E$10+1,1))</f>
        <v>183.0147113277086</v>
      </c>
      <c r="AO64" s="59">
        <f t="shared" si="36"/>
        <v>76.413905647258389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27.792630820231256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27.792630820231256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226.90511999999993</v>
      </c>
      <c r="BF64" s="13">
        <f t="shared" si="37"/>
        <v>55.612969408444364</v>
      </c>
      <c r="BG64" s="20">
        <f t="shared" si="7"/>
        <v>492.05233905304044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279.49721661620544</v>
      </c>
      <c r="BJ64" s="59">
        <f t="shared" si="38"/>
        <v>275.18739333988754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48.805792869319056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48.805792869319056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225.2323446080772</v>
      </c>
      <c r="CE64" s="59">
        <f t="shared" si="40"/>
        <v>222.29030402759292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41.118567778561378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41.118567778561378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202.79375999999996</v>
      </c>
      <c r="CV64" s="13">
        <f t="shared" si="41"/>
        <v>50.357655031247809</v>
      </c>
      <c r="CW64" s="20">
        <f t="shared" si="13"/>
        <v>440.90538117942316</v>
      </c>
      <c r="CX64" s="59">
        <f t="shared" si="14"/>
        <v>734.23871451275647</v>
      </c>
      <c r="CY64" s="59">
        <f ca="1">AVERAGE(OFFSET($CX$3,0,0,'Données projet'!$E$13+1,1))-AVERAGE(OFFSET($H$3,0,0,'Données projet'!$E$13+1,1))</f>
        <v>240.57184010337932</v>
      </c>
      <c r="CZ64" s="59">
        <f t="shared" si="42"/>
        <v>236.36473521227072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35.080818048621616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35.080818048621616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16.8</v>
      </c>
      <c r="DO64" s="12">
        <f>IF('Données projet'!$A$166&gt;35,DO63+DN64-DW63,IF(A64&lt;'Données projet'!$A$166,$DL$205^A64,IF(A64='Données projet'!$A$166,'Données projet'!$B$166,DO63+DN64-DW63)))</f>
        <v>543.79999999999973</v>
      </c>
      <c r="DP64" s="17">
        <f>DO64*VLOOKUP('Données projet'!$B$14,Paramètres!$A$1:$I$89,3,0)*VLOOKUP('Données projet'!$B$14,Paramètres!$A$1:$I$89,5,0)</f>
        <v>254.49839999999986</v>
      </c>
      <c r="DQ64" s="13">
        <f t="shared" si="43"/>
        <v>61.548203442299595</v>
      </c>
      <c r="DR64" s="20">
        <f t="shared" si="16"/>
        <v>550.44783432867155</v>
      </c>
      <c r="DS64" s="59">
        <f t="shared" si="17"/>
        <v>843.78116766200492</v>
      </c>
      <c r="DT64" s="59">
        <f ca="1">AVERAGE(OFFSET($DS$3,0,0,'Données projet'!$E$14+1,1))-AVERAGE(OFFSET($H$3,0,0,'Données projet'!$E$14+1,1))</f>
        <v>304.29617570272939</v>
      </c>
      <c r="DU64" s="59">
        <f t="shared" si="44"/>
        <v>246.20695736161576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75.640241318588039</v>
      </c>
      <c r="EB64" s="21">
        <f>EXP(-LN(2)/25)*EB63+(1-EXP(-LN(2)/25))/(LN(2)/25)*Calculateur!DW64*Calculateur!DY64*VLOOKUP('Données projet'!$B$14,Paramètres!$A$1:$I$89,3,0)*0.475*44/12</f>
        <v>17.326459373329623</v>
      </c>
      <c r="EC64" s="21">
        <f>EXP(-LN(2)/2)*EC63+(1-EXP(-LN(2)/2))/(LN(2)/2)*DW64*DZ64*VLOOKUP('Données projet'!$B$14,Paramètres!$A$1:$I$89,3,0)*0.475*44/12</f>
        <v>8.4896690521927922E-5</v>
      </c>
      <c r="ED64" s="22">
        <f t="shared" si="18"/>
        <v>92.96678558860819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11.4</v>
      </c>
      <c r="EJ64" s="12">
        <f>IF('Données projet'!$A$192&gt;35,EJ63+EI64-ER63,IF(A64&lt;'Données projet'!$A$192,$EG$205^A64,IF(A64='Données projet'!$A$192,'Données projet'!$B$192,EJ63+EI64-ER63)))</f>
        <v>394.39999999999952</v>
      </c>
      <c r="EK64" s="17">
        <f>EJ64*VLOOKUP('Données projet'!$B$15,Paramètres!$A$1:$I$89,3,0)*VLOOKUP('Données projet'!$B$15,Paramètres!$A$1:$I$89,5,0)</f>
        <v>235.85119999999972</v>
      </c>
      <c r="EL64" s="13">
        <f t="shared" si="45"/>
        <v>57.545992055842966</v>
      </c>
      <c r="EM64" s="20">
        <f t="shared" si="19"/>
        <v>511.00010949725942</v>
      </c>
      <c r="EN64" s="59">
        <f t="shared" si="20"/>
        <v>804.33344283059273</v>
      </c>
      <c r="EO64" s="59">
        <f ca="1">AVERAGE(OFFSET($EN$3,0,0,'Données projet'!$E$15+1,1))-AVERAGE(OFFSET($H$3,0,0,'Données projet'!$E$15+1,1))</f>
        <v>288.41846134875794</v>
      </c>
      <c r="EP64" s="59">
        <f t="shared" si="46"/>
        <v>248.93951719818972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62.533115603646344</v>
      </c>
      <c r="EW64" s="21">
        <f>EXP(-LN(2)/25)*EW63+(1-EXP(-LN(2)/25))/(LN(2)/25)*Calculateur!ER64*Calculateur!ET64*VLOOKUP('Données projet'!$B$15,Paramètres!$A$1:$I$89,3,0)*0.475*44/12</f>
        <v>11.826881463058939</v>
      </c>
      <c r="EX64" s="21">
        <f>EXP(-LN(2)/2)*EX63+(1-EXP(-LN(2)/2))/(LN(2)/2)*ER64*EU64*VLOOKUP('Données projet'!$B$15,Paramètres!$A$1:$I$89,3,0)*0.475*44/12</f>
        <v>1.0501459168537585E-5</v>
      </c>
      <c r="EY64" s="22">
        <f t="shared" si="21"/>
        <v>74.360007568164463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15.2</v>
      </c>
      <c r="FE64" s="12">
        <f>IF('Données projet'!$A$218&gt;35,FE63+FD64-FM63,IF(A64&lt;'Données projet'!$A$218,$FB$205^A64,IF(A64='Données projet'!$A$218,'Données projet'!$B$218,FE63+FD64-FM63)))</f>
        <v>687.20000000000027</v>
      </c>
      <c r="FF64" s="17">
        <f>FE64*VLOOKUP('Données projet'!$B$16,Paramètres!$A$1:$I$89,3,0)*VLOOKUP('Données projet'!$B$16,Paramètres!$A$1:$I$89,5,0)</f>
        <v>312.6760000000001</v>
      </c>
      <c r="FG64" s="13">
        <f t="shared" si="47"/>
        <v>73.827405609875839</v>
      </c>
      <c r="FH64" s="20">
        <f t="shared" si="22"/>
        <v>673.1600981038672</v>
      </c>
      <c r="FI64" s="59">
        <f t="shared" si="23"/>
        <v>966.49343143720057</v>
      </c>
      <c r="FJ64" s="59">
        <f ca="1">AVERAGE(OFFSET($FI$3,0,0,'Données projet'!$E$16+1,1))-AVERAGE(OFFSET($H$3,0,0,'Données projet'!$E$16+1,1))</f>
        <v>367.36535411813264</v>
      </c>
      <c r="FK64" s="59">
        <f t="shared" si="48"/>
        <v>293.19545174980556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83.006322913001085</v>
      </c>
      <c r="FR64" s="21">
        <f>EXP(-LN(2)/25)*FR63+(1-EXP(-LN(2)/25))/(LN(2)/25)*Calculateur!FM64*Calculateur!FO64*VLOOKUP('Données projet'!$B$16,Paramètres!$A$1:$I$89,3,0)*0.475*44/12</f>
        <v>18.330714022857048</v>
      </c>
      <c r="FS64" s="21">
        <f>EXP(-LN(2)/2)*FS63+(1-EXP(-LN(2)/2))/(LN(2)/2)*FM64*FP64*VLOOKUP('Données projet'!$B$16,Paramètres!$A$1:$I$89,3,0)*0.475*44/12</f>
        <v>1.5633079575091346E-5</v>
      </c>
      <c r="FT64" s="22">
        <f t="shared" si="24"/>
        <v>101.33705256893771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17.600000000000001</v>
      </c>
      <c r="FZ64" s="12">
        <f>IF('Données projet'!$A$244&gt;35,FZ63+FY64-GH63,IF(A64&lt;'Données projet'!$A$244,$FW$205^A64,IF(A64='Données projet'!$A$244,'Données projet'!$B$244,FZ63+FY64-GH63)))</f>
        <v>541.6</v>
      </c>
      <c r="GA64" s="17">
        <f>FZ64*VLOOKUP('Données projet'!$B$17,Paramètres!$A$1:$I$89,3,0)*VLOOKUP('Données projet'!$B$17,Paramètres!$A$1:$I$89,5,0)</f>
        <v>260.50959999999998</v>
      </c>
      <c r="GB64" s="13">
        <f t="shared" si="49"/>
        <v>62.830991700589358</v>
      </c>
      <c r="GC64" s="20">
        <f t="shared" si="25"/>
        <v>563.15153054519317</v>
      </c>
      <c r="GD64" s="59">
        <f t="shared" si="26"/>
        <v>856.48486387852654</v>
      </c>
      <c r="GE64" s="59">
        <f ca="1">AVERAGE(OFFSET($GD$3,0,0,'Données projet'!$E$17+1,1))-AVERAGE(OFFSET($H$3,0,0,'Données projet'!$E$17+1,1))</f>
        <v>312.64506496298173</v>
      </c>
      <c r="GF64" s="59">
        <f t="shared" si="50"/>
        <v>259.97532509897508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89.484975804783232</v>
      </c>
      <c r="GM64" s="21">
        <f>EXP(-LN(2)/25)*GM63+(1-EXP(-LN(2)/25))/(LN(2)/25)*Calculateur!GH64*Calculateur!GJ64*VLOOKUP('Données projet'!$B$17,Paramètres!$A$1:$I$89,3,0)*0.475*44/12</f>
        <v>8.2876918810235889</v>
      </c>
      <c r="GN64" s="21">
        <f>EXP(-LN(2)/2)*GN63+(1-EXP(-LN(2)/2))/(LN(2)/2)*GH64*GK64*VLOOKUP('Données projet'!$B$17,Paramètres!$A$1:$I$89,3,0)*0.475*44/12</f>
        <v>8.3099935166966256E-5</v>
      </c>
      <c r="GO64" s="21">
        <f t="shared" si="27"/>
        <v>97.772750785741991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7.2</v>
      </c>
      <c r="GU64" s="12">
        <f>IF('Données projet'!$A$270&gt;35,GU63+GT64-HC63,IF(A64&lt;'Données projet'!$A$270,$GR$205^A64,IF(A64='Données projet'!$A$270,'Données projet'!$B$270,GU63+GT64-HC63)))</f>
        <v>200.19999999999996</v>
      </c>
      <c r="GV64" s="17">
        <f>GU64*VLOOKUP('Données projet'!$B$18,Paramètres!$A$1:$I$89,3,0)*VLOOKUP('Données projet'!$B$18,Paramètres!$A$1:$I$89,5,0)</f>
        <v>203.00279999999995</v>
      </c>
      <c r="GW64" s="13">
        <f t="shared" si="51"/>
        <v>50.403518824343074</v>
      </c>
      <c r="GX64" s="20">
        <f t="shared" si="28"/>
        <v>441.3493386190641</v>
      </c>
      <c r="GY64" s="59">
        <f t="shared" si="29"/>
        <v>734.68267195239741</v>
      </c>
      <c r="GZ64" s="59">
        <f ca="1">AVERAGE(OFFSET($GY$3,0,0,'Données projet'!$E$18+1,1))-AVERAGE(OFFSET($H$3,0,0,'Données projet'!$E$18+1,1))</f>
        <v>308.80022073574963</v>
      </c>
      <c r="HA64" s="59">
        <f t="shared" si="52"/>
        <v>183.96267407004115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47.152409323093913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47.152409323093913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344.49457749226184</v>
      </c>
      <c r="T65" s="59">
        <f t="shared" si="34"/>
        <v>207.92972431357452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5.4</v>
      </c>
      <c r="AI65" s="13">
        <f>IF('Données projet'!$A$62&gt;35,AI64+AH65-AQ64,IF(A65&lt;'Données projet'!$A$62,$AF$205^A65,IF(A65='Données projet'!$A$62,'Données projet'!$B$62,AI64+AH65-AQ64)))</f>
        <v>144.79999999999998</v>
      </c>
      <c r="AJ65" s="13">
        <f>AI65*VLOOKUP('Données projet'!$B$10,Paramètres!$A$1:$I$89,3,0)*VLOOKUP('Données projet'!$B$10,Paramètres!$A$1:$I$89,5,0)</f>
        <v>131.01503999999997</v>
      </c>
      <c r="AK65" s="13">
        <f t="shared" si="35"/>
        <v>34.230798998779804</v>
      </c>
      <c r="AL65" s="20">
        <f t="shared" si="4"/>
        <v>287.80316958954148</v>
      </c>
      <c r="AM65" s="59">
        <f t="shared" si="5"/>
        <v>581.1365029228748</v>
      </c>
      <c r="AN65" s="59">
        <f ca="1">AVERAGE(OFFSET($AM$3,0,0,'Données projet'!$E$10+1,1))-AVERAGE(OFFSET($H$3,0,0,'Données projet'!$E$10+1,1))</f>
        <v>183.0147113277086</v>
      </c>
      <c r="AO65" s="59">
        <f t="shared" si="36"/>
        <v>76.413905647258389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27.247634281677467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27.247634281677467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231.04223999999991</v>
      </c>
      <c r="BF65" s="13">
        <f t="shared" si="37"/>
        <v>56.507978852931409</v>
      </c>
      <c r="BG65" s="20">
        <f t="shared" si="7"/>
        <v>500.81663116885539</v>
      </c>
      <c r="BH65" s="59">
        <f t="shared" si="8"/>
        <v>794.14996450218871</v>
      </c>
      <c r="BI65" s="59">
        <f ca="1">AVERAGE(OFFSET($BH$3,0,0,'Données projet'!$E$11+1,1))-AVERAGE(OFFSET($H$3,0,0,'Données projet'!$E$11+1,1))</f>
        <v>279.49721661620544</v>
      </c>
      <c r="BJ65" s="59">
        <f t="shared" si="38"/>
        <v>275.18739333988754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47.848741039745953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47.848741039745953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225.2323446080772</v>
      </c>
      <c r="CE65" s="59">
        <f t="shared" si="40"/>
        <v>222.29030402759292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40.312257744273701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40.312257744273701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206.45351999999997</v>
      </c>
      <c r="CV65" s="13">
        <f t="shared" si="41"/>
        <v>51.159824031352322</v>
      </c>
      <c r="CW65" s="20">
        <f t="shared" si="13"/>
        <v>448.67657418793857</v>
      </c>
      <c r="CX65" s="59">
        <f t="shared" si="14"/>
        <v>742.00990752127188</v>
      </c>
      <c r="CY65" s="59">
        <f ca="1">AVERAGE(OFFSET($CX$3,0,0,'Données projet'!$E$13+1,1))-AVERAGE(OFFSET($H$3,0,0,'Données projet'!$E$13+1,1))</f>
        <v>240.57184010337932</v>
      </c>
      <c r="CZ65" s="59">
        <f t="shared" si="42"/>
        <v>236.36473521227072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34.392904603874356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34.392904603874356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16.8</v>
      </c>
      <c r="DO65" s="12">
        <f>IF('Données projet'!$A$166&gt;35,DO64+DN65-DW64,IF(A65&lt;'Données projet'!$A$166,$DL$205^A65,IF(A65='Données projet'!$A$166,'Données projet'!$B$166,DO64+DN65-DW64)))</f>
        <v>560.59999999999968</v>
      </c>
      <c r="DP65" s="17">
        <f>DO65*VLOOKUP('Données projet'!$B$14,Paramètres!$A$1:$I$89,3,0)*VLOOKUP('Données projet'!$B$14,Paramètres!$A$1:$I$89,5,0)</f>
        <v>262.36079999999987</v>
      </c>
      <c r="DQ65" s="13">
        <f t="shared" si="43"/>
        <v>63.22534007495176</v>
      </c>
      <c r="DR65" s="20">
        <f t="shared" si="16"/>
        <v>567.06252729720734</v>
      </c>
      <c r="DS65" s="59">
        <f t="shared" si="17"/>
        <v>860.39586063054071</v>
      </c>
      <c r="DT65" s="59">
        <f ca="1">AVERAGE(OFFSET($DS$3,0,0,'Données projet'!$E$14+1,1))-AVERAGE(OFFSET($H$3,0,0,'Données projet'!$E$14+1,1))</f>
        <v>304.29617570272939</v>
      </c>
      <c r="DU65" s="59">
        <f t="shared" si="44"/>
        <v>246.20695736161576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74.156982322322179</v>
      </c>
      <c r="EB65" s="21">
        <f>EXP(-LN(2)/25)*EB64+(1-EXP(-LN(2)/25))/(LN(2)/25)*Calculateur!DW65*Calculateur!DY65*VLOOKUP('Données projet'!$B$14,Paramètres!$A$1:$I$89,3,0)*0.475*44/12</f>
        <v>16.852666430607027</v>
      </c>
      <c r="EC65" s="21">
        <f>EXP(-LN(2)/2)*EC64+(1-EXP(-LN(2)/2))/(LN(2)/2)*DW65*DZ65*VLOOKUP('Données projet'!$B$14,Paramètres!$A$1:$I$89,3,0)*0.475*44/12</f>
        <v>6.0031025568350932E-5</v>
      </c>
      <c r="ED65" s="22">
        <f t="shared" si="18"/>
        <v>91.009708783954778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11.4</v>
      </c>
      <c r="EJ65" s="12">
        <f>IF('Données projet'!$A$192&gt;35,EJ64+EI65-ER64,IF(A65&lt;'Données projet'!$A$192,$EG$205^A65,IF(A65='Données projet'!$A$192,'Données projet'!$B$192,EJ64+EI65-ER64)))</f>
        <v>405.7999999999995</v>
      </c>
      <c r="EK65" s="17">
        <f>EJ65*VLOOKUP('Données projet'!$B$15,Paramètres!$A$1:$I$89,3,0)*VLOOKUP('Données projet'!$B$15,Paramètres!$A$1:$I$89,5,0)</f>
        <v>242.66839999999971</v>
      </c>
      <c r="EL65" s="13">
        <f t="shared" si="45"/>
        <v>59.013279764051227</v>
      </c>
      <c r="EM65" s="20">
        <f t="shared" si="19"/>
        <v>525.42892558905544</v>
      </c>
      <c r="EN65" s="59">
        <f t="shared" si="20"/>
        <v>818.76225892238881</v>
      </c>
      <c r="EO65" s="59">
        <f ca="1">AVERAGE(OFFSET($EN$3,0,0,'Données projet'!$E$15+1,1))-AVERAGE(OFFSET($H$3,0,0,'Données projet'!$E$15+1,1))</f>
        <v>288.41846134875794</v>
      </c>
      <c r="EP65" s="59">
        <f t="shared" si="46"/>
        <v>248.93951719818972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61.306879348093204</v>
      </c>
      <c r="EW65" s="21">
        <f>EXP(-LN(2)/25)*EW64+(1-EXP(-LN(2)/25))/(LN(2)/25)*Calculateur!ER65*Calculateur!ET65*VLOOKUP('Données projet'!$B$15,Paramètres!$A$1:$I$89,3,0)*0.475*44/12</f>
        <v>11.503474767502928</v>
      </c>
      <c r="EX65" s="21">
        <f>EXP(-LN(2)/2)*EX64+(1-EXP(-LN(2)/2))/(LN(2)/2)*ER65*EU65*VLOOKUP('Données projet'!$B$15,Paramètres!$A$1:$I$89,3,0)*0.475*44/12</f>
        <v>7.4256529904265699E-6</v>
      </c>
      <c r="EY65" s="22">
        <f t="shared" si="21"/>
        <v>72.810361541249122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15.2</v>
      </c>
      <c r="FE65" s="12">
        <f>IF('Données projet'!$A$218&gt;35,FE64+FD65-FM64,IF(A65&lt;'Données projet'!$A$218,$FB$205^A65,IF(A65='Données projet'!$A$218,'Données projet'!$B$218,FE64+FD65-FM64)))</f>
        <v>702.40000000000032</v>
      </c>
      <c r="FF65" s="17">
        <f>FE65*VLOOKUP('Données projet'!$B$16,Paramètres!$A$1:$I$89,3,0)*VLOOKUP('Données projet'!$B$16,Paramètres!$A$1:$I$89,5,0)</f>
        <v>319.5920000000001</v>
      </c>
      <c r="FG65" s="13">
        <f t="shared" si="47"/>
        <v>75.268455025699524</v>
      </c>
      <c r="FH65" s="20">
        <f t="shared" si="22"/>
        <v>687.71529250309334</v>
      </c>
      <c r="FI65" s="59">
        <f t="shared" si="23"/>
        <v>981.04862583642671</v>
      </c>
      <c r="FJ65" s="59">
        <f ca="1">AVERAGE(OFFSET($FI$3,0,0,'Données projet'!$E$16+1,1))-AVERAGE(OFFSET($H$3,0,0,'Données projet'!$E$16+1,1))</f>
        <v>367.36535411813264</v>
      </c>
      <c r="FK65" s="59">
        <f t="shared" si="48"/>
        <v>293.19545174980556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81.378619549534932</v>
      </c>
      <c r="FR65" s="21">
        <f>EXP(-LN(2)/25)*FR64+(1-EXP(-LN(2)/25))/(LN(2)/25)*Calculateur!FM65*Calculateur!FO65*VLOOKUP('Données projet'!$B$16,Paramètres!$A$1:$I$89,3,0)*0.475*44/12</f>
        <v>17.829459683931667</v>
      </c>
      <c r="FS65" s="21">
        <f>EXP(-LN(2)/2)*FS64+(1-EXP(-LN(2)/2))/(LN(2)/2)*FM65*FP65*VLOOKUP('Données projet'!$B$16,Paramètres!$A$1:$I$89,3,0)*0.475*44/12</f>
        <v>1.1054256578376002E-5</v>
      </c>
      <c r="FT65" s="22">
        <f t="shared" si="24"/>
        <v>99.208090287723181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17.600000000000001</v>
      </c>
      <c r="FZ65" s="12">
        <f>IF('Données projet'!$A$244&gt;35,FZ64+FY65-GH64,IF(A65&lt;'Données projet'!$A$244,$FW$205^A65,IF(A65='Données projet'!$A$244,'Données projet'!$B$244,FZ64+FY65-GH64)))</f>
        <v>559.20000000000005</v>
      </c>
      <c r="GA65" s="17">
        <f>FZ65*VLOOKUP('Données projet'!$B$17,Paramètres!$A$1:$I$89,3,0)*VLOOKUP('Données projet'!$B$17,Paramètres!$A$1:$I$89,5,0)</f>
        <v>268.97520000000003</v>
      </c>
      <c r="GB65" s="13">
        <f t="shared" si="49"/>
        <v>64.631732752143648</v>
      </c>
      <c r="GC65" s="20">
        <f t="shared" si="25"/>
        <v>581.03207454331687</v>
      </c>
      <c r="GD65" s="59">
        <f t="shared" si="26"/>
        <v>874.36540787665012</v>
      </c>
      <c r="GE65" s="59">
        <f ca="1">AVERAGE(OFFSET($GD$3,0,0,'Données projet'!$E$17+1,1))-AVERAGE(OFFSET($H$3,0,0,'Données projet'!$E$17+1,1))</f>
        <v>312.64506496298173</v>
      </c>
      <c r="GF65" s="59">
        <f t="shared" si="50"/>
        <v>259.97532509897508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87.730230009697308</v>
      </c>
      <c r="GM65" s="21">
        <f>EXP(-LN(2)/25)*GM64+(1-EXP(-LN(2)/25))/(LN(2)/25)*Calculateur!GH65*Calculateur!GJ65*VLOOKUP('Données projet'!$B$17,Paramètres!$A$1:$I$89,3,0)*0.475*44/12</f>
        <v>8.061064510706224</v>
      </c>
      <c r="GN65" s="21">
        <f>EXP(-LN(2)/2)*GN64+(1-EXP(-LN(2)/2))/(LN(2)/2)*GH65*GK65*VLOOKUP('Données projet'!$B$17,Paramètres!$A$1:$I$89,3,0)*0.475*44/12</f>
        <v>5.8760527672724295E-5</v>
      </c>
      <c r="GO65" s="21">
        <f t="shared" si="27"/>
        <v>95.791353280931219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7.2</v>
      </c>
      <c r="GU65" s="12">
        <f>IF('Données projet'!$A$270&gt;35,GU64+GT65-HC64,IF(A65&lt;'Données projet'!$A$270,$GR$205^A65,IF(A65='Données projet'!$A$270,'Données projet'!$B$270,GU64+GT65-HC64)))</f>
        <v>207.39999999999995</v>
      </c>
      <c r="GV65" s="17">
        <f>GU65*VLOOKUP('Données projet'!$B$18,Paramètres!$A$1:$I$89,3,0)*VLOOKUP('Données projet'!$B$18,Paramètres!$A$1:$I$89,5,0)</f>
        <v>210.30359999999996</v>
      </c>
      <c r="GW65" s="13">
        <f t="shared" si="51"/>
        <v>52.001924357524459</v>
      </c>
      <c r="GX65" s="20">
        <f t="shared" si="28"/>
        <v>456.84878825602163</v>
      </c>
      <c r="GY65" s="59">
        <f t="shared" si="29"/>
        <v>750.18212158935489</v>
      </c>
      <c r="GZ65" s="59">
        <f ca="1">AVERAGE(OFFSET($GY$3,0,0,'Données projet'!$E$18+1,1))-AVERAGE(OFFSET($H$3,0,0,'Données projet'!$E$18+1,1))</f>
        <v>308.80022073574963</v>
      </c>
      <c r="HA65" s="59">
        <f t="shared" si="52"/>
        <v>183.96267407004115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46.227779336397901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46.227779336397901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344.49457749226184</v>
      </c>
      <c r="T66" s="59">
        <f t="shared" si="34"/>
        <v>207.92972431357452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5.4</v>
      </c>
      <c r="AI66" s="13">
        <f>IF('Données projet'!$A$62&gt;35,AI65+AH66-AQ65,IF(A66&lt;'Données projet'!$A$62,$AF$205^A66,IF(A66='Données projet'!$A$62,'Données projet'!$B$62,AI65+AH66-AQ65)))</f>
        <v>150.19999999999999</v>
      </c>
      <c r="AJ66" s="13">
        <f>AI66*VLOOKUP('Données projet'!$B$10,Paramètres!$A$1:$I$89,3,0)*VLOOKUP('Données projet'!$B$10,Paramètres!$A$1:$I$89,5,0)</f>
        <v>135.90095999999997</v>
      </c>
      <c r="AK66" s="13">
        <f t="shared" si="35"/>
        <v>35.356355142892255</v>
      </c>
      <c r="AL66" s="20">
        <f t="shared" si="4"/>
        <v>298.27315720720395</v>
      </c>
      <c r="AM66" s="59">
        <f t="shared" si="5"/>
        <v>591.60649054053727</v>
      </c>
      <c r="AN66" s="59">
        <f ca="1">AVERAGE(OFFSET($AM$3,0,0,'Données projet'!$E$10+1,1))-AVERAGE(OFFSET($H$3,0,0,'Données projet'!$E$10+1,1))</f>
        <v>183.0147113277086</v>
      </c>
      <c r="AO66" s="59">
        <f t="shared" si="36"/>
        <v>76.413905647258389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26.713324792829653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26.713324792829653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235.17935999999989</v>
      </c>
      <c r="BF66" s="13">
        <f t="shared" si="37"/>
        <v>57.401124668909425</v>
      </c>
      <c r="BG66" s="20">
        <f t="shared" si="7"/>
        <v>509.57767746501708</v>
      </c>
      <c r="BH66" s="59">
        <f t="shared" si="8"/>
        <v>802.91101079835039</v>
      </c>
      <c r="BI66" s="59">
        <f ca="1">AVERAGE(OFFSET($BH$3,0,0,'Données projet'!$E$11+1,1))-AVERAGE(OFFSET($H$3,0,0,'Données projet'!$E$11+1,1))</f>
        <v>279.49721661620544</v>
      </c>
      <c r="BJ66" s="59">
        <f t="shared" si="38"/>
        <v>275.18739333988754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46.910456412806802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46.910456412806802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225.2323446080772</v>
      </c>
      <c r="CE66" s="59">
        <f t="shared" si="40"/>
        <v>222.29030402759292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39.52175895795785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39.52175895795785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210.11327999999997</v>
      </c>
      <c r="CV66" s="13">
        <f t="shared" si="41"/>
        <v>51.960339451378061</v>
      </c>
      <c r="CW66" s="20">
        <f t="shared" si="13"/>
        <v>456.44488721114999</v>
      </c>
      <c r="CX66" s="59">
        <f t="shared" si="14"/>
        <v>749.77822054448325</v>
      </c>
      <c r="CY66" s="59">
        <f ca="1">AVERAGE(OFFSET($CX$3,0,0,'Données projet'!$E$13+1,1))-AVERAGE(OFFSET($H$3,0,0,'Données projet'!$E$13+1,1))</f>
        <v>240.57184010337932</v>
      </c>
      <c r="CZ66" s="59">
        <f t="shared" si="42"/>
        <v>236.36473521227072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33.718480722192822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33.718480722192822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16.8</v>
      </c>
      <c r="DO66" s="12">
        <f>IF('Données projet'!$A$166&gt;35,DO65+DN66-DW65,IF(A66&lt;'Données projet'!$A$166,$DL$205^A66,IF(A66='Données projet'!$A$166,'Données projet'!$B$166,DO65+DN66-DW65)))</f>
        <v>577.39999999999964</v>
      </c>
      <c r="DP66" s="17">
        <f>DO66*VLOOKUP('Données projet'!$B$14,Paramètres!$A$1:$I$89,3,0)*VLOOKUP('Données projet'!$B$14,Paramètres!$A$1:$I$89,5,0)</f>
        <v>270.22319999999985</v>
      </c>
      <c r="DQ66" s="13">
        <f t="shared" si="43"/>
        <v>64.896635682727847</v>
      </c>
      <c r="DR66" s="20">
        <f t="shared" si="16"/>
        <v>583.66704714741729</v>
      </c>
      <c r="DS66" s="59">
        <f t="shared" si="17"/>
        <v>877.00038048075066</v>
      </c>
      <c r="DT66" s="59">
        <f ca="1">AVERAGE(OFFSET($DS$3,0,0,'Données projet'!$E$14+1,1))-AVERAGE(OFFSET($H$3,0,0,'Données projet'!$E$14+1,1))</f>
        <v>304.29617570272939</v>
      </c>
      <c r="DU66" s="59">
        <f t="shared" si="44"/>
        <v>246.20695736161576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72.702809130274431</v>
      </c>
      <c r="EB66" s="21">
        <f>EXP(-LN(2)/25)*EB65+(1-EXP(-LN(2)/25))/(LN(2)/25)*Calculateur!DW66*Calculateur!DY66*VLOOKUP('Données projet'!$B$14,Paramètres!$A$1:$I$89,3,0)*0.475*44/12</f>
        <v>16.391829380818866</v>
      </c>
      <c r="EC66" s="21">
        <f>EXP(-LN(2)/2)*EC65+(1-EXP(-LN(2)/2))/(LN(2)/2)*DW66*DZ66*VLOOKUP('Données projet'!$B$14,Paramètres!$A$1:$I$89,3,0)*0.475*44/12</f>
        <v>4.2448345260963968E-5</v>
      </c>
      <c r="ED66" s="22">
        <f t="shared" si="18"/>
        <v>89.094680959438548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11.4</v>
      </c>
      <c r="EJ66" s="12">
        <f>IF('Données projet'!$A$192&gt;35,EJ65+EI66-ER65,IF(A66&lt;'Données projet'!$A$192,$EG$205^A66,IF(A66='Données projet'!$A$192,'Données projet'!$B$192,EJ65+EI66-ER65)))</f>
        <v>417.19999999999948</v>
      </c>
      <c r="EK66" s="17">
        <f>EJ66*VLOOKUP('Données projet'!$B$15,Paramètres!$A$1:$I$89,3,0)*VLOOKUP('Données projet'!$B$15,Paramètres!$A$1:$I$89,5,0)</f>
        <v>249.48559999999972</v>
      </c>
      <c r="EL66" s="13">
        <f t="shared" si="45"/>
        <v>60.475776633448604</v>
      </c>
      <c r="EM66" s="20">
        <f t="shared" si="19"/>
        <v>539.84939763658917</v>
      </c>
      <c r="EN66" s="59">
        <f t="shared" si="20"/>
        <v>833.18273096992243</v>
      </c>
      <c r="EO66" s="59">
        <f ca="1">AVERAGE(OFFSET($EN$3,0,0,'Données projet'!$E$15+1,1))-AVERAGE(OFFSET($H$3,0,0,'Données projet'!$E$15+1,1))</f>
        <v>288.41846134875794</v>
      </c>
      <c r="EP66" s="59">
        <f t="shared" si="46"/>
        <v>248.93951719818972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60.1046888375812</v>
      </c>
      <c r="EW66" s="21">
        <f>EXP(-LN(2)/25)*EW65+(1-EXP(-LN(2)/25))/(LN(2)/25)*Calculateur!ER66*Calculateur!ET66*VLOOKUP('Données projet'!$B$15,Paramètres!$A$1:$I$89,3,0)*0.475*44/12</f>
        <v>11.188911645044113</v>
      </c>
      <c r="EX66" s="21">
        <f>EXP(-LN(2)/2)*EX65+(1-EXP(-LN(2)/2))/(LN(2)/2)*ER66*EU66*VLOOKUP('Données projet'!$B$15,Paramètres!$A$1:$I$89,3,0)*0.475*44/12</f>
        <v>5.2507295842687933E-6</v>
      </c>
      <c r="EY66" s="22">
        <f t="shared" si="21"/>
        <v>71.293605733354894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15.2</v>
      </c>
      <c r="FE66" s="12">
        <f>IF('Données projet'!$A$218&gt;35,FE65+FD66-FM65,IF(A66&lt;'Données projet'!$A$218,$FB$205^A66,IF(A66='Données projet'!$A$218,'Données projet'!$B$218,FE65+FD66-FM65)))</f>
        <v>717.60000000000036</v>
      </c>
      <c r="FF66" s="17">
        <f>FE66*VLOOKUP('Données projet'!$B$16,Paramètres!$A$1:$I$89,3,0)*VLOOKUP('Données projet'!$B$16,Paramètres!$A$1:$I$89,5,0)</f>
        <v>326.50800000000015</v>
      </c>
      <c r="FG66" s="13">
        <f t="shared" si="47"/>
        <v>76.70587884134433</v>
      </c>
      <c r="FH66" s="20">
        <f t="shared" si="22"/>
        <v>702.26417231534151</v>
      </c>
      <c r="FI66" s="59">
        <f t="shared" si="23"/>
        <v>995.59750564867477</v>
      </c>
      <c r="FJ66" s="59">
        <f ca="1">AVERAGE(OFFSET($FI$3,0,0,'Données projet'!$E$16+1,1))-AVERAGE(OFFSET($H$3,0,0,'Données projet'!$E$16+1,1))</f>
        <v>367.36535411813264</v>
      </c>
      <c r="FK66" s="59">
        <f t="shared" si="48"/>
        <v>293.19545174980556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79.782834456225316</v>
      </c>
      <c r="FR66" s="21">
        <f>EXP(-LN(2)/25)*FR65+(1-EXP(-LN(2)/25))/(LN(2)/25)*Calculateur!FM66*Calculateur!FO66*VLOOKUP('Données projet'!$B$16,Paramètres!$A$1:$I$89,3,0)*0.475*44/12</f>
        <v>17.341912171264021</v>
      </c>
      <c r="FS66" s="21">
        <f>EXP(-LN(2)/2)*FS65+(1-EXP(-LN(2)/2))/(LN(2)/2)*FM66*FP66*VLOOKUP('Données projet'!$B$16,Paramètres!$A$1:$I$89,3,0)*0.475*44/12</f>
        <v>7.8165397875456731E-6</v>
      </c>
      <c r="FT66" s="22">
        <f t="shared" si="24"/>
        <v>97.124754444029136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17.600000000000001</v>
      </c>
      <c r="FZ66" s="12">
        <f>IF('Données projet'!$A$244&gt;35,FZ65+FY66-GH65,IF(A66&lt;'Données projet'!$A$244,$FW$205^A66,IF(A66='Données projet'!$A$244,'Données projet'!$B$244,FZ65+FY66-GH65)))</f>
        <v>576.80000000000007</v>
      </c>
      <c r="GA66" s="17">
        <f>FZ66*VLOOKUP('Données projet'!$B$17,Paramètres!$A$1:$I$89,3,0)*VLOOKUP('Données projet'!$B$17,Paramètres!$A$1:$I$89,5,0)</f>
        <v>277.44080000000002</v>
      </c>
      <c r="GB66" s="13">
        <f t="shared" si="49"/>
        <v>66.42588767473832</v>
      </c>
      <c r="GC66" s="20">
        <f t="shared" si="25"/>
        <v>598.90114770016919</v>
      </c>
      <c r="GD66" s="59">
        <f t="shared" si="26"/>
        <v>892.23448103350256</v>
      </c>
      <c r="GE66" s="59">
        <f ca="1">AVERAGE(OFFSET($GD$3,0,0,'Données projet'!$E$17+1,1))-AVERAGE(OFFSET($H$3,0,0,'Données projet'!$E$17+1,1))</f>
        <v>312.64506496298173</v>
      </c>
      <c r="GF66" s="59">
        <f t="shared" si="50"/>
        <v>259.97532509897508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86.009893709363766</v>
      </c>
      <c r="GM66" s="21">
        <f>EXP(-LN(2)/25)*GM65+(1-EXP(-LN(2)/25))/(LN(2)/25)*Calculateur!GH66*Calculateur!GJ66*VLOOKUP('Données projet'!$B$17,Paramètres!$A$1:$I$89,3,0)*0.475*44/12</f>
        <v>7.8406342777480038</v>
      </c>
      <c r="GN66" s="21">
        <f>EXP(-LN(2)/2)*GN65+(1-EXP(-LN(2)/2))/(LN(2)/2)*GH66*GK66*VLOOKUP('Données projet'!$B$17,Paramètres!$A$1:$I$89,3,0)*0.475*44/12</f>
        <v>4.1549967583483128E-5</v>
      </c>
      <c r="GO66" s="21">
        <f t="shared" si="27"/>
        <v>93.850569537079352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7.2</v>
      </c>
      <c r="GU66" s="12">
        <f>IF('Données projet'!$A$270&gt;35,GU65+GT66-HC65,IF(A66&lt;'Données projet'!$A$270,$GR$205^A66,IF(A66='Données projet'!$A$270,'Données projet'!$B$270,GU65+GT66-HC65)))</f>
        <v>214.59999999999994</v>
      </c>
      <c r="GV66" s="17">
        <f>GU66*VLOOKUP('Données projet'!$B$18,Paramètres!$A$1:$I$89,3,0)*VLOOKUP('Données projet'!$B$18,Paramètres!$A$1:$I$89,5,0)</f>
        <v>217.60439999999994</v>
      </c>
      <c r="GW66" s="13">
        <f t="shared" si="51"/>
        <v>53.593882578706356</v>
      </c>
      <c r="GX66" s="20">
        <f t="shared" si="28"/>
        <v>472.33700882458015</v>
      </c>
      <c r="GY66" s="59">
        <f t="shared" si="29"/>
        <v>765.67034215791341</v>
      </c>
      <c r="GZ66" s="59">
        <f ca="1">AVERAGE(OFFSET($GY$3,0,0,'Données projet'!$E$18+1,1))-AVERAGE(OFFSET($H$3,0,0,'Données projet'!$E$18+1,1))</f>
        <v>308.80022073574963</v>
      </c>
      <c r="HA66" s="59">
        <f t="shared" si="52"/>
        <v>183.96267407004115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45.321280779772394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45.321280779772394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344.49457749226184</v>
      </c>
      <c r="T67" s="59">
        <f t="shared" si="34"/>
        <v>207.92972431357452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5.4</v>
      </c>
      <c r="AI67" s="13">
        <f>IF('Données projet'!$A$62&gt;35,AI66+AH67-AQ66,IF(A67&lt;'Données projet'!$A$62,$AF$205^A67,IF(A67='Données projet'!$A$62,'Données projet'!$B$62,AI66+AH67-AQ66)))</f>
        <v>155.6</v>
      </c>
      <c r="AJ67" s="13">
        <f>AI67*VLOOKUP('Données projet'!$B$10,Paramètres!$A$1:$I$89,3,0)*VLOOKUP('Données projet'!$B$10,Paramètres!$A$1:$I$89,5,0)</f>
        <v>140.78688</v>
      </c>
      <c r="AK67" s="13">
        <f t="shared" si="35"/>
        <v>36.47720980905639</v>
      </c>
      <c r="AL67" s="20">
        <f t="shared" si="4"/>
        <v>308.73495641743983</v>
      </c>
      <c r="AM67" s="59">
        <f t="shared" si="5"/>
        <v>602.06828975077315</v>
      </c>
      <c r="AN67" s="59">
        <f ca="1">AVERAGE(OFFSET($AM$3,0,0,'Données projet'!$E$10+1,1))-AVERAGE(OFFSET($H$3,0,0,'Données projet'!$E$10+1,1))</f>
        <v>183.0147113277086</v>
      </c>
      <c r="AO67" s="59">
        <f t="shared" si="36"/>
        <v>76.413905647258389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26.189492787161534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26.189492787161534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239.3164799999999</v>
      </c>
      <c r="BF67" s="13">
        <f t="shared" si="37"/>
        <v>58.292443422481945</v>
      </c>
      <c r="BG67" s="20">
        <f t="shared" si="7"/>
        <v>518.33554162748919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279.49721661620544</v>
      </c>
      <c r="BJ67" s="59">
        <f t="shared" si="38"/>
        <v>275.18739333988754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45.990570975104816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45.990570975104816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225.2323446080772</v>
      </c>
      <c r="CE67" s="59">
        <f t="shared" si="40"/>
        <v>222.29030402759292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38.746761370685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38.746761370685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213.77303999999998</v>
      </c>
      <c r="CV67" s="13">
        <f t="shared" si="41"/>
        <v>52.759233416703239</v>
      </c>
      <c r="CW67" s="20">
        <f t="shared" si="13"/>
        <v>464.21037620075805</v>
      </c>
      <c r="CX67" s="59">
        <f t="shared" si="14"/>
        <v>757.54370953409136</v>
      </c>
      <c r="CY67" s="59">
        <f ca="1">AVERAGE(OFFSET($CX$3,0,0,'Données projet'!$E$13+1,1))-AVERAGE(OFFSET($H$3,0,0,'Données projet'!$E$13+1,1))</f>
        <v>240.57184010337932</v>
      </c>
      <c r="CZ67" s="59">
        <f t="shared" si="42"/>
        <v>236.36473521227072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33.057281881473116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33.057281881473116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16.8</v>
      </c>
      <c r="DO67" s="12">
        <f>IF('Données projet'!$A$166&gt;35,DO66+DN67-DW66,IF(A67&lt;'Données projet'!$A$166,$DL$205^A67,IF(A67='Données projet'!$A$166,'Données projet'!$B$166,DO66+DN67-DW66)))</f>
        <v>594.19999999999959</v>
      </c>
      <c r="DP67" s="17">
        <f>DO67*VLOOKUP('Données projet'!$B$14,Paramètres!$A$1:$I$89,3,0)*VLOOKUP('Données projet'!$B$14,Paramètres!$A$1:$I$89,5,0)</f>
        <v>278.08559999999977</v>
      </c>
      <c r="DQ67" s="13">
        <f t="shared" si="43"/>
        <v>66.562279731237638</v>
      </c>
      <c r="DR67" s="20">
        <f t="shared" si="16"/>
        <v>600.26172386523854</v>
      </c>
      <c r="DS67" s="59">
        <f t="shared" si="17"/>
        <v>893.59505719857179</v>
      </c>
      <c r="DT67" s="59">
        <f ca="1">AVERAGE(OFFSET($DS$3,0,0,'Données projet'!$E$14+1,1))-AVERAGE(OFFSET($H$3,0,0,'Données projet'!$E$14+1,1))</f>
        <v>304.29617570272939</v>
      </c>
      <c r="DU67" s="59">
        <f t="shared" si="44"/>
        <v>246.20695736161576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71.277151387564686</v>
      </c>
      <c r="EB67" s="21">
        <f>EXP(-LN(2)/25)*EB66+(1-EXP(-LN(2)/25))/(LN(2)/25)*Calculateur!DW67*Calculateur!DY67*VLOOKUP('Données projet'!$B$14,Paramètres!$A$1:$I$89,3,0)*0.475*44/12</f>
        <v>15.94359394439153</v>
      </c>
      <c r="EC67" s="21">
        <f>EXP(-LN(2)/2)*EC66+(1-EXP(-LN(2)/2))/(LN(2)/2)*DW67*DZ67*VLOOKUP('Données projet'!$B$14,Paramètres!$A$1:$I$89,3,0)*0.475*44/12</f>
        <v>3.0015512784175473E-5</v>
      </c>
      <c r="ED67" s="22">
        <f t="shared" si="18"/>
        <v>87.220775347468987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11.4</v>
      </c>
      <c r="EJ67" s="12">
        <f>IF('Données projet'!$A$192&gt;35,EJ66+EI67-ER66,IF(A67&lt;'Données projet'!$A$192,$EG$205^A67,IF(A67='Données projet'!$A$192,'Données projet'!$B$192,EJ66+EI67-ER66)))</f>
        <v>428.59999999999945</v>
      </c>
      <c r="EK67" s="17">
        <f>EJ67*VLOOKUP('Données projet'!$B$15,Paramètres!$A$1:$I$89,3,0)*VLOOKUP('Données projet'!$B$15,Paramètres!$A$1:$I$89,5,0)</f>
        <v>256.30279999999971</v>
      </c>
      <c r="EL67" s="13">
        <f t="shared" si="45"/>
        <v>61.933628616328946</v>
      </c>
      <c r="EM67" s="20">
        <f t="shared" si="19"/>
        <v>554.26177984010576</v>
      </c>
      <c r="EN67" s="59">
        <f t="shared" si="20"/>
        <v>847.59511317343913</v>
      </c>
      <c r="EO67" s="59">
        <f ca="1">AVERAGE(OFFSET($EN$3,0,0,'Données projet'!$E$15+1,1))-AVERAGE(OFFSET($H$3,0,0,'Données projet'!$E$15+1,1))</f>
        <v>288.41846134875794</v>
      </c>
      <c r="EP67" s="59">
        <f t="shared" si="46"/>
        <v>248.93951719818972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58.926072549716523</v>
      </c>
      <c r="EW67" s="21">
        <f>EXP(-LN(2)/25)*EW66+(1-EXP(-LN(2)/25))/(LN(2)/25)*Calculateur!ER67*Calculateur!ET67*VLOOKUP('Données projet'!$B$15,Paramètres!$A$1:$I$89,3,0)*0.475*44/12</f>
        <v>10.882950267711092</v>
      </c>
      <c r="EX67" s="21">
        <f>EXP(-LN(2)/2)*EX66+(1-EXP(-LN(2)/2))/(LN(2)/2)*ER67*EU67*VLOOKUP('Données projet'!$B$15,Paramètres!$A$1:$I$89,3,0)*0.475*44/12</f>
        <v>3.7128264952132854E-6</v>
      </c>
      <c r="EY67" s="22">
        <f t="shared" si="21"/>
        <v>69.809026530254116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15.2</v>
      </c>
      <c r="FE67" s="12">
        <f>IF('Données projet'!$A$218&gt;35,FE66+FD67-FM66,IF(A67&lt;'Données projet'!$A$218,$FB$205^A67,IF(A67='Données projet'!$A$218,'Données projet'!$B$218,FE66+FD67-FM66)))</f>
        <v>732.80000000000041</v>
      </c>
      <c r="FF67" s="17">
        <f>FE67*VLOOKUP('Données projet'!$B$16,Paramètres!$A$1:$I$89,3,0)*VLOOKUP('Données projet'!$B$16,Paramètres!$A$1:$I$89,5,0)</f>
        <v>333.42400000000021</v>
      </c>
      <c r="FG67" s="13">
        <f t="shared" si="47"/>
        <v>78.139762699678087</v>
      </c>
      <c r="FH67" s="20">
        <f t="shared" si="22"/>
        <v>716.80688670193967</v>
      </c>
      <c r="FI67" s="59">
        <f t="shared" si="23"/>
        <v>1010.1402200352729</v>
      </c>
      <c r="FJ67" s="59">
        <f ca="1">AVERAGE(OFFSET($FI$3,0,0,'Données projet'!$E$16+1,1))-AVERAGE(OFFSET($H$3,0,0,'Données projet'!$E$16+1,1))</f>
        <v>367.36535411813264</v>
      </c>
      <c r="FK67" s="59">
        <f t="shared" si="48"/>
        <v>293.19545174980556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78.218341735262712</v>
      </c>
      <c r="FR67" s="21">
        <f>EXP(-LN(2)/25)*FR66+(1-EXP(-LN(2)/25))/(LN(2)/25)*Calculateur!FM67*Calculateur!FO67*VLOOKUP('Données projet'!$B$16,Paramètres!$A$1:$I$89,3,0)*0.475*44/12</f>
        <v>16.867696670969281</v>
      </c>
      <c r="FS67" s="21">
        <f>EXP(-LN(2)/2)*FS66+(1-EXP(-LN(2)/2))/(LN(2)/2)*FM67*FP67*VLOOKUP('Données projet'!$B$16,Paramètres!$A$1:$I$89,3,0)*0.475*44/12</f>
        <v>5.5271282891880011E-6</v>
      </c>
      <c r="FT67" s="22">
        <f t="shared" si="24"/>
        <v>95.086043933360287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17.600000000000001</v>
      </c>
      <c r="FZ67" s="12">
        <f>IF('Données projet'!$A$244&gt;35,FZ66+FY67-GH66,IF(A67&lt;'Données projet'!$A$244,$FW$205^A67,IF(A67='Données projet'!$A$244,'Données projet'!$B$244,FZ66+FY67-GH66)))</f>
        <v>594.40000000000009</v>
      </c>
      <c r="GA67" s="17">
        <f>FZ67*VLOOKUP('Données projet'!$B$17,Paramètres!$A$1:$I$89,3,0)*VLOOKUP('Données projet'!$B$17,Paramètres!$A$1:$I$89,5,0)</f>
        <v>285.90640000000002</v>
      </c>
      <c r="GB67" s="13">
        <f t="shared" si="49"/>
        <v>68.213680496821723</v>
      </c>
      <c r="GC67" s="20">
        <f t="shared" si="25"/>
        <v>616.75914019863114</v>
      </c>
      <c r="GD67" s="59">
        <f t="shared" si="26"/>
        <v>910.09247353196452</v>
      </c>
      <c r="GE67" s="59">
        <f ca="1">AVERAGE(OFFSET($GD$3,0,0,'Données projet'!$E$17+1,1))-AVERAGE(OFFSET($H$3,0,0,'Données projet'!$E$17+1,1))</f>
        <v>312.64506496298173</v>
      </c>
      <c r="GF67" s="59">
        <f t="shared" si="50"/>
        <v>259.97532509897508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84.323292154578226</v>
      </c>
      <c r="GM67" s="21">
        <f>EXP(-LN(2)/25)*GM66+(1-EXP(-LN(2)/25))/(LN(2)/25)*Calculateur!GH67*Calculateur!GJ67*VLOOKUP('Données projet'!$B$17,Paramètres!$A$1:$I$89,3,0)*0.475*44/12</f>
        <v>7.6262317211019477</v>
      </c>
      <c r="GN67" s="21">
        <f>EXP(-LN(2)/2)*GN66+(1-EXP(-LN(2)/2))/(LN(2)/2)*GH67*GK67*VLOOKUP('Données projet'!$B$17,Paramètres!$A$1:$I$89,3,0)*0.475*44/12</f>
        <v>2.9380263836362148E-5</v>
      </c>
      <c r="GO67" s="21">
        <f t="shared" si="27"/>
        <v>91.949553255944011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7.2</v>
      </c>
      <c r="GU67" s="12">
        <f>IF('Données projet'!$A$270&gt;35,GU66+GT67-HC66,IF(A67&lt;'Données projet'!$A$270,$GR$205^A67,IF(A67='Données projet'!$A$270,'Données projet'!$B$270,GU66+GT67-HC66)))</f>
        <v>221.79999999999993</v>
      </c>
      <c r="GV67" s="17">
        <f>GU67*VLOOKUP('Données projet'!$B$18,Paramètres!$A$1:$I$89,3,0)*VLOOKUP('Données projet'!$B$18,Paramètres!$A$1:$I$89,5,0)</f>
        <v>224.90519999999995</v>
      </c>
      <c r="GW67" s="13">
        <f t="shared" si="51"/>
        <v>55.17963460003309</v>
      </c>
      <c r="GX67" s="20">
        <f t="shared" si="28"/>
        <v>487.81442026172425</v>
      </c>
      <c r="GY67" s="59">
        <f t="shared" si="29"/>
        <v>781.14775359505757</v>
      </c>
      <c r="GZ67" s="59">
        <f ca="1">AVERAGE(OFFSET($GY$3,0,0,'Données projet'!$E$18+1,1))-AVERAGE(OFFSET($H$3,0,0,'Données projet'!$E$18+1,1))</f>
        <v>308.80022073574963</v>
      </c>
      <c r="HA67" s="59">
        <f t="shared" si="52"/>
        <v>183.96267407004115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44.432558106932788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44.432558106932788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344.49457749226184</v>
      </c>
      <c r="T68" s="59">
        <f t="shared" si="34"/>
        <v>207.92972431357452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161</v>
      </c>
      <c r="AG68" s="12">
        <f>VLOOKUP(A68,'Données projet'!$A$61:$I$81,9,0)</f>
        <v>5.4</v>
      </c>
      <c r="AH68" s="12">
        <f t="array" ref="AH68">INDEX(AG:AG,MIN(IF(ISNUMBER(AG68:AG264),ROW(AG68:AG264),"")))</f>
        <v>5.4</v>
      </c>
      <c r="AI68" s="13">
        <f>IF('Données projet'!$A$62&gt;35,AI67+AH68-AQ67,IF(A68&lt;'Données projet'!$A$62,$AF$205^A68,IF(A68='Données projet'!$A$62,'Données projet'!$B$62,AI67+AH68-AQ67)))</f>
        <v>161</v>
      </c>
      <c r="AJ68" s="13">
        <f>AI68*VLOOKUP('Données projet'!$B$10,Paramètres!$A$1:$I$89,3,0)*VLOOKUP('Données projet'!$B$10,Paramètres!$A$1:$I$89,5,0)</f>
        <v>145.6728</v>
      </c>
      <c r="AK68" s="13">
        <f t="shared" si="35"/>
        <v>37.593544857919731</v>
      </c>
      <c r="AL68" s="20">
        <f t="shared" ref="AL68:AL131" si="58">(AJ68+AK68)*0.475*44/12</f>
        <v>319.18888396087686</v>
      </c>
      <c r="AM68" s="59">
        <f t="shared" ref="AM68:AM131" si="59">AL68+(AD68+AE68)*44/12</f>
        <v>612.52221729421012</v>
      </c>
      <c r="AN68" s="59">
        <f ca="1">AVERAGE(OFFSET($AM$3,0,0,'Données projet'!$E$10+1,1))-AVERAGE(OFFSET($H$3,0,0,'Données projet'!$E$10+1,1))</f>
        <v>183.0147113277086</v>
      </c>
      <c r="AO68" s="59">
        <f t="shared" si="36"/>
        <v>76.413905647258389</v>
      </c>
      <c r="AP68" s="15">
        <f>IF(ISNA(VLOOKUP(A68,'Données projet'!$A$61:$I$81,3,0)),0,VLOOKUP(A68,'Données projet'!$A$61:$I$81,3,0))</f>
        <v>7</v>
      </c>
      <c r="AQ68" s="15">
        <f>IF(ISNA(VLOOKUP(A68,'Données projet'!$A$61:$I$81,4,0)),0,VLOOKUP(A68,'Données projet'!$A$61:$I$81,4,0))</f>
        <v>14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31.697314996015102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31.697314996015102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243.45359999999988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279.49721661620544</v>
      </c>
      <c r="BJ68" s="59">
        <f t="shared" si="38"/>
        <v>275.18739333988754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51.148563221721147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51.148563221721147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225.2323446080772</v>
      </c>
      <c r="CE68" s="59">
        <f t="shared" si="40"/>
        <v>222.29030402759292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43.114517337362628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43.114517337362628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217.43280000000001</v>
      </c>
      <c r="CV68" s="13">
        <f t="shared" si="41"/>
        <v>53.556536889714792</v>
      </c>
      <c r="CW68" s="20">
        <f t="shared" ref="CW68:CW131" si="67">(CU68+CV68)*0.475*44/12</f>
        <v>471.97309508291988</v>
      </c>
      <c r="CX68" s="59">
        <f t="shared" ref="CX68:CX131" si="68">CW68+(CO68+CP68)*44/12</f>
        <v>765.3064284162532</v>
      </c>
      <c r="CY68" s="59">
        <f ca="1">AVERAGE(OFFSET($CX$3,0,0,'Données projet'!$E$13+1,1))-AVERAGE(OFFSET($H$3,0,0,'Données projet'!$E$13+1,1))</f>
        <v>240.57184010337932</v>
      </c>
      <c r="CZ68" s="59">
        <f t="shared" si="42"/>
        <v>236.36473521227072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36.502402155589131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36.502402155589131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611</v>
      </c>
      <c r="DM68" s="12">
        <f>VLOOKUP(A68,'Données projet'!$A$165:$I$185,9,0)</f>
        <v>16.8</v>
      </c>
      <c r="DN68" s="12">
        <f t="array" ref="DN68">INDEX(DM:DM,MIN(IF(ISNUMBER(DM68:DM264),ROW(DM68:DM264),"")))</f>
        <v>16.8</v>
      </c>
      <c r="DO68" s="12">
        <f>IF('Données projet'!$A$166&gt;35,DO67+DN68-DW67,IF(A68&lt;'Données projet'!$A$166,$DL$205^A68,IF(A68='Données projet'!$A$166,'Données projet'!$B$166,DO67+DN68-DW67)))</f>
        <v>610.99999999999955</v>
      </c>
      <c r="DP68" s="17">
        <f>DO68*VLOOKUP('Données projet'!$B$14,Paramètres!$A$1:$I$89,3,0)*VLOOKUP('Données projet'!$B$14,Paramètres!$A$1:$I$89,5,0)</f>
        <v>285.94799999999981</v>
      </c>
      <c r="DQ68" s="13">
        <f t="shared" si="43"/>
        <v>68.222450362989363</v>
      </c>
      <c r="DR68" s="20">
        <f t="shared" ref="DR68:DR131" si="70">(DP68+DQ68)*0.475*44/12</f>
        <v>616.84686771553936</v>
      </c>
      <c r="DS68" s="59">
        <f t="shared" ref="DS68:DS131" si="71">DR68+(DJ68+DK68)*44/12</f>
        <v>910.18020104887273</v>
      </c>
      <c r="DT68" s="59">
        <f ca="1">AVERAGE(OFFSET($DS$3,0,0,'Données projet'!$E$14+1,1))-AVERAGE(OFFSET($H$3,0,0,'Données projet'!$E$14+1,1))</f>
        <v>304.29617570272939</v>
      </c>
      <c r="DU68" s="59">
        <f t="shared" si="44"/>
        <v>246.20695736161576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44</v>
      </c>
      <c r="DX68" s="16">
        <f>IF(ISNA(VLOOKUP(A68,'Données projet'!$A$165:$I$185,5,0)),0%,VLOOKUP(A68,'Données projet'!$A$165:$I$185,5,0)*VLOOKUP('Données projet'!$B$14,Paramètres!$A$1:$I$89,7,0))</f>
        <v>0.55000000000000004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84.903588320150163</v>
      </c>
      <c r="EB68" s="21">
        <f>EXP(-LN(2)/25)*EB67+(1-EXP(-LN(2)/25))/(LN(2)/25)*Calculateur!DW68*Calculateur!DY68*VLOOKUP('Données projet'!$B$14,Paramètres!$A$1:$I$89,3,0)*0.475*44/12</f>
        <v>15.507615529544978</v>
      </c>
      <c r="EC68" s="21">
        <f>EXP(-LN(2)/2)*EC67+(1-EXP(-LN(2)/2))/(LN(2)/2)*DW68*DZ68*VLOOKUP('Données projet'!$B$14,Paramètres!$A$1:$I$89,3,0)*0.475*44/12</f>
        <v>2.1224172630481987E-5</v>
      </c>
      <c r="ED68" s="22">
        <f t="shared" ref="ED68:ED131" si="72">SUM(EA68:EC68)</f>
        <v>100.41122507386777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440</v>
      </c>
      <c r="EH68" s="12">
        <f>VLOOKUP(A68,'Données projet'!$A$191:$I$211,9,0)</f>
        <v>11.4</v>
      </c>
      <c r="EI68" s="12">
        <f t="array" ref="EI68">INDEX(EH:EH,MIN(IF(ISNUMBER(EH68:EH264),ROW(EH68:EH264),"")))</f>
        <v>11.4</v>
      </c>
      <c r="EJ68" s="12">
        <f>IF('Données projet'!$A$192&gt;35,EJ67+EI68-ER67,IF(A68&lt;'Données projet'!$A$192,$EG$205^A68,IF(A68='Données projet'!$A$192,'Données projet'!$B$192,EJ67+EI68-ER67)))</f>
        <v>439.99999999999943</v>
      </c>
      <c r="EK68" s="17">
        <f>EJ68*VLOOKUP('Données projet'!$B$15,Paramètres!$A$1:$I$89,3,0)*VLOOKUP('Données projet'!$B$15,Paramètres!$A$1:$I$89,5,0)</f>
        <v>263.11999999999966</v>
      </c>
      <c r="EL68" s="13">
        <f t="shared" si="45"/>
        <v>63.386973458751953</v>
      </c>
      <c r="EM68" s="20">
        <f t="shared" ref="EM68:EM131" si="73">(EK68+EL68)*0.475*44/12</f>
        <v>568.66631210732578</v>
      </c>
      <c r="EN68" s="59">
        <f t="shared" ref="EN68:EN131" si="74">EM68+(EE68+EF68)*44/12</f>
        <v>861.99964544065915</v>
      </c>
      <c r="EO68" s="59">
        <f ca="1">AVERAGE(OFFSET($EN$3,0,0,'Données projet'!$E$15+1,1))-AVERAGE(OFFSET($H$3,0,0,'Données projet'!$E$15+1,1))</f>
        <v>288.41846134875794</v>
      </c>
      <c r="EP68" s="59">
        <f t="shared" si="46"/>
        <v>248.93951719818972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26</v>
      </c>
      <c r="ES68" s="16">
        <f>IF(ISNA(VLOOKUP(A68,'Données projet'!$A$191:$I$211,5,0)),0%,VLOOKUP(A68,'Données projet'!$A$191:$I$211,5,0)*VLOOKUP('Données projet'!$B$15,Paramètres!$A$1:$I$89,7,0))</f>
        <v>0.45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67.052009077300212</v>
      </c>
      <c r="EW68" s="21">
        <f>EXP(-LN(2)/25)*EW67+(1-EXP(-LN(2)/25))/(LN(2)/25)*Calculateur!ER68*Calculateur!ET68*VLOOKUP('Données projet'!$B$15,Paramètres!$A$1:$I$89,3,0)*0.475*44/12</f>
        <v>10.58535542033105</v>
      </c>
      <c r="EX68" s="21">
        <f>EXP(-LN(2)/2)*EX67+(1-EXP(-LN(2)/2))/(LN(2)/2)*ER68*EU68*VLOOKUP('Données projet'!$B$15,Paramètres!$A$1:$I$89,3,0)*0.475*44/12</f>
        <v>2.6253647921343971E-6</v>
      </c>
      <c r="EY68" s="22">
        <f t="shared" ref="EY68:EY131" si="75">SUM(EV68:EX68)</f>
        <v>77.637367122996054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748</v>
      </c>
      <c r="FC68" s="12">
        <f>VLOOKUP(A68,'Données projet'!$A$217:$I$237,9,0)</f>
        <v>15.2</v>
      </c>
      <c r="FD68" s="12">
        <f t="array" ref="FD68">INDEX(FC:FC,MIN(IF(ISNUMBER(FC68:FC264),ROW(FC68:FC264),"")))</f>
        <v>15.2</v>
      </c>
      <c r="FE68" s="12">
        <f>IF('Données projet'!$A$218&gt;35,FE67+FD68-FM67,IF(A68&lt;'Données projet'!$A$218,$FB$205^A68,IF(A68='Données projet'!$A$218,'Données projet'!$B$218,FE67+FD68-FM67)))</f>
        <v>748.00000000000045</v>
      </c>
      <c r="FF68" s="17">
        <f>FE68*VLOOKUP('Données projet'!$B$16,Paramètres!$A$1:$I$89,3,0)*VLOOKUP('Données projet'!$B$16,Paramètres!$A$1:$I$89,5,0)</f>
        <v>340.3400000000002</v>
      </c>
      <c r="FG68" s="13">
        <f t="shared" si="47"/>
        <v>79.570188487648295</v>
      </c>
      <c r="FH68" s="20">
        <f t="shared" ref="FH68:FH131" si="76">(FF68+FG68)*0.475*44/12</f>
        <v>731.34357828265445</v>
      </c>
      <c r="FI68" s="59">
        <f t="shared" ref="FI68:FI131" si="77">FH68+(EZ68+FA68)*44/12</f>
        <v>1024.6769116159878</v>
      </c>
      <c r="FJ68" s="59">
        <f ca="1">AVERAGE(OFFSET($FI$3,0,0,'Données projet'!$E$16+1,1))-AVERAGE(OFFSET($H$3,0,0,'Données projet'!$E$16+1,1))</f>
        <v>367.36535411813264</v>
      </c>
      <c r="FK68" s="59">
        <f t="shared" si="48"/>
        <v>293.19545174980556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34</v>
      </c>
      <c r="FN68" s="16">
        <f>IF(ISNA(VLOOKUP(A68,'Données projet'!$A$217:$I$237,5,0)),0%,VLOOKUP(A68,'Données projet'!$A$217:$I$237,5,0)*VLOOKUP('Données projet'!$B$16,Paramètres!$A$1:$I$89,7,0))</f>
        <v>0.55000000000000004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87.971601431419174</v>
      </c>
      <c r="FR68" s="21">
        <f>EXP(-LN(2)/25)*FR67+(1-EXP(-LN(2)/25))/(LN(2)/25)*Calculateur!FM68*Calculateur!FO68*VLOOKUP('Données projet'!$B$16,Paramètres!$A$1:$I$89,3,0)*0.475*44/12</f>
        <v>16.406448618468009</v>
      </c>
      <c r="FS68" s="21">
        <f>EXP(-LN(2)/2)*FS67+(1-EXP(-LN(2)/2))/(LN(2)/2)*FM68*FP68*VLOOKUP('Données projet'!$B$16,Paramètres!$A$1:$I$89,3,0)*0.475*44/12</f>
        <v>3.9082698937728365E-6</v>
      </c>
      <c r="FT68" s="22">
        <f t="shared" ref="FT68:FT131" si="78">SUM(FQ68:FS68)</f>
        <v>104.37805395815707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612</v>
      </c>
      <c r="FX68" s="12">
        <f>VLOOKUP(A68,'Données projet'!$A$243:$I$263,9,0)</f>
        <v>17.600000000000001</v>
      </c>
      <c r="FY68" s="12">
        <f t="array" ref="FY68">INDEX(FX:FX,MIN(IF(ISNUMBER(FX68:FX264),ROW(FX68:FX264),"")))</f>
        <v>17.600000000000001</v>
      </c>
      <c r="FZ68" s="12">
        <f>IF('Données projet'!$A$244&gt;35,FZ67+FY68-GH67,IF(A68&lt;'Données projet'!$A$244,$FW$205^A68,IF(A68='Données projet'!$A$244,'Données projet'!$B$244,FZ67+FY68-GH67)))</f>
        <v>612.00000000000011</v>
      </c>
      <c r="GA68" s="17">
        <f>FZ68*VLOOKUP('Données projet'!$B$17,Paramètres!$A$1:$I$89,3,0)*VLOOKUP('Données projet'!$B$17,Paramètres!$A$1:$I$89,5,0)</f>
        <v>294.37200000000007</v>
      </c>
      <c r="GB68" s="13">
        <f t="shared" si="49"/>
        <v>69.995321225846425</v>
      </c>
      <c r="GC68" s="20">
        <f t="shared" ref="GC68:GC131" si="79">(GA68+GB68)*0.475*44/12</f>
        <v>634.6064178016826</v>
      </c>
      <c r="GD68" s="59">
        <f t="shared" ref="GD68:GD131" si="80">GC68+(FU68+FV68)*44/12</f>
        <v>927.93975113501597</v>
      </c>
      <c r="GE68" s="59">
        <f ca="1">AVERAGE(OFFSET($GD$3,0,0,'Données projet'!$E$17+1,1))-AVERAGE(OFFSET($H$3,0,0,'Données projet'!$E$17+1,1))</f>
        <v>312.64506496298173</v>
      </c>
      <c r="GF68" s="59">
        <f t="shared" si="50"/>
        <v>259.97532509897508</v>
      </c>
      <c r="GG68" s="15">
        <f>IF(ISNA(VLOOKUP(A68,'Données projet'!$A$243:$I$263,3,0)),0,VLOOKUP(A68,'Données projet'!$A$243:$I$263,3,0))</f>
        <v>9</v>
      </c>
      <c r="GH68" s="15">
        <f>IF(ISNA(VLOOKUP(A68,'Données projet'!$A$243:$I$263,4,0)),0,VLOOKUP(A68,'Données projet'!$A$243:$I$263,4,0))</f>
        <v>45</v>
      </c>
      <c r="GI68" s="16">
        <f>IF(ISNA(VLOOKUP(A68,'Données projet'!$A$243:$I$263,5,0)),0%,VLOOKUP(A68,'Données projet'!$A$243:$I$263,5,0)*VLOOKUP('Données projet'!$B$17,Paramètres!$A$1:$I$89,7,0))</f>
        <v>0.55000000000000004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98.462182028450528</v>
      </c>
      <c r="GM68" s="21">
        <f>EXP(-LN(2)/25)*GM67+(1-EXP(-LN(2)/25))/(LN(2)/25)*Calculateur!GH68*Calculateur!GJ68*VLOOKUP('Données projet'!$B$17,Paramètres!$A$1:$I$89,3,0)*0.475*44/12</f>
        <v>7.417692013642319</v>
      </c>
      <c r="GN68" s="21">
        <f>EXP(-LN(2)/2)*GN67+(1-EXP(-LN(2)/2))/(LN(2)/2)*GH68*GK68*VLOOKUP('Données projet'!$B$17,Paramètres!$A$1:$I$89,3,0)*0.475*44/12</f>
        <v>2.0774983791741564E-5</v>
      </c>
      <c r="GO68" s="21">
        <f t="shared" ref="GO68:GO131" si="81">SUM(GL68:GN68)</f>
        <v>105.87989481707665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229</v>
      </c>
      <c r="GS68" s="12">
        <f>VLOOKUP(A68,'Données projet'!$A$269:$I$289,9,0)</f>
        <v>7.2</v>
      </c>
      <c r="GT68" s="12">
        <f t="array" ref="GT68">INDEX(GS:GS,MIN(IF(ISNUMBER(GS68:GS264),ROW(GS68:GS264),"")))</f>
        <v>7.2</v>
      </c>
      <c r="GU68" s="12">
        <f>IF('Données projet'!$A$270&gt;35,GU67+GT68-HC67,IF(A68&lt;'Données projet'!$A$270,$GR$205^A68,IF(A68='Données projet'!$A$270,'Données projet'!$B$270,GU67+GT68-HC67)))</f>
        <v>228.99999999999991</v>
      </c>
      <c r="GV68" s="17">
        <f>GU68*VLOOKUP('Données projet'!$B$18,Paramètres!$A$1:$I$89,3,0)*VLOOKUP('Données projet'!$B$18,Paramètres!$A$1:$I$89,5,0)</f>
        <v>232.2059999999999</v>
      </c>
      <c r="GW68" s="13">
        <f t="shared" si="51"/>
        <v>56.759404991217522</v>
      </c>
      <c r="GX68" s="20">
        <f t="shared" ref="GX68:GX131" si="82">(GV68+GW68)*0.475*44/12</f>
        <v>503.281413693037</v>
      </c>
      <c r="GY68" s="59">
        <f t="shared" ref="GY68:GY131" si="83">GX68+(GP68+GQ68)*44/12</f>
        <v>796.61474702637031</v>
      </c>
      <c r="GZ68" s="59">
        <f ca="1">AVERAGE(OFFSET($GY$3,0,0,'Données projet'!$E$18+1,1))-AVERAGE(OFFSET($H$3,0,0,'Données projet'!$E$18+1,1))</f>
        <v>308.80022073574963</v>
      </c>
      <c r="HA68" s="59">
        <f t="shared" si="52"/>
        <v>183.96267407004115</v>
      </c>
      <c r="HB68" s="15">
        <f>IF(ISNA(VLOOKUP(A68,'Données projet'!$A$269:$I$289,3,0)),0,VLOOKUP(A68,'Données projet'!$A$269:$I$289,3,0))</f>
        <v>9</v>
      </c>
      <c r="HC68" s="15">
        <f>IF(ISNA(VLOOKUP(A68,'Données projet'!$A$269:$I$289,4,0)),0,VLOOKUP(A68,'Données projet'!$A$269:$I$289,4,0))</f>
        <v>21</v>
      </c>
      <c r="HD68" s="16">
        <f>IF(ISNA(VLOOKUP(A68,'Données projet'!$A$269:$I$289,5,0)),0%,VLOOKUP(A68,'Données projet'!$A$269:$I$289,5,0)*VLOOKUP('Données projet'!$B$18,Paramètres!$A$1:$I$89,7,0))</f>
        <v>0.43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53.683413836203357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53.683413836203357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344.49457749226184</v>
      </c>
      <c r="T69" s="59">
        <f t="shared" ref="T69:T132" si="88">$T$3</f>
        <v>207.92972431357452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152</v>
      </c>
      <c r="AJ69" s="13">
        <f>AI69*VLOOKUP('Données projet'!$B$10,Paramètres!$A$1:$I$89,3,0)*VLOOKUP('Données projet'!$B$10,Paramètres!$A$1:$I$89,5,0)</f>
        <v>137.52959999999999</v>
      </c>
      <c r="AK69" s="13">
        <f t="shared" ref="AK69:AK132" si="89">EXP(-1.0587+0.8836*LN(AJ69)+0.284)</f>
        <v>35.730486489800548</v>
      </c>
      <c r="AL69" s="20">
        <f t="shared" si="58"/>
        <v>301.76131730306923</v>
      </c>
      <c r="AM69" s="59">
        <f t="shared" si="59"/>
        <v>595.09465063640255</v>
      </c>
      <c r="AN69" s="59">
        <f ca="1">AVERAGE(OFFSET($AM$3,0,0,'Données projet'!$E$10+1,1))-AVERAGE(OFFSET($H$3,0,0,'Données projet'!$E$10+1,1))</f>
        <v>183.0147113277086</v>
      </c>
      <c r="AO69" s="59">
        <f t="shared" ref="AO69:AO132" si="90">$AO$3</f>
        <v>76.413905647258389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31.075749982396374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31.075749982396374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236.7705599999999</v>
      </c>
      <c r="BF69" s="13">
        <f t="shared" ref="BF69:BF132" si="91">EXP(-1.0587+0.8836*LN(BE69)+0.284)</f>
        <v>57.744153841586879</v>
      </c>
      <c r="BG69" s="20">
        <f t="shared" si="61"/>
        <v>512.9464599407637</v>
      </c>
      <c r="BH69" s="59">
        <f t="shared" si="62"/>
        <v>806.27979327409707</v>
      </c>
      <c r="BI69" s="59">
        <f ca="1">AVERAGE(OFFSET($BH$3,0,0,'Données projet'!$E$11+1,1))-AVERAGE(OFFSET($H$3,0,0,'Données projet'!$E$11+1,1))</f>
        <v>279.49721661620544</v>
      </c>
      <c r="BJ69" s="59">
        <f t="shared" ref="BJ69:BJ132" si="92">$BJ$3</f>
        <v>275.18739333988754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50.145571094486257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50.145571094486257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225.2323446080772</v>
      </c>
      <c r="CE69" s="59">
        <f t="shared" ref="CE69:CE132" si="94">$CE$3</f>
        <v>222.29030402759292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42.269067949635883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42.269067949635883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212.05080000000001</v>
      </c>
      <c r="CV69" s="13">
        <f t="shared" ref="CV69:CV132" si="95">EXP(-1.0587+0.8836*LN(CU69)+0.284)</f>
        <v>52.383483303212302</v>
      </c>
      <c r="CW69" s="20">
        <f t="shared" si="67"/>
        <v>460.55637675309475</v>
      </c>
      <c r="CX69" s="59">
        <f t="shared" si="68"/>
        <v>753.88971008642807</v>
      </c>
      <c r="CY69" s="59">
        <f ca="1">AVERAGE(OFFSET($CX$3,0,0,'Données projet'!$E$13+1,1))-AVERAGE(OFFSET($H$3,0,0,'Données projet'!$E$13+1,1))</f>
        <v>240.57184010337932</v>
      </c>
      <c r="CZ69" s="59">
        <f t="shared" ref="CZ69:CZ132" si="96">$CZ$3</f>
        <v>236.36473521227072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35.786612313584932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35.786612313584932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16</v>
      </c>
      <c r="DO69" s="12">
        <f>IF('Données projet'!$A$166&gt;35,DO68+DN69-DW68,IF(A69&lt;'Données projet'!$A$166,$DL$205^A69,IF(A69='Données projet'!$A$166,'Données projet'!$B$166,DO68+DN69-DW68)))</f>
        <v>582.99999999999955</v>
      </c>
      <c r="DP69" s="17">
        <f>DO69*VLOOKUP('Données projet'!$B$14,Paramètres!$A$1:$I$89,3,0)*VLOOKUP('Données projet'!$B$14,Paramètres!$A$1:$I$89,5,0)</f>
        <v>272.84399999999977</v>
      </c>
      <c r="DQ69" s="13">
        <f t="shared" ref="DQ69:DQ132" si="97">EXP(-1.0587+0.8836*LN(DP69)+0.284)</f>
        <v>65.452469296244189</v>
      </c>
      <c r="DR69" s="20">
        <f t="shared" si="70"/>
        <v>589.19968402429151</v>
      </c>
      <c r="DS69" s="59">
        <f t="shared" si="71"/>
        <v>882.53301735762489</v>
      </c>
      <c r="DT69" s="59">
        <f ca="1">AVERAGE(OFFSET($DS$3,0,0,'Données projet'!$E$14+1,1))-AVERAGE(OFFSET($H$3,0,0,'Données projet'!$E$14+1,1))</f>
        <v>304.29617570272939</v>
      </c>
      <c r="DU69" s="59">
        <f t="shared" ref="DU69:DU132" si="98">$DU$3</f>
        <v>246.20695736161576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83.238680739267437</v>
      </c>
      <c r="EB69" s="21">
        <f>EXP(-LN(2)/25)*EB68+(1-EXP(-LN(2)/25))/(LN(2)/25)*Calculateur!DW69*Calculateur!DY69*VLOOKUP('Données projet'!$B$14,Paramètres!$A$1:$I$89,3,0)*0.475*44/12</f>
        <v>15.083558967379513</v>
      </c>
      <c r="EC69" s="21">
        <f>EXP(-LN(2)/2)*EC68+(1-EXP(-LN(2)/2))/(LN(2)/2)*DW69*DZ69*VLOOKUP('Données projet'!$B$14,Paramètres!$A$1:$I$89,3,0)*0.475*44/12</f>
        <v>1.5007756392087738E-5</v>
      </c>
      <c r="ED69" s="22">
        <f t="shared" si="72"/>
        <v>98.322254714403343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423.99999999999943</v>
      </c>
      <c r="EK69" s="17">
        <f>EJ69*VLOOKUP('Données projet'!$B$15,Paramètres!$A$1:$I$89,3,0)*VLOOKUP('Données projet'!$B$15,Paramètres!$A$1:$I$89,5,0)</f>
        <v>253.55199999999968</v>
      </c>
      <c r="EL69" s="13">
        <f t="shared" ref="EL69:EL132" si="99">EXP(-1.0587+0.8836*LN(EK69)+0.284)</f>
        <v>61.34592254261343</v>
      </c>
      <c r="EM69" s="20">
        <f t="shared" si="73"/>
        <v>548.44721509505109</v>
      </c>
      <c r="EN69" s="59">
        <f t="shared" si="74"/>
        <v>841.78054842838446</v>
      </c>
      <c r="EO69" s="59">
        <f ca="1">AVERAGE(OFFSET($EN$3,0,0,'Données projet'!$E$15+1,1))-AVERAGE(OFFSET($H$3,0,0,'Données projet'!$E$15+1,1))</f>
        <v>288.41846134875794</v>
      </c>
      <c r="EP69" s="59">
        <f t="shared" ref="EP69:EP132" si="100">$EP$3</f>
        <v>248.93951719818972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65.737160076981581</v>
      </c>
      <c r="EW69" s="21">
        <f>EXP(-LN(2)/25)*EW68+(1-EXP(-LN(2)/25))/(LN(2)/25)*Calculateur!ER69*Calculateur!ET69*VLOOKUP('Données projet'!$B$15,Paramètres!$A$1:$I$89,3,0)*0.475*44/12</f>
        <v>10.295898319702449</v>
      </c>
      <c r="EX69" s="21">
        <f>EXP(-LN(2)/2)*EX68+(1-EXP(-LN(2)/2))/(LN(2)/2)*ER69*EU69*VLOOKUP('Données projet'!$B$15,Paramètres!$A$1:$I$89,3,0)*0.475*44/12</f>
        <v>1.8564132476066431E-6</v>
      </c>
      <c r="EY69" s="22">
        <f t="shared" si="75"/>
        <v>76.033060253097275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12.2</v>
      </c>
      <c r="FE69" s="12">
        <f>IF('Données projet'!$A$218&gt;35,FE68+FD69-FM68,IF(A69&lt;'Données projet'!$A$218,$FB$205^A69,IF(A69='Données projet'!$A$218,'Données projet'!$B$218,FE68+FD69-FM68)))</f>
        <v>726.2000000000005</v>
      </c>
      <c r="FF69" s="17">
        <f>FE69*VLOOKUP('Données projet'!$B$16,Paramètres!$A$1:$I$89,3,0)*VLOOKUP('Données projet'!$B$16,Paramètres!$A$1:$I$89,5,0)</f>
        <v>330.42100000000022</v>
      </c>
      <c r="FG69" s="13">
        <f t="shared" ref="FG69:FG132" si="101">EXP(-1.0587+0.8836*LN(FF69)+0.284)</f>
        <v>77.517584735270901</v>
      </c>
      <c r="FH69" s="20">
        <f t="shared" si="76"/>
        <v>710.49303508059711</v>
      </c>
      <c r="FI69" s="59">
        <f t="shared" si="77"/>
        <v>1003.8263684139304</v>
      </c>
      <c r="FJ69" s="59">
        <f ca="1">AVERAGE(OFFSET($FI$3,0,0,'Données projet'!$E$16+1,1))-AVERAGE(OFFSET($H$3,0,0,'Données projet'!$E$16+1,1))</f>
        <v>367.36535411813264</v>
      </c>
      <c r="FK69" s="59">
        <f t="shared" ref="FK69:FK132" si="102">$FK$3</f>
        <v>293.19545174980556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86.246531984727696</v>
      </c>
      <c r="FR69" s="21">
        <f>EXP(-LN(2)/25)*FR68+(1-EXP(-LN(2)/25))/(LN(2)/25)*Calculateur!FM69*Calculateur!FO69*VLOOKUP('Données projet'!$B$16,Paramètres!$A$1:$I$89,3,0)*0.475*44/12</f>
        <v>15.957813418218365</v>
      </c>
      <c r="FS69" s="21">
        <f>EXP(-LN(2)/2)*FS68+(1-EXP(-LN(2)/2))/(LN(2)/2)*FM69*FP69*VLOOKUP('Données projet'!$B$16,Paramètres!$A$1:$I$89,3,0)*0.475*44/12</f>
        <v>2.7635641445940005E-6</v>
      </c>
      <c r="FT69" s="22">
        <f t="shared" si="78"/>
        <v>102.2043481665102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16.399999999999999</v>
      </c>
      <c r="FZ69" s="12">
        <f>IF('Données projet'!$A$244&gt;35,FZ68+FY69-GH68,IF(A69&lt;'Données projet'!$A$244,$FW$205^A69,IF(A69='Données projet'!$A$244,'Données projet'!$B$244,FZ68+FY69-GH68)))</f>
        <v>583.40000000000009</v>
      </c>
      <c r="GA69" s="17">
        <f>FZ69*VLOOKUP('Données projet'!$B$17,Paramètres!$A$1:$I$89,3,0)*VLOOKUP('Données projet'!$B$17,Paramètres!$A$1:$I$89,5,0)</f>
        <v>280.61540000000008</v>
      </c>
      <c r="GB69" s="13">
        <f t="shared" ref="GB69:GB132" si="103">EXP(-1.0587+0.8836*LN(GA69)+0.284)</f>
        <v>67.097043969752875</v>
      </c>
      <c r="GC69" s="20">
        <f t="shared" si="79"/>
        <v>605.59917324731964</v>
      </c>
      <c r="GD69" s="59">
        <f t="shared" si="80"/>
        <v>898.9325065806529</v>
      </c>
      <c r="GE69" s="59">
        <f ca="1">AVERAGE(OFFSET($GD$3,0,0,'Données projet'!$E$17+1,1))-AVERAGE(OFFSET($H$3,0,0,'Données projet'!$E$17+1,1))</f>
        <v>312.64506496298173</v>
      </c>
      <c r="GF69" s="59">
        <f t="shared" ref="GF69:GF132" si="104">$GF$3</f>
        <v>259.97532509897508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96.531398694873616</v>
      </c>
      <c r="GM69" s="21">
        <f>EXP(-LN(2)/25)*GM68+(1-EXP(-LN(2)/25))/(LN(2)/25)*Calculateur!GH69*Calculateur!GJ69*VLOOKUP('Données projet'!$B$17,Paramètres!$A$1:$I$89,3,0)*0.475*44/12</f>
        <v>7.2148548354497999</v>
      </c>
      <c r="GN69" s="21">
        <f>EXP(-LN(2)/2)*GN68+(1-EXP(-LN(2)/2))/(LN(2)/2)*GH69*GK69*VLOOKUP('Données projet'!$B$17,Paramètres!$A$1:$I$89,3,0)*0.475*44/12</f>
        <v>1.4690131918181074E-5</v>
      </c>
      <c r="GO69" s="21">
        <f t="shared" si="81"/>
        <v>103.74626822045533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6.8</v>
      </c>
      <c r="GU69" s="12">
        <f>IF('Données projet'!$A$270&gt;35,GU68+GT69-HC68,IF(A69&lt;'Données projet'!$A$270,$GR$205^A69,IF(A69='Données projet'!$A$270,'Données projet'!$B$270,GU68+GT69-HC68)))</f>
        <v>214.79999999999993</v>
      </c>
      <c r="GV69" s="17">
        <f>GU69*VLOOKUP('Données projet'!$B$18,Paramètres!$A$1:$I$89,3,0)*VLOOKUP('Données projet'!$B$18,Paramètres!$A$1:$I$89,5,0)</f>
        <v>217.80719999999994</v>
      </c>
      <c r="GW69" s="13">
        <f t="shared" ref="GW69:GW132" si="105">EXP(-1.0587+0.8836*LN(GV69)+0.284)</f>
        <v>53.638013973813976</v>
      </c>
      <c r="GX69" s="20">
        <f t="shared" si="82"/>
        <v>472.76708100439259</v>
      </c>
      <c r="GY69" s="59">
        <f t="shared" si="83"/>
        <v>766.10041433772585</v>
      </c>
      <c r="GZ69" s="59">
        <f ca="1">AVERAGE(OFFSET($GY$3,0,0,'Données projet'!$E$18+1,1))-AVERAGE(OFFSET($H$3,0,0,'Données projet'!$E$18+1,1))</f>
        <v>308.80022073574963</v>
      </c>
      <c r="HA69" s="59">
        <f t="shared" ref="HA69:HA132" si="106">$HA$3</f>
        <v>183.96267407004115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52.630714834524682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52.630714834524682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344.49457749226184</v>
      </c>
      <c r="T70" s="59">
        <f t="shared" si="88"/>
        <v>207.92972431357452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157</v>
      </c>
      <c r="AJ70" s="13">
        <f>AI70*VLOOKUP('Données projet'!$B$10,Paramètres!$A$1:$I$89,3,0)*VLOOKUP('Données projet'!$B$10,Paramètres!$A$1:$I$89,5,0)</f>
        <v>142.05359999999999</v>
      </c>
      <c r="AK70" s="13">
        <f t="shared" si="89"/>
        <v>36.767056963845924</v>
      </c>
      <c r="AL70" s="20">
        <f t="shared" si="58"/>
        <v>311.445977545365</v>
      </c>
      <c r="AM70" s="59">
        <f t="shared" si="59"/>
        <v>604.77931087869831</v>
      </c>
      <c r="AN70" s="59">
        <f ca="1">AVERAGE(OFFSET($AM$3,0,0,'Données projet'!$E$10+1,1))-AVERAGE(OFFSET($H$3,0,0,'Données projet'!$E$10+1,1))</f>
        <v>183.0147113277086</v>
      </c>
      <c r="AO70" s="59">
        <f t="shared" si="90"/>
        <v>76.413905647258389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30.466373479577484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30.466373479577484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240.43031999999991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279.49721661620544</v>
      </c>
      <c r="BJ70" s="59">
        <f t="shared" si="92"/>
        <v>275.18739333988754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49.162247031101657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49.162247031101657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225.2323446080772</v>
      </c>
      <c r="CE70" s="59">
        <f t="shared" si="94"/>
        <v>222.29030402759292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41.440197308729253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41.440197308729253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215.28</v>
      </c>
      <c r="CV70" s="13">
        <f t="shared" si="95"/>
        <v>53.087725740853138</v>
      </c>
      <c r="CW70" s="20">
        <f t="shared" si="67"/>
        <v>467.40712233198587</v>
      </c>
      <c r="CX70" s="59">
        <f t="shared" si="68"/>
        <v>760.74045566531913</v>
      </c>
      <c r="CY70" s="59">
        <f ca="1">AVERAGE(OFFSET($CX$3,0,0,'Données projet'!$E$13+1,1))-AVERAGE(OFFSET($H$3,0,0,'Données projet'!$E$13+1,1))</f>
        <v>240.57184010337932</v>
      </c>
      <c r="CZ70" s="59">
        <f t="shared" si="96"/>
        <v>236.36473521227072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35.08485867379374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35.08485867379374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16</v>
      </c>
      <c r="DO70" s="12">
        <f>IF('Données projet'!$A$166&gt;35,DO69+DN70-DW69,IF(A70&lt;'Données projet'!$A$166,$DL$205^A70,IF(A70='Données projet'!$A$166,'Données projet'!$B$166,DO69+DN70-DW69)))</f>
        <v>598.99999999999955</v>
      </c>
      <c r="DP70" s="17">
        <f>DO70*VLOOKUP('Données projet'!$B$14,Paramètres!$A$1:$I$89,3,0)*VLOOKUP('Données projet'!$B$14,Paramètres!$A$1:$I$89,5,0)</f>
        <v>280.33199999999977</v>
      </c>
      <c r="DQ70" s="13">
        <f t="shared" si="97"/>
        <v>67.037165185393079</v>
      </c>
      <c r="DR70" s="20">
        <f t="shared" si="70"/>
        <v>605.00129603122593</v>
      </c>
      <c r="DS70" s="59">
        <f t="shared" si="71"/>
        <v>898.33462936455931</v>
      </c>
      <c r="DT70" s="59">
        <f ca="1">AVERAGE(OFFSET($DS$3,0,0,'Données projet'!$E$14+1,1))-AVERAGE(OFFSET($H$3,0,0,'Données projet'!$E$14+1,1))</f>
        <v>304.29617570272939</v>
      </c>
      <c r="DU70" s="59">
        <f t="shared" si="98"/>
        <v>246.20695736161576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81.606420980552471</v>
      </c>
      <c r="EB70" s="21">
        <f>EXP(-LN(2)/25)*EB69+(1-EXP(-LN(2)/25))/(LN(2)/25)*Calculateur!DW70*Calculateur!DY70*VLOOKUP('Données projet'!$B$14,Paramètres!$A$1:$I$89,3,0)*0.475*44/12</f>
        <v>14.671098254206628</v>
      </c>
      <c r="EC70" s="21">
        <f>EXP(-LN(2)/2)*EC69+(1-EXP(-LN(2)/2))/(LN(2)/2)*DW70*DZ70*VLOOKUP('Données projet'!$B$14,Paramètres!$A$1:$I$89,3,0)*0.475*44/12</f>
        <v>1.0612086315240995E-5</v>
      </c>
      <c r="ED70" s="22">
        <f t="shared" si="72"/>
        <v>96.277529846845411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433.99999999999943</v>
      </c>
      <c r="EK70" s="17">
        <f>EJ70*VLOOKUP('Données projet'!$B$15,Paramètres!$A$1:$I$89,3,0)*VLOOKUP('Données projet'!$B$15,Paramètres!$A$1:$I$89,5,0)</f>
        <v>259.5319999999997</v>
      </c>
      <c r="EL70" s="13">
        <f t="shared" si="99"/>
        <v>62.622608810743841</v>
      </c>
      <c r="EM70" s="20">
        <f t="shared" si="73"/>
        <v>561.0859436787116</v>
      </c>
      <c r="EN70" s="59">
        <f t="shared" si="74"/>
        <v>854.41927701204486</v>
      </c>
      <c r="EO70" s="59">
        <f ca="1">AVERAGE(OFFSET($EN$3,0,0,'Données projet'!$E$15+1,1))-AVERAGE(OFFSET($H$3,0,0,'Données projet'!$E$15+1,1))</f>
        <v>288.41846134875794</v>
      </c>
      <c r="EP70" s="59">
        <f t="shared" si="100"/>
        <v>248.93951719818972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64.448094463580503</v>
      </c>
      <c r="EW70" s="21">
        <f>EXP(-LN(2)/25)*EW69+(1-EXP(-LN(2)/25))/(LN(2)/25)*Calculateur!ER70*Calculateur!ET70*VLOOKUP('Données projet'!$B$15,Paramètres!$A$1:$I$89,3,0)*0.475*44/12</f>
        <v>10.014356438712424</v>
      </c>
      <c r="EX70" s="21">
        <f>EXP(-LN(2)/2)*EX69+(1-EXP(-LN(2)/2))/(LN(2)/2)*ER70*EU70*VLOOKUP('Données projet'!$B$15,Paramètres!$A$1:$I$89,3,0)*0.475*44/12</f>
        <v>1.3126823960671988E-6</v>
      </c>
      <c r="EY70" s="22">
        <f t="shared" si="75"/>
        <v>74.462452214975329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12.2</v>
      </c>
      <c r="FE70" s="12">
        <f>IF('Données projet'!$A$218&gt;35,FE69+FD70-FM69,IF(A70&lt;'Données projet'!$A$218,$FB$205^A70,IF(A70='Données projet'!$A$218,'Données projet'!$B$218,FE69+FD70-FM69)))</f>
        <v>738.40000000000055</v>
      </c>
      <c r="FF70" s="17">
        <f>FE70*VLOOKUP('Données projet'!$B$16,Paramètres!$A$1:$I$89,3,0)*VLOOKUP('Données projet'!$B$16,Paramètres!$A$1:$I$89,5,0)</f>
        <v>335.97200000000021</v>
      </c>
      <c r="FG70" s="13">
        <f t="shared" si="101"/>
        <v>78.667159765387126</v>
      </c>
      <c r="FH70" s="20">
        <f t="shared" si="76"/>
        <v>722.16320325804963</v>
      </c>
      <c r="FI70" s="59">
        <f t="shared" si="77"/>
        <v>1015.4965365913829</v>
      </c>
      <c r="FJ70" s="59">
        <f ca="1">AVERAGE(OFFSET($FI$3,0,0,'Données projet'!$E$16+1,1))-AVERAGE(OFFSET($H$3,0,0,'Données projet'!$E$16+1,1))</f>
        <v>367.36535411813264</v>
      </c>
      <c r="FK70" s="59">
        <f t="shared" si="102"/>
        <v>293.19545174980556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84.555290097697366</v>
      </c>
      <c r="FR70" s="21">
        <f>EXP(-LN(2)/25)*FR69+(1-EXP(-LN(2)/25))/(LN(2)/25)*Calculateur!FM70*Calculateur!FO70*VLOOKUP('Données projet'!$B$16,Paramètres!$A$1:$I$89,3,0)*0.475*44/12</f>
        <v>15.521446171112247</v>
      </c>
      <c r="FS70" s="21">
        <f>EXP(-LN(2)/2)*FS69+(1-EXP(-LN(2)/2))/(LN(2)/2)*FM70*FP70*VLOOKUP('Données projet'!$B$16,Paramètres!$A$1:$I$89,3,0)*0.475*44/12</f>
        <v>1.9541349468864183E-6</v>
      </c>
      <c r="FT70" s="22">
        <f t="shared" si="78"/>
        <v>100.07673822294456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16.399999999999999</v>
      </c>
      <c r="FZ70" s="12">
        <f>IF('Données projet'!$A$244&gt;35,FZ69+FY70-GH69,IF(A70&lt;'Données projet'!$A$244,$FW$205^A70,IF(A70='Données projet'!$A$244,'Données projet'!$B$244,FZ69+FY70-GH69)))</f>
        <v>599.80000000000007</v>
      </c>
      <c r="GA70" s="17">
        <f>FZ70*VLOOKUP('Données projet'!$B$17,Paramètres!$A$1:$I$89,3,0)*VLOOKUP('Données projet'!$B$17,Paramètres!$A$1:$I$89,5,0)</f>
        <v>288.50380000000001</v>
      </c>
      <c r="GB70" s="13">
        <f t="shared" si="103"/>
        <v>68.760965105495728</v>
      </c>
      <c r="GC70" s="20">
        <f t="shared" si="79"/>
        <v>622.2361325587384</v>
      </c>
      <c r="GD70" s="59">
        <f t="shared" si="80"/>
        <v>915.56946589207178</v>
      </c>
      <c r="GE70" s="59">
        <f ca="1">AVERAGE(OFFSET($GD$3,0,0,'Données projet'!$E$17+1,1))-AVERAGE(OFFSET($H$3,0,0,'Données projet'!$E$17+1,1))</f>
        <v>312.64506496298173</v>
      </c>
      <c r="GF70" s="59">
        <f t="shared" si="104"/>
        <v>259.97532509897508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94.63847684480659</v>
      </c>
      <c r="GM70" s="21">
        <f>EXP(-LN(2)/25)*GM69+(1-EXP(-LN(2)/25))/(LN(2)/25)*Calculateur!GH70*Calculateur!GJ70*VLOOKUP('Données projet'!$B$17,Paramètres!$A$1:$I$89,3,0)*0.475*44/12</f>
        <v>7.0175642505616995</v>
      </c>
      <c r="GN70" s="21">
        <f>EXP(-LN(2)/2)*GN69+(1-EXP(-LN(2)/2))/(LN(2)/2)*GH70*GK70*VLOOKUP('Données projet'!$B$17,Paramètres!$A$1:$I$89,3,0)*0.475*44/12</f>
        <v>1.0387491895870782E-5</v>
      </c>
      <c r="GO70" s="21">
        <f t="shared" si="81"/>
        <v>101.65605148286019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6.8</v>
      </c>
      <c r="GU70" s="12">
        <f>IF('Données projet'!$A$270&gt;35,GU69+GT70-HC69,IF(A70&lt;'Données projet'!$A$270,$GR$205^A70,IF(A70='Données projet'!$A$270,'Données projet'!$B$270,GU69+GT70-HC69)))</f>
        <v>221.59999999999994</v>
      </c>
      <c r="GV70" s="17">
        <f>GU70*VLOOKUP('Données projet'!$B$18,Paramètres!$A$1:$I$89,3,0)*VLOOKUP('Données projet'!$B$18,Paramètres!$A$1:$I$89,5,0)</f>
        <v>224.70239999999995</v>
      </c>
      <c r="GW70" s="13">
        <f t="shared" si="105"/>
        <v>55.135667706678262</v>
      </c>
      <c r="GX70" s="20">
        <f t="shared" si="82"/>
        <v>487.38463458913128</v>
      </c>
      <c r="GY70" s="59">
        <f t="shared" si="83"/>
        <v>780.7179679224646</v>
      </c>
      <c r="GZ70" s="59">
        <f ca="1">AVERAGE(OFFSET($GY$3,0,0,'Données projet'!$E$18+1,1))-AVERAGE(OFFSET($H$3,0,0,'Données projet'!$E$18+1,1))</f>
        <v>308.80022073574963</v>
      </c>
      <c r="HA70" s="59">
        <f t="shared" si="106"/>
        <v>183.96267407004115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51.598658618185937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51.598658618185937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344.49457749226184</v>
      </c>
      <c r="T71" s="59">
        <f t="shared" si="88"/>
        <v>207.92972431357452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162</v>
      </c>
      <c r="AJ71" s="13">
        <f>AI71*VLOOKUP('Données projet'!$B$10,Paramètres!$A$1:$I$89,3,0)*VLOOKUP('Données projet'!$B$10,Paramètres!$A$1:$I$89,5,0)</f>
        <v>146.57759999999999</v>
      </c>
      <c r="AK71" s="13">
        <f t="shared" si="89"/>
        <v>37.799791292871248</v>
      </c>
      <c r="AL71" s="20">
        <f t="shared" si="58"/>
        <v>321.12395650175074</v>
      </c>
      <c r="AM71" s="59">
        <f t="shared" si="59"/>
        <v>614.45728983508411</v>
      </c>
      <c r="AN71" s="59">
        <f ca="1">AVERAGE(OFFSET($AM$3,0,0,'Données projet'!$E$10+1,1))-AVERAGE(OFFSET($H$3,0,0,'Données projet'!$E$10+1,1))</f>
        <v>183.0147113277086</v>
      </c>
      <c r="AO71" s="59">
        <f t="shared" si="90"/>
        <v>76.413905647258389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29.868946478295907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29.868946478295907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244.09007999999994</v>
      </c>
      <c r="BF71" s="13">
        <f t="shared" si="91"/>
        <v>59.318663780863893</v>
      </c>
      <c r="BG71" s="20">
        <f t="shared" si="61"/>
        <v>528.43689541833794</v>
      </c>
      <c r="BH71" s="59">
        <f t="shared" si="62"/>
        <v>821.77022875167131</v>
      </c>
      <c r="BI71" s="59">
        <f ca="1">AVERAGE(OFFSET($BH$3,0,0,'Données projet'!$E$11+1,1))-AVERAGE(OFFSET($H$3,0,0,'Données projet'!$E$11+1,1))</f>
        <v>279.49721661620544</v>
      </c>
      <c r="BJ71" s="59">
        <f t="shared" si="92"/>
        <v>275.18739333988754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48.198205352831572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48.198205352831572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225.2323446080772</v>
      </c>
      <c r="CE71" s="59">
        <f t="shared" si="94"/>
        <v>222.29030402759292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40.627580315529627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40.627580315529627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218.50920000000005</v>
      </c>
      <c r="CV71" s="13">
        <f t="shared" si="95"/>
        <v>53.790739595307251</v>
      </c>
      <c r="CW71" s="20">
        <f t="shared" si="67"/>
        <v>474.25572812849356</v>
      </c>
      <c r="CX71" s="59">
        <f t="shared" si="68"/>
        <v>767.58906146182687</v>
      </c>
      <c r="CY71" s="59">
        <f ca="1">AVERAGE(OFFSET($CX$3,0,0,'Données projet'!$E$13+1,1))-AVERAGE(OFFSET($H$3,0,0,'Données projet'!$E$13+1,1))</f>
        <v>240.57184010337932</v>
      </c>
      <c r="CZ71" s="59">
        <f t="shared" si="96"/>
        <v>236.36473521227072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34.396865994851396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34.396865994851396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16</v>
      </c>
      <c r="DO71" s="12">
        <f>IF('Données projet'!$A$166&gt;35,DO70+DN71-DW70,IF(A71&lt;'Données projet'!$A$166,$DL$205^A71,IF(A71='Données projet'!$A$166,'Données projet'!$B$166,DO70+DN71-DW70)))</f>
        <v>614.99999999999955</v>
      </c>
      <c r="DP71" s="17">
        <f>DO71*VLOOKUP('Données projet'!$B$14,Paramètres!$A$1:$I$89,3,0)*VLOOKUP('Données projet'!$B$14,Paramètres!$A$1:$I$89,5,0)</f>
        <v>287.81999999999982</v>
      </c>
      <c r="DQ71" s="13">
        <f t="shared" si="97"/>
        <v>68.61694100009646</v>
      </c>
      <c r="DR71" s="20">
        <f t="shared" si="70"/>
        <v>620.79433890850112</v>
      </c>
      <c r="DS71" s="59">
        <f t="shared" si="71"/>
        <v>914.12767224183449</v>
      </c>
      <c r="DT71" s="59">
        <f ca="1">AVERAGE(OFFSET($DS$3,0,0,'Données projet'!$E$14+1,1))-AVERAGE(OFFSET($H$3,0,0,'Données projet'!$E$14+1,1))</f>
        <v>304.29617570272939</v>
      </c>
      <c r="DU71" s="59">
        <f t="shared" si="98"/>
        <v>246.20695736161576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80.006168840125767</v>
      </c>
      <c r="EB71" s="21">
        <f>EXP(-LN(2)/25)*EB70+(1-EXP(-LN(2)/25))/(LN(2)/25)*Calculateur!DW71*Calculateur!DY71*VLOOKUP('Données projet'!$B$14,Paramètres!$A$1:$I$89,3,0)*0.475*44/12</f>
        <v>14.269916300925821</v>
      </c>
      <c r="EC71" s="21">
        <f>EXP(-LN(2)/2)*EC70+(1-EXP(-LN(2)/2))/(LN(2)/2)*DW71*DZ71*VLOOKUP('Données projet'!$B$14,Paramètres!$A$1:$I$89,3,0)*0.475*44/12</f>
        <v>7.5038781960438708E-6</v>
      </c>
      <c r="ED71" s="22">
        <f t="shared" si="72"/>
        <v>94.27609264492979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443.99999999999943</v>
      </c>
      <c r="EK71" s="17">
        <f>EJ71*VLOOKUP('Données projet'!$B$15,Paramètres!$A$1:$I$89,3,0)*VLOOKUP('Données projet'!$B$15,Paramètres!$A$1:$I$89,5,0)</f>
        <v>265.51199999999972</v>
      </c>
      <c r="EL71" s="13">
        <f t="shared" si="99"/>
        <v>63.895875238848802</v>
      </c>
      <c r="EM71" s="20">
        <f t="shared" si="73"/>
        <v>573.71871604099454</v>
      </c>
      <c r="EN71" s="59">
        <f t="shared" si="74"/>
        <v>867.05204937432791</v>
      </c>
      <c r="EO71" s="59">
        <f ca="1">AVERAGE(OFFSET($EN$3,0,0,'Données projet'!$E$15+1,1))-AVERAGE(OFFSET($H$3,0,0,'Données projet'!$E$15+1,1))</f>
        <v>288.41846134875794</v>
      </c>
      <c r="EP71" s="59">
        <f t="shared" si="100"/>
        <v>248.93951719818972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63.184306640605826</v>
      </c>
      <c r="EW71" s="21">
        <f>EXP(-LN(2)/25)*EW70+(1-EXP(-LN(2)/25))/(LN(2)/25)*Calculateur!ER71*Calculateur!ET71*VLOOKUP('Données projet'!$B$15,Paramètres!$A$1:$I$89,3,0)*0.475*44/12</f>
        <v>9.7405133352637154</v>
      </c>
      <c r="EX71" s="21">
        <f>EXP(-LN(2)/2)*EX70+(1-EXP(-LN(2)/2))/(LN(2)/2)*ER71*EU71*VLOOKUP('Données projet'!$B$15,Paramètres!$A$1:$I$89,3,0)*0.475*44/12</f>
        <v>9.2820662380332166E-7</v>
      </c>
      <c r="EY71" s="22">
        <f t="shared" si="75"/>
        <v>72.924820904076157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12.2</v>
      </c>
      <c r="FE71" s="12">
        <f>IF('Données projet'!$A$218&gt;35,FE70+FD71-FM70,IF(A71&lt;'Données projet'!$A$218,$FB$205^A71,IF(A71='Données projet'!$A$218,'Données projet'!$B$218,FE70+FD71-FM70)))</f>
        <v>750.60000000000059</v>
      </c>
      <c r="FF71" s="17">
        <f>FE71*VLOOKUP('Données projet'!$B$16,Paramètres!$A$1:$I$89,3,0)*VLOOKUP('Données projet'!$B$16,Paramètres!$A$1:$I$89,5,0)</f>
        <v>341.52300000000031</v>
      </c>
      <c r="FG71" s="13">
        <f t="shared" si="101"/>
        <v>79.814525968065453</v>
      </c>
      <c r="FH71" s="20">
        <f t="shared" si="76"/>
        <v>733.82952439438111</v>
      </c>
      <c r="FI71" s="59">
        <f t="shared" si="77"/>
        <v>1027.1628577277145</v>
      </c>
      <c r="FJ71" s="59">
        <f ca="1">AVERAGE(OFFSET($FI$3,0,0,'Données projet'!$E$16+1,1))-AVERAGE(OFFSET($H$3,0,0,'Données projet'!$E$16+1,1))</f>
        <v>367.36535411813264</v>
      </c>
      <c r="FK71" s="59">
        <f t="shared" si="102"/>
        <v>293.19545174980556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82.897212432516014</v>
      </c>
      <c r="FR71" s="21">
        <f>EXP(-LN(2)/25)*FR70+(1-EXP(-LN(2)/25))/(LN(2)/25)*Calculateur!FM71*Calculateur!FO71*VLOOKUP('Données projet'!$B$16,Paramètres!$A$1:$I$89,3,0)*0.475*44/12</f>
        <v>15.097011409325804</v>
      </c>
      <c r="FS71" s="21">
        <f>EXP(-LN(2)/2)*FS70+(1-EXP(-LN(2)/2))/(LN(2)/2)*FM71*FP71*VLOOKUP('Données projet'!$B$16,Paramètres!$A$1:$I$89,3,0)*0.475*44/12</f>
        <v>1.3817820722970003E-6</v>
      </c>
      <c r="FT71" s="22">
        <f t="shared" si="78"/>
        <v>97.994225223623886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16.399999999999999</v>
      </c>
      <c r="FZ71" s="12">
        <f>IF('Données projet'!$A$244&gt;35,FZ70+FY71-GH70,IF(A71&lt;'Données projet'!$A$244,$FW$205^A71,IF(A71='Données projet'!$A$244,'Données projet'!$B$244,FZ70+FY71-GH70)))</f>
        <v>616.20000000000005</v>
      </c>
      <c r="GA71" s="17">
        <f>FZ71*VLOOKUP('Données projet'!$B$17,Paramètres!$A$1:$I$89,3,0)*VLOOKUP('Données projet'!$B$17,Paramètres!$A$1:$I$89,5,0)</f>
        <v>296.39220000000006</v>
      </c>
      <c r="GB71" s="13">
        <f t="shared" si="103"/>
        <v>70.419598266536553</v>
      </c>
      <c r="GC71" s="20">
        <f t="shared" si="79"/>
        <v>638.86388198088457</v>
      </c>
      <c r="GD71" s="59">
        <f t="shared" si="80"/>
        <v>932.19721531421783</v>
      </c>
      <c r="GE71" s="59">
        <f ca="1">AVERAGE(OFFSET($GD$3,0,0,'Données projet'!$E$17+1,1))-AVERAGE(OFFSET($H$3,0,0,'Données projet'!$E$17+1,1))</f>
        <v>312.64506496298173</v>
      </c>
      <c r="GF71" s="59">
        <f t="shared" si="104"/>
        <v>259.97532509897508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92.782674037651063</v>
      </c>
      <c r="GM71" s="21">
        <f>EXP(-LN(2)/25)*GM70+(1-EXP(-LN(2)/25))/(LN(2)/25)*Calculateur!GH71*Calculateur!GJ71*VLOOKUP('Données projet'!$B$17,Paramètres!$A$1:$I$89,3,0)*0.475*44/12</f>
        <v>6.8256685870924247</v>
      </c>
      <c r="GN71" s="21">
        <f>EXP(-LN(2)/2)*GN70+(1-EXP(-LN(2)/2))/(LN(2)/2)*GH71*GK71*VLOOKUP('Données projet'!$B$17,Paramètres!$A$1:$I$89,3,0)*0.475*44/12</f>
        <v>7.3450659590905369E-6</v>
      </c>
      <c r="GO71" s="21">
        <f t="shared" si="81"/>
        <v>99.608349969809439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6.8</v>
      </c>
      <c r="GU71" s="12">
        <f>IF('Données projet'!$A$270&gt;35,GU70+GT71-HC70,IF(A71&lt;'Données projet'!$A$270,$GR$205^A71,IF(A71='Données projet'!$A$270,'Données projet'!$B$270,GU70+GT71-HC70)))</f>
        <v>228.39999999999995</v>
      </c>
      <c r="GV71" s="17">
        <f>GU71*VLOOKUP('Données projet'!$B$18,Paramètres!$A$1:$I$89,3,0)*VLOOKUP('Données projet'!$B$18,Paramètres!$A$1:$I$89,5,0)</f>
        <v>231.59759999999997</v>
      </c>
      <c r="GW71" s="13">
        <f t="shared" si="105"/>
        <v>56.627980714948151</v>
      </c>
      <c r="GX71" s="20">
        <f t="shared" si="82"/>
        <v>501.99288641186791</v>
      </c>
      <c r="GY71" s="59">
        <f t="shared" si="83"/>
        <v>795.32621974520123</v>
      </c>
      <c r="GZ71" s="59">
        <f ca="1">AVERAGE(OFFSET($GY$3,0,0,'Données projet'!$E$18+1,1))-AVERAGE(OFFSET($H$3,0,0,'Données projet'!$E$18+1,1))</f>
        <v>308.80022073574963</v>
      </c>
      <c r="HA71" s="59">
        <f t="shared" si="106"/>
        <v>183.96267407004115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50.586840394757459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50.586840394757459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344.49457749226184</v>
      </c>
      <c r="T72" s="59">
        <f t="shared" si="88"/>
        <v>207.92972431357452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167</v>
      </c>
      <c r="AJ72" s="13">
        <f>AI72*VLOOKUP('Données projet'!$B$10,Paramètres!$A$1:$I$89,3,0)*VLOOKUP('Données projet'!$B$10,Paramètres!$A$1:$I$89,5,0)</f>
        <v>151.10159999999999</v>
      </c>
      <c r="AK72" s="13">
        <f t="shared" si="89"/>
        <v>38.82882146347977</v>
      </c>
      <c r="AL72" s="20">
        <f t="shared" si="58"/>
        <v>330.79548404889391</v>
      </c>
      <c r="AM72" s="59">
        <f t="shared" si="59"/>
        <v>624.12881738222723</v>
      </c>
      <c r="AN72" s="59">
        <f ca="1">AVERAGE(OFFSET($AM$3,0,0,'Données projet'!$E$10+1,1))-AVERAGE(OFFSET($H$3,0,0,'Données projet'!$E$10+1,1))</f>
        <v>183.0147113277086</v>
      </c>
      <c r="AO72" s="59">
        <f t="shared" si="90"/>
        <v>76.413905647258389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29.283234656114974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29.283234656114974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247.74983999999995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279.49721661620544</v>
      </c>
      <c r="BJ72" s="59">
        <f t="shared" si="92"/>
        <v>275.18739333988754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47.253067943864998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47.253067943864998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225.2323446080772</v>
      </c>
      <c r="CE72" s="59">
        <f t="shared" si="94"/>
        <v>222.29030402759292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39.830898245919222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39.830898245919222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221.73840000000004</v>
      </c>
      <c r="CV72" s="13">
        <f t="shared" si="95"/>
        <v>54.492545120441797</v>
      </c>
      <c r="CW72" s="20">
        <f t="shared" si="67"/>
        <v>481.10222941810292</v>
      </c>
      <c r="CX72" s="59">
        <f t="shared" si="68"/>
        <v>774.43556275143624</v>
      </c>
      <c r="CY72" s="59">
        <f ca="1">AVERAGE(OFFSET($CX$3,0,0,'Données projet'!$E$13+1,1))-AVERAGE(OFFSET($H$3,0,0,'Données projet'!$E$13+1,1))</f>
        <v>240.57184010337932</v>
      </c>
      <c r="CZ72" s="59">
        <f t="shared" si="96"/>
        <v>236.36473521227072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33.722364432709014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33.722364432709014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16</v>
      </c>
      <c r="DO72" s="12">
        <f>IF('Données projet'!$A$166&gt;35,DO71+DN72-DW71,IF(A72&lt;'Données projet'!$A$166,$DL$205^A72,IF(A72='Données projet'!$A$166,'Données projet'!$B$166,DO71+DN72-DW71)))</f>
        <v>630.99999999999955</v>
      </c>
      <c r="DP72" s="17">
        <f>DO72*VLOOKUP('Données projet'!$B$14,Paramètres!$A$1:$I$89,3,0)*VLOOKUP('Données projet'!$B$14,Paramètres!$A$1:$I$89,5,0)</f>
        <v>295.30799999999977</v>
      </c>
      <c r="DQ72" s="13">
        <f t="shared" si="97"/>
        <v>70.191939458146777</v>
      </c>
      <c r="DR72" s="20">
        <f t="shared" si="70"/>
        <v>636.57906122293855</v>
      </c>
      <c r="DS72" s="59">
        <f t="shared" si="71"/>
        <v>929.91239455627192</v>
      </c>
      <c r="DT72" s="59">
        <f ca="1">AVERAGE(OFFSET($DS$3,0,0,'Données projet'!$E$14+1,1))-AVERAGE(OFFSET($H$3,0,0,'Données projet'!$E$14+1,1))</f>
        <v>304.29617570272939</v>
      </c>
      <c r="DU72" s="59">
        <f t="shared" si="98"/>
        <v>246.20695736161576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78.437296668115394</v>
      </c>
      <c r="EB72" s="21">
        <f>EXP(-LN(2)/25)*EB71+(1-EXP(-LN(2)/25))/(LN(2)/25)*Calculateur!DW72*Calculateur!DY72*VLOOKUP('Données projet'!$B$14,Paramètres!$A$1:$I$89,3,0)*0.475*44/12</f>
        <v>13.879704689254721</v>
      </c>
      <c r="EC72" s="21">
        <f>EXP(-LN(2)/2)*EC71+(1-EXP(-LN(2)/2))/(LN(2)/2)*DW72*DZ72*VLOOKUP('Données projet'!$B$14,Paramètres!$A$1:$I$89,3,0)*0.475*44/12</f>
        <v>5.3060431576204985E-6</v>
      </c>
      <c r="ED72" s="22">
        <f t="shared" si="72"/>
        <v>92.317006663413281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453.99999999999943</v>
      </c>
      <c r="EK72" s="17">
        <f>EJ72*VLOOKUP('Données projet'!$B$15,Paramètres!$A$1:$I$89,3,0)*VLOOKUP('Données projet'!$B$15,Paramètres!$A$1:$I$89,5,0)</f>
        <v>271.49199999999968</v>
      </c>
      <c r="EL72" s="13">
        <f t="shared" si="99"/>
        <v>65.165807717935252</v>
      </c>
      <c r="EM72" s="20">
        <f t="shared" si="73"/>
        <v>586.34568177540336</v>
      </c>
      <c r="EN72" s="59">
        <f t="shared" si="74"/>
        <v>879.67901510873662</v>
      </c>
      <c r="EO72" s="59">
        <f ca="1">AVERAGE(OFFSET($EN$3,0,0,'Données projet'!$E$15+1,1))-AVERAGE(OFFSET($H$3,0,0,'Données projet'!$E$15+1,1))</f>
        <v>288.41846134875794</v>
      </c>
      <c r="EP72" s="59">
        <f t="shared" si="100"/>
        <v>248.93951719818972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61.945300926005224</v>
      </c>
      <c r="EW72" s="21">
        <f>EXP(-LN(2)/25)*EW71+(1-EXP(-LN(2)/25))/(LN(2)/25)*Calculateur!ER72*Calculateur!ET72*VLOOKUP('Données projet'!$B$15,Paramètres!$A$1:$I$89,3,0)*0.475*44/12</f>
        <v>9.4741584858795953</v>
      </c>
      <c r="EX72" s="21">
        <f>EXP(-LN(2)/2)*EX71+(1-EXP(-LN(2)/2))/(LN(2)/2)*ER72*EU72*VLOOKUP('Données projet'!$B$15,Paramètres!$A$1:$I$89,3,0)*0.475*44/12</f>
        <v>6.5634119803359949E-7</v>
      </c>
      <c r="EY72" s="22">
        <f t="shared" si="75"/>
        <v>71.419460068226016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12.2</v>
      </c>
      <c r="FE72" s="12">
        <f>IF('Données projet'!$A$218&gt;35,FE71+FD72-FM71,IF(A72&lt;'Données projet'!$A$218,$FB$205^A72,IF(A72='Données projet'!$A$218,'Données projet'!$B$218,FE71+FD72-FM71)))</f>
        <v>762.80000000000064</v>
      </c>
      <c r="FF72" s="17">
        <f>FE72*VLOOKUP('Données projet'!$B$16,Paramètres!$A$1:$I$89,3,0)*VLOOKUP('Données projet'!$B$16,Paramètres!$A$1:$I$89,5,0)</f>
        <v>347.07400000000024</v>
      </c>
      <c r="FG72" s="13">
        <f t="shared" si="101"/>
        <v>80.959723389445102</v>
      </c>
      <c r="FH72" s="20">
        <f t="shared" si="76"/>
        <v>745.49206823661734</v>
      </c>
      <c r="FI72" s="59">
        <f t="shared" si="77"/>
        <v>1038.8254015699506</v>
      </c>
      <c r="FJ72" s="59">
        <f ca="1">AVERAGE(OFFSET($FI$3,0,0,'Données projet'!$E$16+1,1))-AVERAGE(OFFSET($H$3,0,0,'Données projet'!$E$16+1,1))</f>
        <v>367.36535411813264</v>
      </c>
      <c r="FK72" s="59">
        <f t="shared" si="102"/>
        <v>293.19545174980556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81.271648659021352</v>
      </c>
      <c r="FR72" s="21">
        <f>EXP(-LN(2)/25)*FR71+(1-EXP(-LN(2)/25))/(LN(2)/25)*Calculateur!FM72*Calculateur!FO72*VLOOKUP('Données projet'!$B$16,Paramètres!$A$1:$I$89,3,0)*0.475*44/12</f>
        <v>14.684182838420464</v>
      </c>
      <c r="FS72" s="21">
        <f>EXP(-LN(2)/2)*FS71+(1-EXP(-LN(2)/2))/(LN(2)/2)*FM72*FP72*VLOOKUP('Données projet'!$B$16,Paramètres!$A$1:$I$89,3,0)*0.475*44/12</f>
        <v>9.7706747344320913E-7</v>
      </c>
      <c r="FT72" s="22">
        <f t="shared" si="78"/>
        <v>95.955832474509293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16.399999999999999</v>
      </c>
      <c r="FZ72" s="12">
        <f>IF('Données projet'!$A$244&gt;35,FZ71+FY72-GH71,IF(A72&lt;'Données projet'!$A$244,$FW$205^A72,IF(A72='Données projet'!$A$244,'Données projet'!$B$244,FZ71+FY72-GH71)))</f>
        <v>632.6</v>
      </c>
      <c r="GA72" s="17">
        <f>FZ72*VLOOKUP('Données projet'!$B$17,Paramètres!$A$1:$I$89,3,0)*VLOOKUP('Données projet'!$B$17,Paramètres!$A$1:$I$89,5,0)</f>
        <v>304.28060000000005</v>
      </c>
      <c r="GB72" s="13">
        <f t="shared" si="103"/>
        <v>72.073100367212803</v>
      </c>
      <c r="GC72" s="20">
        <f t="shared" si="79"/>
        <v>655.48269480622912</v>
      </c>
      <c r="GD72" s="59">
        <f t="shared" si="80"/>
        <v>948.81602813956238</v>
      </c>
      <c r="GE72" s="59">
        <f ca="1">AVERAGE(OFFSET($GD$3,0,0,'Données projet'!$E$17+1,1))-AVERAGE(OFFSET($H$3,0,0,'Données projet'!$E$17+1,1))</f>
        <v>312.64506496298173</v>
      </c>
      <c r="GF72" s="59">
        <f t="shared" si="104"/>
        <v>259.97532509897508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90.963262391615913</v>
      </c>
      <c r="GM72" s="21">
        <f>EXP(-LN(2)/25)*GM71+(1-EXP(-LN(2)/25))/(LN(2)/25)*Calculateur!GH72*Calculateur!GJ72*VLOOKUP('Données projet'!$B$17,Paramètres!$A$1:$I$89,3,0)*0.475*44/12</f>
        <v>6.6390203206320715</v>
      </c>
      <c r="GN72" s="21">
        <f>EXP(-LN(2)/2)*GN71+(1-EXP(-LN(2)/2))/(LN(2)/2)*GH72*GK72*VLOOKUP('Données projet'!$B$17,Paramètres!$A$1:$I$89,3,0)*0.475*44/12</f>
        <v>5.193745947935391E-6</v>
      </c>
      <c r="GO72" s="21">
        <f t="shared" si="81"/>
        <v>97.602287905993933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6.8</v>
      </c>
      <c r="GU72" s="12">
        <f>IF('Données projet'!$A$270&gt;35,GU71+GT72-HC71,IF(A72&lt;'Données projet'!$A$270,$GR$205^A72,IF(A72='Données projet'!$A$270,'Données projet'!$B$270,GU71+GT72-HC71)))</f>
        <v>235.19999999999996</v>
      </c>
      <c r="GV72" s="17">
        <f>GU72*VLOOKUP('Données projet'!$B$18,Paramètres!$A$1:$I$89,3,0)*VLOOKUP('Données projet'!$B$18,Paramètres!$A$1:$I$89,5,0)</f>
        <v>238.49279999999996</v>
      </c>
      <c r="GW72" s="13">
        <f t="shared" si="105"/>
        <v>58.115130258576542</v>
      </c>
      <c r="GX72" s="20">
        <f t="shared" si="82"/>
        <v>516.59214520035414</v>
      </c>
      <c r="GY72" s="59">
        <f t="shared" si="83"/>
        <v>809.92547853368751</v>
      </c>
      <c r="GZ72" s="59">
        <f ca="1">AVERAGE(OFFSET($GY$3,0,0,'Données projet'!$E$18+1,1))-AVERAGE(OFFSET($H$3,0,0,'Données projet'!$E$18+1,1))</f>
        <v>308.80022073574963</v>
      </c>
      <c r="HA72" s="59">
        <f t="shared" si="106"/>
        <v>183.96267407004115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49.594863309542234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49.594863309542234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344.49457749226184</v>
      </c>
      <c r="T73" s="59">
        <f t="shared" si="88"/>
        <v>207.92972431357452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172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172</v>
      </c>
      <c r="AJ73" s="13">
        <f>AI73*VLOOKUP('Données projet'!$B$10,Paramètres!$A$1:$I$89,3,0)*VLOOKUP('Données projet'!$B$10,Paramètres!$A$1:$I$89,5,0)</f>
        <v>155.62559999999999</v>
      </c>
      <c r="AK73" s="13">
        <f t="shared" si="89"/>
        <v>39.854271109683118</v>
      </c>
      <c r="AL73" s="20">
        <f t="shared" si="58"/>
        <v>340.46077551603139</v>
      </c>
      <c r="AM73" s="59">
        <f t="shared" si="59"/>
        <v>633.79410884936465</v>
      </c>
      <c r="AN73" s="59">
        <f ca="1">AVERAGE(OFFSET($AM$3,0,0,'Données projet'!$E$10+1,1))-AVERAGE(OFFSET($H$3,0,0,'Données projet'!$E$10+1,1))</f>
        <v>183.0147113277086</v>
      </c>
      <c r="AO73" s="59">
        <f t="shared" si="90"/>
        <v>76.413905647258389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34.730390473914575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34.730390473914575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251.40959999999995</v>
      </c>
      <c r="BF73" s="13">
        <f t="shared" si="91"/>
        <v>60.887686632376123</v>
      </c>
      <c r="BG73" s="20">
        <f t="shared" si="61"/>
        <v>543.917774218055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279.49721661620544</v>
      </c>
      <c r="BJ73" s="59">
        <f t="shared" si="92"/>
        <v>275.18739333988754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52.386303394971065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52.386303394971065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225.2323446080772</v>
      </c>
      <c r="CE73" s="59">
        <f t="shared" si="94"/>
        <v>222.29030402759292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43.711253465734799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43.711253465734799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224.96760000000003</v>
      </c>
      <c r="CV73" s="13">
        <f t="shared" si="95"/>
        <v>55.193161946335238</v>
      </c>
      <c r="CW73" s="20">
        <f t="shared" si="67"/>
        <v>487.94666038986719</v>
      </c>
      <c r="CX73" s="59">
        <f t="shared" si="68"/>
        <v>781.2799937232005</v>
      </c>
      <c r="CY73" s="59">
        <f ca="1">AVERAGE(OFFSET($CX$3,0,0,'Données projet'!$E$13+1,1))-AVERAGE(OFFSET($H$3,0,0,'Données projet'!$E$13+1,1))</f>
        <v>240.57184010337932</v>
      </c>
      <c r="CZ73" s="59">
        <f t="shared" si="96"/>
        <v>236.36473521227072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37.154442843655595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37.154442843655595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647</v>
      </c>
      <c r="DM73" s="12">
        <f>VLOOKUP(A73,'Données projet'!$A$165:$I$185,9,0)</f>
        <v>16</v>
      </c>
      <c r="DN73" s="12">
        <f t="array" ref="DN73">INDEX(DM:DM,MIN(IF(ISNUMBER(DM73:DM269),ROW(DM73:DM269),"")))</f>
        <v>16</v>
      </c>
      <c r="DO73" s="12">
        <f>IF('Données projet'!$A$166&gt;35,DO72+DN73-DW72,IF(A73&lt;'Données projet'!$A$166,$DL$205^A73,IF(A73='Données projet'!$A$166,'Données projet'!$B$166,DO72+DN73-DW72)))</f>
        <v>646.99999999999955</v>
      </c>
      <c r="DP73" s="17">
        <f>DO73*VLOOKUP('Données projet'!$B$14,Paramètres!$A$1:$I$89,3,0)*VLOOKUP('Données projet'!$B$14,Paramètres!$A$1:$I$89,5,0)</f>
        <v>302.79599999999976</v>
      </c>
      <c r="DQ73" s="13">
        <f t="shared" si="97"/>
        <v>71.762295627254147</v>
      </c>
      <c r="DR73" s="20">
        <f t="shared" si="70"/>
        <v>652.35569821746719</v>
      </c>
      <c r="DS73" s="59">
        <f t="shared" si="71"/>
        <v>945.68903155080056</v>
      </c>
      <c r="DT73" s="59">
        <f ca="1">AVERAGE(OFFSET($DS$3,0,0,'Données projet'!$E$14+1,1))-AVERAGE(OFFSET($H$3,0,0,'Données projet'!$E$14+1,1))</f>
        <v>304.29617570272939</v>
      </c>
      <c r="DU73" s="59">
        <f t="shared" si="98"/>
        <v>246.20695736161576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41</v>
      </c>
      <c r="DX73" s="16">
        <f>IF(ISNA(VLOOKUP(A73,'Données projet'!$A$165:$I$185,5,0)),0%,VLOOKUP(A73,'Données projet'!$A$165:$I$185,5,0)*VLOOKUP('Données projet'!$B$14,Paramètres!$A$1:$I$89,7,0))</f>
        <v>0.55000000000000004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90.898954446516257</v>
      </c>
      <c r="EB73" s="21">
        <f>EXP(-LN(2)/25)*EB72+(1-EXP(-LN(2)/25))/(LN(2)/25)*Calculateur!DW73*Calculateur!DY73*VLOOKUP('Données projet'!$B$14,Paramètres!$A$1:$I$89,3,0)*0.475*44/12</f>
        <v>13.500163434625104</v>
      </c>
      <c r="EC73" s="21">
        <f>EXP(-LN(2)/2)*EC72+(1-EXP(-LN(2)/2))/(LN(2)/2)*DW73*DZ73*VLOOKUP('Données projet'!$B$14,Paramètres!$A$1:$I$89,3,0)*0.475*44/12</f>
        <v>3.7519390980219358E-6</v>
      </c>
      <c r="ED73" s="22">
        <f t="shared" si="72"/>
        <v>104.39912163308047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464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463.99999999999943</v>
      </c>
      <c r="EK73" s="17">
        <f>EJ73*VLOOKUP('Données projet'!$B$15,Paramètres!$A$1:$I$89,3,0)*VLOOKUP('Données projet'!$B$15,Paramètres!$A$1:$I$89,5,0)</f>
        <v>277.4719999999997</v>
      </c>
      <c r="EL73" s="13">
        <f t="shared" si="99"/>
        <v>66.432488139207578</v>
      </c>
      <c r="EM73" s="20">
        <f t="shared" si="73"/>
        <v>598.96698350911936</v>
      </c>
      <c r="EN73" s="59">
        <f t="shared" si="74"/>
        <v>892.30031684245273</v>
      </c>
      <c r="EO73" s="59">
        <f ca="1">AVERAGE(OFFSET($EN$3,0,0,'Données projet'!$E$15+1,1))-AVERAGE(OFFSET($H$3,0,0,'Données projet'!$E$15+1,1))</f>
        <v>288.41846134875794</v>
      </c>
      <c r="EP73" s="59">
        <f t="shared" si="100"/>
        <v>248.93951719818972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24</v>
      </c>
      <c r="ES73" s="16">
        <f>IF(ISNA(VLOOKUP(A73,'Données projet'!$A$191:$I$211,5,0)),0%,VLOOKUP(A73,'Données projet'!$A$191:$I$211,5,0)*VLOOKUP('Données projet'!$B$15,Paramètres!$A$1:$I$89,7,0))</f>
        <v>0.45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69.2980752367598</v>
      </c>
      <c r="EW73" s="21">
        <f>EXP(-LN(2)/25)*EW72+(1-EXP(-LN(2)/25))/(LN(2)/25)*Calculateur!ER73*Calculateur!ET73*VLOOKUP('Données projet'!$B$15,Paramètres!$A$1:$I$89,3,0)*0.475*44/12</f>
        <v>9.2150871238588756</v>
      </c>
      <c r="EX73" s="21">
        <f>EXP(-LN(2)/2)*EX72+(1-EXP(-LN(2)/2))/(LN(2)/2)*ER73*EU73*VLOOKUP('Données projet'!$B$15,Paramètres!$A$1:$I$89,3,0)*0.475*44/12</f>
        <v>4.6410331190166093E-7</v>
      </c>
      <c r="EY73" s="22">
        <f t="shared" si="75"/>
        <v>78.513162824721988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775</v>
      </c>
      <c r="FC73" s="12">
        <f>VLOOKUP(A73,'Données projet'!$A$217:$I$237,9,0)</f>
        <v>12.2</v>
      </c>
      <c r="FD73" s="12">
        <f t="array" ref="FD73">INDEX(FC:FC,MIN(IF(ISNUMBER(FC73:FC269),ROW(FC73:FC269),"")))</f>
        <v>12.2</v>
      </c>
      <c r="FE73" s="12">
        <f>IF('Données projet'!$A$218&gt;35,FE72+FD73-FM72,IF(A73&lt;'Données projet'!$A$218,$FB$205^A73,IF(A73='Données projet'!$A$218,'Données projet'!$B$218,FE72+FD73-FM72)))</f>
        <v>775.00000000000068</v>
      </c>
      <c r="FF73" s="17">
        <f>FE73*VLOOKUP('Données projet'!$B$16,Paramètres!$A$1:$I$89,3,0)*VLOOKUP('Données projet'!$B$16,Paramètres!$A$1:$I$89,5,0)</f>
        <v>352.62500000000028</v>
      </c>
      <c r="FG73" s="13">
        <f t="shared" si="101"/>
        <v>82.102790721228843</v>
      </c>
      <c r="FH73" s="20">
        <f t="shared" si="76"/>
        <v>757.15090217280738</v>
      </c>
      <c r="FI73" s="59">
        <f t="shared" si="77"/>
        <v>1050.4842355061407</v>
      </c>
      <c r="FJ73" s="59">
        <f ca="1">AVERAGE(OFFSET($FI$3,0,0,'Données projet'!$E$16+1,1))-AVERAGE(OFFSET($H$3,0,0,'Données projet'!$E$16+1,1))</f>
        <v>367.36535411813264</v>
      </c>
      <c r="FK73" s="59">
        <f t="shared" si="102"/>
        <v>293.19545174980556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29</v>
      </c>
      <c r="FN73" s="16">
        <f>IF(ISNA(VLOOKUP(A73,'Données projet'!$A$217:$I$237,5,0)),0%,VLOOKUP(A73,'Données projet'!$A$217:$I$237,5,0)*VLOOKUP('Données projet'!$B$16,Paramètres!$A$1:$I$89,7,0))</f>
        <v>0.55000000000000004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89.305171093867514</v>
      </c>
      <c r="FR73" s="21">
        <f>EXP(-LN(2)/25)*FR72+(1-EXP(-LN(2)/25))/(LN(2)/25)*Calculateur!FM73*Calculateur!FO73*VLOOKUP('Données projet'!$B$16,Paramètres!$A$1:$I$89,3,0)*0.475*44/12</f>
        <v>14.282643086496241</v>
      </c>
      <c r="FS73" s="21">
        <f>EXP(-LN(2)/2)*FS72+(1-EXP(-LN(2)/2))/(LN(2)/2)*FM73*FP73*VLOOKUP('Données projet'!$B$16,Paramètres!$A$1:$I$89,3,0)*0.475*44/12</f>
        <v>6.9089103614850014E-7</v>
      </c>
      <c r="FT73" s="22">
        <f t="shared" si="78"/>
        <v>103.58781487125479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649</v>
      </c>
      <c r="FX73" s="12">
        <f>VLOOKUP(A73,'Données projet'!$A$243:$I$263,9,0)</f>
        <v>16.399999999999999</v>
      </c>
      <c r="FY73" s="12">
        <f t="array" ref="FY73">INDEX(FX:FX,MIN(IF(ISNUMBER(FX73:FX269),ROW(FX73:FX269),"")))</f>
        <v>16.399999999999999</v>
      </c>
      <c r="FZ73" s="12">
        <f>IF('Données projet'!$A$244&gt;35,FZ72+FY73-GH72,IF(A73&lt;'Données projet'!$A$244,$FW$205^A73,IF(A73='Données projet'!$A$244,'Données projet'!$B$244,FZ72+FY73-GH72)))</f>
        <v>649</v>
      </c>
      <c r="GA73" s="17">
        <f>FZ73*VLOOKUP('Données projet'!$B$17,Paramètres!$A$1:$I$89,3,0)*VLOOKUP('Données projet'!$B$17,Paramètres!$A$1:$I$89,5,0)</f>
        <v>312.16899999999998</v>
      </c>
      <c r="GB73" s="13">
        <f t="shared" si="103"/>
        <v>73.721619722489621</v>
      </c>
      <c r="GC73" s="20">
        <f t="shared" si="79"/>
        <v>672.09282935000272</v>
      </c>
      <c r="GD73" s="59">
        <f t="shared" si="80"/>
        <v>965.42616268333609</v>
      </c>
      <c r="GE73" s="59">
        <f ca="1">AVERAGE(OFFSET($GD$3,0,0,'Données projet'!$E$17+1,1))-AVERAGE(OFFSET($H$3,0,0,'Données projet'!$E$17+1,1))</f>
        <v>312.64506496298173</v>
      </c>
      <c r="GF73" s="59">
        <f t="shared" si="104"/>
        <v>259.97532509897508</v>
      </c>
      <c r="GG73" s="15">
        <f>IF(ISNA(VLOOKUP(A73,'Données projet'!$A$243:$I$263,3,0)),0,VLOOKUP(A73,'Données projet'!$A$243:$I$263,3,0))</f>
        <v>10</v>
      </c>
      <c r="GH73" s="15">
        <f>IF(ISNA(VLOOKUP(A73,'Données projet'!$A$243:$I$263,4,0)),0,VLOOKUP(A73,'Données projet'!$A$243:$I$263,4,0))</f>
        <v>43</v>
      </c>
      <c r="GI73" s="16">
        <f>IF(ISNA(VLOOKUP(A73,'Données projet'!$A$243:$I$263,5,0)),0%,VLOOKUP(A73,'Données projet'!$A$243:$I$263,5,0)*VLOOKUP('Données projet'!$B$17,Paramètres!$A$1:$I$89,7,0))</f>
        <v>0.55000000000000004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104.27006124574878</v>
      </c>
      <c r="GM73" s="21">
        <f>EXP(-LN(2)/25)*GM72+(1-EXP(-LN(2)/25))/(LN(2)/25)*Calculateur!GH73*Calculateur!GJ73*VLOOKUP('Données projet'!$B$17,Paramètres!$A$1:$I$89,3,0)*0.475*44/12</f>
        <v>6.4574759608334826</v>
      </c>
      <c r="GN73" s="21">
        <f>EXP(-LN(2)/2)*GN72+(1-EXP(-LN(2)/2))/(LN(2)/2)*GH73*GK73*VLOOKUP('Données projet'!$B$17,Paramètres!$A$1:$I$89,3,0)*0.475*44/12</f>
        <v>3.6725329795452684E-6</v>
      </c>
      <c r="GO73" s="21">
        <f t="shared" si="81"/>
        <v>110.72754087911524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242</v>
      </c>
      <c r="GS73" s="12">
        <f>VLOOKUP(A73,'Données projet'!$A$269:$I$289,9,0)</f>
        <v>6.8</v>
      </c>
      <c r="GT73" s="12">
        <f t="array" ref="GT73">INDEX(GS:GS,MIN(IF(ISNUMBER(GS73:GS269),ROW(GS73:GS269),"")))</f>
        <v>6.8</v>
      </c>
      <c r="GU73" s="12">
        <f>IF('Données projet'!$A$270&gt;35,GU72+GT73-HC72,IF(A73&lt;'Données projet'!$A$270,$GR$205^A73,IF(A73='Données projet'!$A$270,'Données projet'!$B$270,GU72+GT73-HC72)))</f>
        <v>241.99999999999997</v>
      </c>
      <c r="GV73" s="17">
        <f>GU73*VLOOKUP('Données projet'!$B$18,Paramètres!$A$1:$I$89,3,0)*VLOOKUP('Données projet'!$B$18,Paramètres!$A$1:$I$89,5,0)</f>
        <v>245.38799999999998</v>
      </c>
      <c r="GW73" s="13">
        <f t="shared" si="105"/>
        <v>59.597282764919569</v>
      </c>
      <c r="GX73" s="20">
        <f t="shared" si="82"/>
        <v>531.18270081556818</v>
      </c>
      <c r="GY73" s="59">
        <f t="shared" si="83"/>
        <v>824.51603414890155</v>
      </c>
      <c r="GZ73" s="59">
        <f ca="1">AVERAGE(OFFSET($GY$3,0,0,'Données projet'!$E$18+1,1))-AVERAGE(OFFSET($H$3,0,0,'Données projet'!$E$18+1,1))</f>
        <v>308.80022073574963</v>
      </c>
      <c r="HA73" s="59">
        <f t="shared" si="106"/>
        <v>183.96267407004115</v>
      </c>
      <c r="HB73" s="15">
        <f>IF(ISNA(VLOOKUP(A73,'Données projet'!$A$269:$I$289,3,0)),0,VLOOKUP(A73,'Données projet'!$A$269:$I$289,3,0))</f>
        <v>10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0.43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58.744489382484893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58.744489382484893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344.49457749226184</v>
      </c>
      <c r="T74" s="59">
        <f t="shared" si="88"/>
        <v>207.92972431357452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163</v>
      </c>
      <c r="AJ74" s="13">
        <f>AI74*VLOOKUP('Données projet'!$B$10,Paramètres!$A$1:$I$89,3,0)*VLOOKUP('Données projet'!$B$10,Paramètres!$A$1:$I$89,5,0)</f>
        <v>147.48239999999998</v>
      </c>
      <c r="AK74" s="13">
        <f t="shared" si="89"/>
        <v>38.005889588171215</v>
      </c>
      <c r="AL74" s="20">
        <f t="shared" si="58"/>
        <v>323.0587710327315</v>
      </c>
      <c r="AM74" s="59">
        <f t="shared" si="59"/>
        <v>616.39210436606481</v>
      </c>
      <c r="AN74" s="59">
        <f ca="1">AVERAGE(OFFSET($AM$3,0,0,'Données projet'!$E$10+1,1))-AVERAGE(OFFSET($H$3,0,0,'Données projet'!$E$10+1,1))</f>
        <v>183.0147113277086</v>
      </c>
      <c r="AO74" s="59">
        <f t="shared" si="90"/>
        <v>76.413905647258389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34.049348700167606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34.049348700167606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244.40831999999995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279.49721661620544</v>
      </c>
      <c r="BJ74" s="59">
        <f t="shared" si="92"/>
        <v>275.18739333988754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51.359039937885704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51.359039937885704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225.2323446080772</v>
      </c>
      <c r="CE74" s="59">
        <f t="shared" si="94"/>
        <v>222.29030402759292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42.854102446503774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42.854102446503774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219.15504000000001</v>
      </c>
      <c r="CV74" s="13">
        <f t="shared" si="95"/>
        <v>53.931196729716319</v>
      </c>
      <c r="CW74" s="20">
        <f t="shared" si="67"/>
        <v>475.62519563758929</v>
      </c>
      <c r="CX74" s="59">
        <f t="shared" si="68"/>
        <v>768.95852897092254</v>
      </c>
      <c r="CY74" s="59">
        <f ca="1">AVERAGE(OFFSET($CX$3,0,0,'Données projet'!$E$13+1,1))-AVERAGE(OFFSET($H$3,0,0,'Données projet'!$E$13+1,1))</f>
        <v>240.57184010337932</v>
      </c>
      <c r="CZ74" s="59">
        <f t="shared" si="96"/>
        <v>236.36473521227072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36.425866881463961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36.425866881463961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15</v>
      </c>
      <c r="DO74" s="12">
        <f>IF('Données projet'!$A$166&gt;35,DO73+DN74-DW73,IF(A74&lt;'Données projet'!$A$166,$DL$205^A74,IF(A74='Données projet'!$A$166,'Données projet'!$B$166,DO73+DN74-DW73)))</f>
        <v>620.99999999999955</v>
      </c>
      <c r="DP74" s="17">
        <f>DO74*VLOOKUP('Données projet'!$B$14,Paramètres!$A$1:$I$89,3,0)*VLOOKUP('Données projet'!$B$14,Paramètres!$A$1:$I$89,5,0)</f>
        <v>290.62799999999982</v>
      </c>
      <c r="DQ74" s="13">
        <f t="shared" si="97"/>
        <v>69.208117853196882</v>
      </c>
      <c r="DR74" s="20">
        <f t="shared" si="70"/>
        <v>626.71457192765092</v>
      </c>
      <c r="DS74" s="59">
        <f t="shared" si="71"/>
        <v>920.04790526098418</v>
      </c>
      <c r="DT74" s="59">
        <f ca="1">AVERAGE(OFFSET($DS$3,0,0,'Données projet'!$E$14+1,1))-AVERAGE(OFFSET($H$3,0,0,'Données projet'!$E$14+1,1))</f>
        <v>304.29617570272939</v>
      </c>
      <c r="DU74" s="59">
        <f t="shared" si="98"/>
        <v>246.20695736161576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89.116481392707755</v>
      </c>
      <c r="EB74" s="21">
        <f>EXP(-LN(2)/25)*EB73+(1-EXP(-LN(2)/25))/(LN(2)/25)*Calculateur!DW74*Calculateur!DY74*VLOOKUP('Données projet'!$B$14,Paramètres!$A$1:$I$89,3,0)*0.475*44/12</f>
        <v>13.131000755562541</v>
      </c>
      <c r="EC74" s="21">
        <f>EXP(-LN(2)/2)*EC73+(1-EXP(-LN(2)/2))/(LN(2)/2)*DW74*DZ74*VLOOKUP('Données projet'!$B$14,Paramètres!$A$1:$I$89,3,0)*0.475*44/12</f>
        <v>2.6530215788102497E-6</v>
      </c>
      <c r="ED74" s="22">
        <f t="shared" si="72"/>
        <v>102.24748480129188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8.6</v>
      </c>
      <c r="EJ74" s="12">
        <f>IF('Données projet'!$A$192&gt;35,EJ73+EI74-ER73,IF(A74&lt;'Données projet'!$A$192,$EG$205^A74,IF(A74='Données projet'!$A$192,'Données projet'!$B$192,EJ73+EI74-ER73)))</f>
        <v>448.59999999999945</v>
      </c>
      <c r="EK74" s="17">
        <f>EJ74*VLOOKUP('Données projet'!$B$15,Paramètres!$A$1:$I$89,3,0)*VLOOKUP('Données projet'!$B$15,Paramètres!$A$1:$I$89,5,0)</f>
        <v>268.26279999999969</v>
      </c>
      <c r="EL74" s="13">
        <f t="shared" si="99"/>
        <v>64.480453215977789</v>
      </c>
      <c r="EM74" s="20">
        <f t="shared" si="73"/>
        <v>579.527832684494</v>
      </c>
      <c r="EN74" s="59">
        <f t="shared" si="74"/>
        <v>872.86116601782737</v>
      </c>
      <c r="EO74" s="59">
        <f ca="1">AVERAGE(OFFSET($EN$3,0,0,'Données projet'!$E$15+1,1))-AVERAGE(OFFSET($H$3,0,0,'Données projet'!$E$15+1,1))</f>
        <v>288.41846134875794</v>
      </c>
      <c r="EP74" s="59">
        <f t="shared" si="100"/>
        <v>248.93951719818972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67.939182249019254</v>
      </c>
      <c r="EW74" s="21">
        <f>EXP(-LN(2)/25)*EW73+(1-EXP(-LN(2)/25))/(LN(2)/25)*Calculateur!ER74*Calculateur!ET74*VLOOKUP('Données projet'!$B$15,Paramètres!$A$1:$I$89,3,0)*0.475*44/12</f>
        <v>8.9631000818565845</v>
      </c>
      <c r="EX74" s="21">
        <f>EXP(-LN(2)/2)*EX73+(1-EXP(-LN(2)/2))/(LN(2)/2)*ER74*EU74*VLOOKUP('Données projet'!$B$15,Paramètres!$A$1:$I$89,3,0)*0.475*44/12</f>
        <v>3.281705990167998E-7</v>
      </c>
      <c r="EY74" s="22">
        <f t="shared" si="75"/>
        <v>76.902282659046435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10.4</v>
      </c>
      <c r="FE74" s="12">
        <f>IF('Données projet'!$A$218&gt;35,FE73+FD74-FM73,IF(A74&lt;'Données projet'!$A$218,$FB$205^A74,IF(A74='Données projet'!$A$218,'Données projet'!$B$218,FE73+FD74-FM73)))</f>
        <v>756.40000000000066</v>
      </c>
      <c r="FF74" s="17">
        <f>FE74*VLOOKUP('Données projet'!$B$16,Paramètres!$A$1:$I$89,3,0)*VLOOKUP('Données projet'!$B$16,Paramètres!$A$1:$I$89,5,0)</f>
        <v>344.16200000000032</v>
      </c>
      <c r="FG74" s="13">
        <f t="shared" si="101"/>
        <v>80.359232124678826</v>
      </c>
      <c r="FH74" s="20">
        <f t="shared" si="76"/>
        <v>739.37447928381607</v>
      </c>
      <c r="FI74" s="59">
        <f t="shared" si="77"/>
        <v>1032.7078126171493</v>
      </c>
      <c r="FJ74" s="59">
        <f ca="1">AVERAGE(OFFSET($FI$3,0,0,'Données projet'!$E$16+1,1))-AVERAGE(OFFSET($H$3,0,0,'Données projet'!$E$16+1,1))</f>
        <v>367.36535411813264</v>
      </c>
      <c r="FK74" s="59">
        <f t="shared" si="102"/>
        <v>293.19545174980556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87.553951159492598</v>
      </c>
      <c r="FR74" s="21">
        <f>EXP(-LN(2)/25)*FR73+(1-EXP(-LN(2)/25))/(LN(2)/25)*Calculateur!FM74*Calculateur!FO74*VLOOKUP('Données projet'!$B$16,Paramètres!$A$1:$I$89,3,0)*0.475*44/12</f>
        <v>13.892083460204445</v>
      </c>
      <c r="FS74" s="21">
        <f>EXP(-LN(2)/2)*FS73+(1-EXP(-LN(2)/2))/(LN(2)/2)*FM74*FP74*VLOOKUP('Données projet'!$B$16,Paramètres!$A$1:$I$89,3,0)*0.475*44/12</f>
        <v>4.8853373672160457E-7</v>
      </c>
      <c r="FT74" s="22">
        <f t="shared" si="78"/>
        <v>101.44603510823079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15</v>
      </c>
      <c r="FZ74" s="12">
        <f>IF('Données projet'!$A$244&gt;35,FZ73+FY74-GH73,IF(A74&lt;'Données projet'!$A$244,$FW$205^A74,IF(A74='Données projet'!$A$244,'Données projet'!$B$244,FZ73+FY74-GH73)))</f>
        <v>621</v>
      </c>
      <c r="GA74" s="17">
        <f>FZ74*VLOOKUP('Données projet'!$B$17,Paramètres!$A$1:$I$89,3,0)*VLOOKUP('Données projet'!$B$17,Paramètres!$A$1:$I$89,5,0)</f>
        <v>298.70100000000002</v>
      </c>
      <c r="GB74" s="13">
        <f t="shared" si="103"/>
        <v>70.90407444336536</v>
      </c>
      <c r="GC74" s="20">
        <f t="shared" si="79"/>
        <v>643.7288379888613</v>
      </c>
      <c r="GD74" s="59">
        <f t="shared" si="80"/>
        <v>937.06217132219467</v>
      </c>
      <c r="GE74" s="59">
        <f ca="1">AVERAGE(OFFSET($GD$3,0,0,'Données projet'!$E$17+1,1))-AVERAGE(OFFSET($H$3,0,0,'Données projet'!$E$17+1,1))</f>
        <v>312.64506496298173</v>
      </c>
      <c r="GF74" s="59">
        <f t="shared" si="104"/>
        <v>259.97532509897508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102.22538894317718</v>
      </c>
      <c r="GM74" s="21">
        <f>EXP(-LN(2)/25)*GM73+(1-EXP(-LN(2)/25))/(LN(2)/25)*Calculateur!GH74*Calculateur!GJ74*VLOOKUP('Données projet'!$B$17,Paramètres!$A$1:$I$89,3,0)*0.475*44/12</f>
        <v>6.2808959411005887</v>
      </c>
      <c r="GN74" s="21">
        <f>EXP(-LN(2)/2)*GN73+(1-EXP(-LN(2)/2))/(LN(2)/2)*GH74*GK74*VLOOKUP('Données projet'!$B$17,Paramètres!$A$1:$I$89,3,0)*0.475*44/12</f>
        <v>2.5968729739676955E-6</v>
      </c>
      <c r="GO74" s="21">
        <f t="shared" si="81"/>
        <v>108.50628748115074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6.2</v>
      </c>
      <c r="GU74" s="12">
        <f>IF('Données projet'!$A$270&gt;35,GU73+GT74-HC73,IF(A74&lt;'Données projet'!$A$270,$GR$205^A74,IF(A74='Données projet'!$A$270,'Données projet'!$B$270,GU73+GT74-HC73)))</f>
        <v>227.19999999999996</v>
      </c>
      <c r="GV74" s="17">
        <f>GU74*VLOOKUP('Données projet'!$B$18,Paramètres!$A$1:$I$89,3,0)*VLOOKUP('Données projet'!$B$18,Paramètres!$A$1:$I$89,5,0)</f>
        <v>230.38079999999997</v>
      </c>
      <c r="GW74" s="13">
        <f t="shared" si="105"/>
        <v>56.365011465139979</v>
      </c>
      <c r="GX74" s="20">
        <f t="shared" si="82"/>
        <v>499.41562163511867</v>
      </c>
      <c r="GY74" s="59">
        <f t="shared" si="83"/>
        <v>792.74895496845193</v>
      </c>
      <c r="GZ74" s="59">
        <f ca="1">AVERAGE(OFFSET($GY$3,0,0,'Données projet'!$E$18+1,1))-AVERAGE(OFFSET($H$3,0,0,'Données projet'!$E$18+1,1))</f>
        <v>308.80022073574963</v>
      </c>
      <c r="HA74" s="59">
        <f t="shared" si="106"/>
        <v>183.96267407004115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57.592545776294912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57.592545776294912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344.49457749226184</v>
      </c>
      <c r="T75" s="59">
        <f t="shared" si="88"/>
        <v>207.92972431357452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168</v>
      </c>
      <c r="AJ75" s="13">
        <f>AI75*VLOOKUP('Données projet'!$B$10,Paramètres!$A$1:$I$89,3,0)*VLOOKUP('Données projet'!$B$10,Paramètres!$A$1:$I$89,5,0)</f>
        <v>152.00640000000001</v>
      </c>
      <c r="AK75" s="13">
        <f t="shared" si="89"/>
        <v>39.03419401656145</v>
      </c>
      <c r="AL75" s="20">
        <f t="shared" si="58"/>
        <v>332.72903457884451</v>
      </c>
      <c r="AM75" s="59">
        <f t="shared" si="59"/>
        <v>626.06236791217782</v>
      </c>
      <c r="AN75" s="59">
        <f ca="1">AVERAGE(OFFSET($AM$3,0,0,'Données projet'!$E$10+1,1))-AVERAGE(OFFSET($H$3,0,0,'Données projet'!$E$10+1,1))</f>
        <v>183.0147113277086</v>
      </c>
      <c r="AO75" s="59">
        <f t="shared" si="90"/>
        <v>76.413905647258389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33.381661740209353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33.381661740209353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247.74983999999995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279.49721661620544</v>
      </c>
      <c r="BJ75" s="59">
        <f t="shared" si="92"/>
        <v>275.18739333988754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50.351920490624948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50.351920490624948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225.2323446080772</v>
      </c>
      <c r="CE75" s="59">
        <f t="shared" si="94"/>
        <v>222.29030402759292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42.01375963594937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42.01375963594937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221.95367999999999</v>
      </c>
      <c r="CV75" s="13">
        <f t="shared" si="95"/>
        <v>54.539289676911665</v>
      </c>
      <c r="CW75" s="20">
        <f t="shared" si="67"/>
        <v>481.55858885395452</v>
      </c>
      <c r="CX75" s="59">
        <f t="shared" si="68"/>
        <v>774.89192218728783</v>
      </c>
      <c r="CY75" s="59">
        <f ca="1">AVERAGE(OFFSET($CX$3,0,0,'Données projet'!$E$13+1,1))-AVERAGE(OFFSET($H$3,0,0,'Données projet'!$E$13+1,1))</f>
        <v>240.57184010337932</v>
      </c>
      <c r="CZ75" s="59">
        <f t="shared" si="96"/>
        <v>236.36473521227072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35.711577849503449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35.711577849503449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15</v>
      </c>
      <c r="DO75" s="12">
        <f>IF('Données projet'!$A$166&gt;35,DO74+DN75-DW74,IF(A75&lt;'Données projet'!$A$166,$DL$205^A75,IF(A75='Données projet'!$A$166,'Données projet'!$B$166,DO74+DN75-DW74)))</f>
        <v>635.99999999999955</v>
      </c>
      <c r="DP75" s="17">
        <f>DO75*VLOOKUP('Données projet'!$B$14,Paramètres!$A$1:$I$89,3,0)*VLOOKUP('Données projet'!$B$14,Paramètres!$A$1:$I$89,5,0)</f>
        <v>297.6479999999998</v>
      </c>
      <c r="DQ75" s="13">
        <f t="shared" si="97"/>
        <v>70.683168293530741</v>
      </c>
      <c r="DR75" s="20">
        <f t="shared" si="70"/>
        <v>641.51011811123226</v>
      </c>
      <c r="DS75" s="59">
        <f t="shared" si="71"/>
        <v>934.84345144456552</v>
      </c>
      <c r="DT75" s="59">
        <f ca="1">AVERAGE(OFFSET($DS$3,0,0,'Données projet'!$E$14+1,1))-AVERAGE(OFFSET($H$3,0,0,'Données projet'!$E$14+1,1))</f>
        <v>304.29617570272939</v>
      </c>
      <c r="DU75" s="59">
        <f t="shared" si="98"/>
        <v>246.20695736161576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87.368961548283224</v>
      </c>
      <c r="EB75" s="21">
        <f>EXP(-LN(2)/25)*EB74+(1-EXP(-LN(2)/25))/(LN(2)/25)*Calculateur!DW75*Calculateur!DY75*VLOOKUP('Données projet'!$B$14,Paramètres!$A$1:$I$89,3,0)*0.475*44/12</f>
        <v>12.771932849372364</v>
      </c>
      <c r="EC75" s="21">
        <f>EXP(-LN(2)/2)*EC74+(1-EXP(-LN(2)/2))/(LN(2)/2)*DW75*DZ75*VLOOKUP('Données projet'!$B$14,Paramètres!$A$1:$I$89,3,0)*0.475*44/12</f>
        <v>1.8759695490109681E-6</v>
      </c>
      <c r="ED75" s="22">
        <f t="shared" si="72"/>
        <v>100.14089627362513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8.6</v>
      </c>
      <c r="EJ75" s="12">
        <f>IF('Données projet'!$A$192&gt;35,EJ74+EI75-ER74,IF(A75&lt;'Données projet'!$A$192,$EG$205^A75,IF(A75='Données projet'!$A$192,'Données projet'!$B$192,EJ74+EI75-ER74)))</f>
        <v>457.19999999999948</v>
      </c>
      <c r="EK75" s="17">
        <f>EJ75*VLOOKUP('Données projet'!$B$15,Paramètres!$A$1:$I$89,3,0)*VLOOKUP('Données projet'!$B$15,Paramètres!$A$1:$I$89,5,0)</f>
        <v>273.40559999999971</v>
      </c>
      <c r="EL75" s="13">
        <f t="shared" si="99"/>
        <v>65.571495462320897</v>
      </c>
      <c r="EM75" s="20">
        <f t="shared" si="73"/>
        <v>590.38510793020839</v>
      </c>
      <c r="EN75" s="59">
        <f t="shared" si="74"/>
        <v>883.71844126354176</v>
      </c>
      <c r="EO75" s="59">
        <f ca="1">AVERAGE(OFFSET($EN$3,0,0,'Données projet'!$E$15+1,1))-AVERAGE(OFFSET($H$3,0,0,'Données projet'!$E$15+1,1))</f>
        <v>288.41846134875794</v>
      </c>
      <c r="EP75" s="59">
        <f t="shared" si="100"/>
        <v>248.93951719818972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66.60693632392541</v>
      </c>
      <c r="EW75" s="21">
        <f>EXP(-LN(2)/25)*EW74+(1-EXP(-LN(2)/25))/(LN(2)/25)*Calculateur!ER75*Calculateur!ET75*VLOOKUP('Données projet'!$B$15,Paramètres!$A$1:$I$89,3,0)*0.475*44/12</f>
        <v>8.7180036387692681</v>
      </c>
      <c r="EX75" s="21">
        <f>EXP(-LN(2)/2)*EX74+(1-EXP(-LN(2)/2))/(LN(2)/2)*ER75*EU75*VLOOKUP('Données projet'!$B$15,Paramètres!$A$1:$I$89,3,0)*0.475*44/12</f>
        <v>2.3205165595083049E-7</v>
      </c>
      <c r="EY75" s="22">
        <f t="shared" si="75"/>
        <v>75.324940194746347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10.4</v>
      </c>
      <c r="FE75" s="12">
        <f>IF('Données projet'!$A$218&gt;35,FE74+FD75-FM74,IF(A75&lt;'Données projet'!$A$218,$FB$205^A75,IF(A75='Données projet'!$A$218,'Données projet'!$B$218,FE74+FD75-FM74)))</f>
        <v>766.80000000000064</v>
      </c>
      <c r="FF75" s="17">
        <f>FE75*VLOOKUP('Données projet'!$B$16,Paramètres!$A$1:$I$89,3,0)*VLOOKUP('Données projet'!$B$16,Paramètres!$A$1:$I$89,5,0)</f>
        <v>348.89400000000029</v>
      </c>
      <c r="FG75" s="13">
        <f t="shared" si="101"/>
        <v>81.334732418795028</v>
      </c>
      <c r="FH75" s="20">
        <f t="shared" si="76"/>
        <v>749.31504229606844</v>
      </c>
      <c r="FI75" s="59">
        <f t="shared" si="77"/>
        <v>1042.6483756294017</v>
      </c>
      <c r="FJ75" s="59">
        <f ca="1">AVERAGE(OFFSET($FI$3,0,0,'Données projet'!$E$16+1,1))-AVERAGE(OFFSET($H$3,0,0,'Données projet'!$E$16+1,1))</f>
        <v>367.36535411813264</v>
      </c>
      <c r="FK75" s="59">
        <f t="shared" si="102"/>
        <v>293.19545174980556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85.837071579892083</v>
      </c>
      <c r="FR75" s="21">
        <f>EXP(-LN(2)/25)*FR74+(1-EXP(-LN(2)/25))/(LN(2)/25)*Calculateur!FM75*Calculateur!FO75*VLOOKUP('Données projet'!$B$16,Paramètres!$A$1:$I$89,3,0)*0.475*44/12</f>
        <v>13.512203707432235</v>
      </c>
      <c r="FS75" s="21">
        <f>EXP(-LN(2)/2)*FS74+(1-EXP(-LN(2)/2))/(LN(2)/2)*FM75*FP75*VLOOKUP('Données projet'!$B$16,Paramètres!$A$1:$I$89,3,0)*0.475*44/12</f>
        <v>3.4544551807425007E-7</v>
      </c>
      <c r="FT75" s="22">
        <f t="shared" si="78"/>
        <v>99.349275632769832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15</v>
      </c>
      <c r="FZ75" s="12">
        <f>IF('Données projet'!$A$244&gt;35,FZ74+FY75-GH74,IF(A75&lt;'Données projet'!$A$244,$FW$205^A75,IF(A75='Données projet'!$A$244,'Données projet'!$B$244,FZ74+FY75-GH74)))</f>
        <v>636</v>
      </c>
      <c r="GA75" s="17">
        <f>FZ75*VLOOKUP('Données projet'!$B$17,Paramètres!$A$1:$I$89,3,0)*VLOOKUP('Données projet'!$B$17,Paramètres!$A$1:$I$89,5,0)</f>
        <v>305.916</v>
      </c>
      <c r="GB75" s="13">
        <f t="shared" si="103"/>
        <v>72.415271243298562</v>
      </c>
      <c r="GC75" s="20">
        <f t="shared" si="79"/>
        <v>658.92696408207837</v>
      </c>
      <c r="GD75" s="59">
        <f t="shared" si="80"/>
        <v>952.26029741541174</v>
      </c>
      <c r="GE75" s="59">
        <f ca="1">AVERAGE(OFFSET($GD$3,0,0,'Données projet'!$E$17+1,1))-AVERAGE(OFFSET($H$3,0,0,'Données projet'!$E$17+1,1))</f>
        <v>312.64506496298173</v>
      </c>
      <c r="GF75" s="59">
        <f t="shared" si="104"/>
        <v>259.97532509897508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100.22081141733204</v>
      </c>
      <c r="GM75" s="21">
        <f>EXP(-LN(2)/25)*GM74+(1-EXP(-LN(2)/25))/(LN(2)/25)*Calculateur!GH75*Calculateur!GJ75*VLOOKUP('Données projet'!$B$17,Paramètres!$A$1:$I$89,3,0)*0.475*44/12</f>
        <v>6.1091445112932306</v>
      </c>
      <c r="GN75" s="21">
        <f>EXP(-LN(2)/2)*GN74+(1-EXP(-LN(2)/2))/(LN(2)/2)*GH75*GK75*VLOOKUP('Données projet'!$B$17,Paramètres!$A$1:$I$89,3,0)*0.475*44/12</f>
        <v>1.8362664897726342E-6</v>
      </c>
      <c r="GO75" s="21">
        <f t="shared" si="81"/>
        <v>106.32995776489177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6.2</v>
      </c>
      <c r="GU75" s="12">
        <f>IF('Données projet'!$A$270&gt;35,GU74+GT75-HC74,IF(A75&lt;'Données projet'!$A$270,$GR$205^A75,IF(A75='Données projet'!$A$270,'Données projet'!$B$270,GU74+GT75-HC74)))</f>
        <v>233.39999999999995</v>
      </c>
      <c r="GV75" s="17">
        <f>GU75*VLOOKUP('Données projet'!$B$18,Paramètres!$A$1:$I$89,3,0)*VLOOKUP('Données projet'!$B$18,Paramètres!$A$1:$I$89,5,0)</f>
        <v>236.66759999999996</v>
      </c>
      <c r="GW75" s="13">
        <f t="shared" si="105"/>
        <v>57.721965974560838</v>
      </c>
      <c r="GX75" s="20">
        <f t="shared" si="82"/>
        <v>512.72849407236004</v>
      </c>
      <c r="GY75" s="59">
        <f t="shared" si="83"/>
        <v>806.06182740569329</v>
      </c>
      <c r="GZ75" s="59">
        <f ca="1">AVERAGE(OFFSET($GY$3,0,0,'Données projet'!$E$18+1,1))-AVERAGE(OFFSET($H$3,0,0,'Données projet'!$E$18+1,1))</f>
        <v>308.80022073574963</v>
      </c>
      <c r="HA75" s="59">
        <f t="shared" si="106"/>
        <v>183.96267407004115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56.463191081606091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56.463191081606091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344.49457749226184</v>
      </c>
      <c r="T76" s="59">
        <f t="shared" si="88"/>
        <v>207.92972431357452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173</v>
      </c>
      <c r="AJ76" s="13">
        <f>AI76*VLOOKUP('Données projet'!$B$10,Paramètres!$A$1:$I$89,3,0)*VLOOKUP('Données projet'!$B$10,Paramètres!$A$1:$I$89,5,0)</f>
        <v>156.53039999999999</v>
      </c>
      <c r="AK76" s="13">
        <f t="shared" si="89"/>
        <v>40.058941713182037</v>
      </c>
      <c r="AL76" s="20">
        <f t="shared" si="58"/>
        <v>342.393103483792</v>
      </c>
      <c r="AM76" s="59">
        <f t="shared" si="59"/>
        <v>635.72643681712532</v>
      </c>
      <c r="AN76" s="59">
        <f ca="1">AVERAGE(OFFSET($AM$3,0,0,'Données projet'!$E$10+1,1))-AVERAGE(OFFSET($H$3,0,0,'Données projet'!$E$10+1,1))</f>
        <v>183.0147113277086</v>
      </c>
      <c r="AO76" s="59">
        <f t="shared" si="90"/>
        <v>76.413905647258389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32.727067714287045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32.727067714287045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251.09135999999995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279.49721661620544</v>
      </c>
      <c r="BJ76" s="59">
        <f t="shared" si="92"/>
        <v>275.18739333988754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49.364550041442769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49.364550041442769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225.2323446080772</v>
      </c>
      <c r="CE76" s="59">
        <f t="shared" si="94"/>
        <v>222.29030402759292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41.189895435351438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41.189895435351438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224.75232000000003</v>
      </c>
      <c r="CV76" s="13">
        <f t="shared" si="95"/>
        <v>55.146490754971083</v>
      </c>
      <c r="CW76" s="20">
        <f t="shared" si="67"/>
        <v>487.4904287315747</v>
      </c>
      <c r="CX76" s="59">
        <f t="shared" si="68"/>
        <v>780.82376206490801</v>
      </c>
      <c r="CY76" s="59">
        <f ca="1">AVERAGE(OFFSET($CX$3,0,0,'Données projet'!$E$13+1,1))-AVERAGE(OFFSET($H$3,0,0,'Données projet'!$E$13+1,1))</f>
        <v>240.57184010337932</v>
      </c>
      <c r="CZ76" s="59">
        <f t="shared" si="96"/>
        <v>236.36473521227072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35.011295589786393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35.011295589786393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15</v>
      </c>
      <c r="DO76" s="12">
        <f>IF('Données projet'!$A$166&gt;35,DO75+DN76-DW75,IF(A76&lt;'Données projet'!$A$166,$DL$205^A76,IF(A76='Données projet'!$A$166,'Données projet'!$B$166,DO75+DN76-DW75)))</f>
        <v>650.99999999999955</v>
      </c>
      <c r="DP76" s="17">
        <f>DO76*VLOOKUP('Données projet'!$B$14,Paramètres!$A$1:$I$89,3,0)*VLOOKUP('Données projet'!$B$14,Paramètres!$A$1:$I$89,5,0)</f>
        <v>304.66799999999978</v>
      </c>
      <c r="DQ76" s="13">
        <f t="shared" si="97"/>
        <v>72.15417446000599</v>
      </c>
      <c r="DR76" s="20">
        <f t="shared" si="70"/>
        <v>656.29862051784335</v>
      </c>
      <c r="DS76" s="59">
        <f t="shared" si="71"/>
        <v>949.6319538511766</v>
      </c>
      <c r="DT76" s="59">
        <f ca="1">AVERAGE(OFFSET($DS$3,0,0,'Données projet'!$E$14+1,1))-AVERAGE(OFFSET($H$3,0,0,'Données projet'!$E$14+1,1))</f>
        <v>304.29617570272939</v>
      </c>
      <c r="DU76" s="59">
        <f t="shared" si="98"/>
        <v>246.20695736161576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85.655709502126001</v>
      </c>
      <c r="EB76" s="21">
        <f>EXP(-LN(2)/25)*EB75+(1-EXP(-LN(2)/25))/(LN(2)/25)*Calculateur!DW76*Calculateur!DY76*VLOOKUP('Données projet'!$B$14,Paramètres!$A$1:$I$89,3,0)*0.475*44/12</f>
        <v>12.422683673959519</v>
      </c>
      <c r="EC76" s="21">
        <f>EXP(-LN(2)/2)*EC75+(1-EXP(-LN(2)/2))/(LN(2)/2)*DW76*DZ76*VLOOKUP('Données projet'!$B$14,Paramètres!$A$1:$I$89,3,0)*0.475*44/12</f>
        <v>1.326510789405125E-6</v>
      </c>
      <c r="ED76" s="22">
        <f t="shared" si="72"/>
        <v>98.078394502596296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8.6</v>
      </c>
      <c r="EJ76" s="12">
        <f>IF('Données projet'!$A$192&gt;35,EJ75+EI76-ER75,IF(A76&lt;'Données projet'!$A$192,$EG$205^A76,IF(A76='Données projet'!$A$192,'Données projet'!$B$192,EJ75+EI76-ER75)))</f>
        <v>465.7999999999995</v>
      </c>
      <c r="EK76" s="17">
        <f>EJ76*VLOOKUP('Données projet'!$B$15,Paramètres!$A$1:$I$89,3,0)*VLOOKUP('Données projet'!$B$15,Paramètres!$A$1:$I$89,5,0)</f>
        <v>278.54839999999973</v>
      </c>
      <c r="EL76" s="13">
        <f t="shared" si="99"/>
        <v>66.660151334743475</v>
      </c>
      <c r="EM76" s="20">
        <f t="shared" si="73"/>
        <v>601.23822690801114</v>
      </c>
      <c r="EN76" s="59">
        <f t="shared" si="74"/>
        <v>894.57156024134451</v>
      </c>
      <c r="EO76" s="59">
        <f ca="1">AVERAGE(OFFSET($EN$3,0,0,'Données projet'!$E$15+1,1))-AVERAGE(OFFSET($H$3,0,0,'Données projet'!$E$15+1,1))</f>
        <v>288.41846134875794</v>
      </c>
      <c r="EP76" s="59">
        <f t="shared" si="100"/>
        <v>248.93951719818972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65.300814928832878</v>
      </c>
      <c r="EW76" s="21">
        <f>EXP(-LN(2)/25)*EW75+(1-EXP(-LN(2)/25))/(LN(2)/25)*Calculateur!ER76*Calculateur!ET76*VLOOKUP('Données projet'!$B$15,Paramètres!$A$1:$I$89,3,0)*0.475*44/12</f>
        <v>8.4796093708072355</v>
      </c>
      <c r="EX76" s="21">
        <f>EXP(-LN(2)/2)*EX75+(1-EXP(-LN(2)/2))/(LN(2)/2)*ER76*EU76*VLOOKUP('Données projet'!$B$15,Paramètres!$A$1:$I$89,3,0)*0.475*44/12</f>
        <v>1.6408529950839992E-7</v>
      </c>
      <c r="EY76" s="22">
        <f t="shared" si="75"/>
        <v>73.78042446372541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10.4</v>
      </c>
      <c r="FE76" s="12">
        <f>IF('Données projet'!$A$218&gt;35,FE75+FD76-FM75,IF(A76&lt;'Données projet'!$A$218,$FB$205^A76,IF(A76='Données projet'!$A$218,'Données projet'!$B$218,FE75+FD76-FM75)))</f>
        <v>777.20000000000061</v>
      </c>
      <c r="FF76" s="17">
        <f>FE76*VLOOKUP('Données projet'!$B$16,Paramètres!$A$1:$I$89,3,0)*VLOOKUP('Données projet'!$B$16,Paramètres!$A$1:$I$89,5,0)</f>
        <v>353.62600000000026</v>
      </c>
      <c r="FG76" s="13">
        <f t="shared" si="101"/>
        <v>82.308693839376986</v>
      </c>
      <c r="FH76" s="20">
        <f t="shared" si="76"/>
        <v>759.25292510358202</v>
      </c>
      <c r="FI76" s="59">
        <f t="shared" si="77"/>
        <v>1052.5862584369154</v>
      </c>
      <c r="FJ76" s="59">
        <f ca="1">AVERAGE(OFFSET($FI$3,0,0,'Données projet'!$E$16+1,1))-AVERAGE(OFFSET($H$3,0,0,'Données projet'!$E$16+1,1))</f>
        <v>367.36535411813264</v>
      </c>
      <c r="FK76" s="59">
        <f t="shared" si="102"/>
        <v>293.19545174980556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84.153858961654393</v>
      </c>
      <c r="FR76" s="21">
        <f>EXP(-LN(2)/25)*FR75+(1-EXP(-LN(2)/25))/(LN(2)/25)*Calculateur!FM76*Calculateur!FO76*VLOOKUP('Données projet'!$B$16,Paramètres!$A$1:$I$89,3,0)*0.475*44/12</f>
        <v>13.142711786476591</v>
      </c>
      <c r="FS76" s="21">
        <f>EXP(-LN(2)/2)*FS75+(1-EXP(-LN(2)/2))/(LN(2)/2)*FM76*FP76*VLOOKUP('Données projet'!$B$16,Paramètres!$A$1:$I$89,3,0)*0.475*44/12</f>
        <v>2.4426686836080228E-7</v>
      </c>
      <c r="FT76" s="22">
        <f t="shared" si="78"/>
        <v>97.296570992397861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15</v>
      </c>
      <c r="FZ76" s="12">
        <f>IF('Données projet'!$A$244&gt;35,FZ75+FY76-GH75,IF(A76&lt;'Données projet'!$A$244,$FW$205^A76,IF(A76='Données projet'!$A$244,'Données projet'!$B$244,FZ75+FY76-GH75)))</f>
        <v>651</v>
      </c>
      <c r="GA76" s="17">
        <f>FZ76*VLOOKUP('Données projet'!$B$17,Paramètres!$A$1:$I$89,3,0)*VLOOKUP('Données projet'!$B$17,Paramètres!$A$1:$I$89,5,0)</f>
        <v>313.13100000000003</v>
      </c>
      <c r="GB76" s="13">
        <f t="shared" si="103"/>
        <v>73.922324663760762</v>
      </c>
      <c r="GC76" s="20">
        <f t="shared" si="79"/>
        <v>674.11787378938334</v>
      </c>
      <c r="GD76" s="59">
        <f t="shared" si="80"/>
        <v>967.4512071227166</v>
      </c>
      <c r="GE76" s="59">
        <f ca="1">AVERAGE(OFFSET($GD$3,0,0,'Données projet'!$E$17+1,1))-AVERAGE(OFFSET($H$3,0,0,'Données projet'!$E$17+1,1))</f>
        <v>312.64506496298173</v>
      </c>
      <c r="GF76" s="59">
        <f t="shared" si="104"/>
        <v>259.97532509897508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98.25554243409718</v>
      </c>
      <c r="GM76" s="21">
        <f>EXP(-LN(2)/25)*GM75+(1-EXP(-LN(2)/25))/(LN(2)/25)*Calculateur!GH76*Calculateur!GJ76*VLOOKUP('Données projet'!$B$17,Paramètres!$A$1:$I$89,3,0)*0.475*44/12</f>
        <v>5.9420896333659696</v>
      </c>
      <c r="GN76" s="21">
        <f>EXP(-LN(2)/2)*GN75+(1-EXP(-LN(2)/2))/(LN(2)/2)*GH76*GK76*VLOOKUP('Données projet'!$B$17,Paramètres!$A$1:$I$89,3,0)*0.475*44/12</f>
        <v>1.2984364869838478E-6</v>
      </c>
      <c r="GO76" s="21">
        <f t="shared" si="81"/>
        <v>104.19763336589963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6.2</v>
      </c>
      <c r="GU76" s="12">
        <f>IF('Données projet'!$A$270&gt;35,GU75+GT76-HC75,IF(A76&lt;'Données projet'!$A$270,$GR$205^A76,IF(A76='Données projet'!$A$270,'Données projet'!$B$270,GU75+GT76-HC75)))</f>
        <v>239.59999999999994</v>
      </c>
      <c r="GV76" s="17">
        <f>GU76*VLOOKUP('Données projet'!$B$18,Paramètres!$A$1:$I$89,3,0)*VLOOKUP('Données projet'!$B$18,Paramètres!$A$1:$I$89,5,0)</f>
        <v>242.95439999999994</v>
      </c>
      <c r="GW76" s="13">
        <f t="shared" si="105"/>
        <v>59.074730698078945</v>
      </c>
      <c r="GX76" s="20">
        <f t="shared" si="82"/>
        <v>526.034069299154</v>
      </c>
      <c r="GY76" s="59">
        <f t="shared" si="83"/>
        <v>819.36740263248726</v>
      </c>
      <c r="GZ76" s="59">
        <f ca="1">AVERAGE(OFFSET($GY$3,0,0,'Données projet'!$E$18+1,1))-AVERAGE(OFFSET($H$3,0,0,'Données projet'!$E$18+1,1))</f>
        <v>308.80022073574963</v>
      </c>
      <c r="HA76" s="59">
        <f t="shared" si="106"/>
        <v>183.96267407004115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55.35598234364177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55.35598234364177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344.49457749226184</v>
      </c>
      <c r="T77" s="59">
        <f t="shared" si="88"/>
        <v>207.92972431357452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178</v>
      </c>
      <c r="AJ77" s="13">
        <f>AI77*VLOOKUP('Données projet'!$B$10,Paramètres!$A$1:$I$89,3,0)*VLOOKUP('Données projet'!$B$10,Paramètres!$A$1:$I$89,5,0)</f>
        <v>161.05439999999999</v>
      </c>
      <c r="AK77" s="13">
        <f t="shared" si="89"/>
        <v>41.080247278685491</v>
      </c>
      <c r="AL77" s="20">
        <f t="shared" si="58"/>
        <v>352.05117734371055</v>
      </c>
      <c r="AM77" s="59">
        <f t="shared" si="59"/>
        <v>645.38451067704386</v>
      </c>
      <c r="AN77" s="59">
        <f ca="1">AVERAGE(OFFSET($AM$3,0,0,'Données projet'!$E$10+1,1))-AVERAGE(OFFSET($H$3,0,0,'Données projet'!$E$10+1,1))</f>
        <v>183.0147113277086</v>
      </c>
      <c r="AO77" s="59">
        <f t="shared" si="90"/>
        <v>76.413905647258389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32.085309877950145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32.085309877950145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254.43287999999995</v>
      </c>
      <c r="BF77" s="13">
        <f t="shared" si="91"/>
        <v>61.534202204620392</v>
      </c>
      <c r="BG77" s="20">
        <f t="shared" si="61"/>
        <v>550.30933483971376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279.49721661620544</v>
      </c>
      <c r="BJ77" s="59">
        <f t="shared" si="92"/>
        <v>275.18739333988754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48.396541324532542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48.396541324532542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225.2323446080772</v>
      </c>
      <c r="CE77" s="59">
        <f t="shared" si="94"/>
        <v>222.29030402759292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40.382186709219688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40.382186709219688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227.55095999999998</v>
      </c>
      <c r="CV77" s="13">
        <f t="shared" si="95"/>
        <v>55.752812353905455</v>
      </c>
      <c r="CW77" s="20">
        <f t="shared" si="67"/>
        <v>493.42073684971859</v>
      </c>
      <c r="CX77" s="59">
        <f t="shared" si="68"/>
        <v>786.75407018305191</v>
      </c>
      <c r="CY77" s="59">
        <f ca="1">AVERAGE(OFFSET($CX$3,0,0,'Données projet'!$E$13+1,1))-AVERAGE(OFFSET($H$3,0,0,'Données projet'!$E$13+1,1))</f>
        <v>240.57184010337932</v>
      </c>
      <c r="CZ77" s="59">
        <f t="shared" si="96"/>
        <v>236.36473521227072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34.324745438052382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34.324745438052382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15</v>
      </c>
      <c r="DO77" s="12">
        <f>IF('Données projet'!$A$166&gt;35,DO76+DN77-DW76,IF(A77&lt;'Données projet'!$A$166,$DL$205^A77,IF(A77='Données projet'!$A$166,'Données projet'!$B$166,DO76+DN77-DW76)))</f>
        <v>665.99999999999955</v>
      </c>
      <c r="DP77" s="17">
        <f>DO77*VLOOKUP('Données projet'!$B$14,Paramètres!$A$1:$I$89,3,0)*VLOOKUP('Données projet'!$B$14,Paramètres!$A$1:$I$89,5,0)</f>
        <v>311.68799999999976</v>
      </c>
      <c r="DQ77" s="13">
        <f t="shared" si="97"/>
        <v>73.621240264709357</v>
      </c>
      <c r="DR77" s="20">
        <f t="shared" si="70"/>
        <v>671.08026012770165</v>
      </c>
      <c r="DS77" s="59">
        <f t="shared" si="71"/>
        <v>964.41359346103491</v>
      </c>
      <c r="DT77" s="59">
        <f ca="1">AVERAGE(OFFSET($DS$3,0,0,'Données projet'!$E$14+1,1))-AVERAGE(OFFSET($H$3,0,0,'Données projet'!$E$14+1,1))</f>
        <v>304.29617570272939</v>
      </c>
      <c r="DU77" s="59">
        <f t="shared" si="98"/>
        <v>246.20695736161576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83.976053283613354</v>
      </c>
      <c r="EB77" s="21">
        <f>EXP(-LN(2)/25)*EB76+(1-EXP(-LN(2)/25))/(LN(2)/25)*Calculateur!DW77*Calculateur!DY77*VLOOKUP('Données projet'!$B$14,Paramètres!$A$1:$I$89,3,0)*0.475*44/12</f>
        <v>12.082984735614554</v>
      </c>
      <c r="EC77" s="21">
        <f>EXP(-LN(2)/2)*EC76+(1-EXP(-LN(2)/2))/(LN(2)/2)*DW77*DZ77*VLOOKUP('Données projet'!$B$14,Paramètres!$A$1:$I$89,3,0)*0.475*44/12</f>
        <v>9.3798477450548427E-7</v>
      </c>
      <c r="ED77" s="22">
        <f t="shared" si="72"/>
        <v>96.059038957212692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8.6</v>
      </c>
      <c r="EJ77" s="12">
        <f>IF('Données projet'!$A$192&gt;35,EJ76+EI77-ER76,IF(A77&lt;'Données projet'!$A$192,$EG$205^A77,IF(A77='Données projet'!$A$192,'Données projet'!$B$192,EJ76+EI77-ER76)))</f>
        <v>474.39999999999952</v>
      </c>
      <c r="EK77" s="17">
        <f>EJ77*VLOOKUP('Données projet'!$B$15,Paramètres!$A$1:$I$89,3,0)*VLOOKUP('Données projet'!$B$15,Paramètres!$A$1:$I$89,5,0)</f>
        <v>283.69119999999975</v>
      </c>
      <c r="EL77" s="13">
        <f t="shared" si="99"/>
        <v>67.746469973847439</v>
      </c>
      <c r="EM77" s="20">
        <f t="shared" si="73"/>
        <v>612.08727520445041</v>
      </c>
      <c r="EN77" s="59">
        <f t="shared" si="74"/>
        <v>905.42060853778366</v>
      </c>
      <c r="EO77" s="59">
        <f ca="1">AVERAGE(OFFSET($EN$3,0,0,'Données projet'!$E$15+1,1))-AVERAGE(OFFSET($H$3,0,0,'Données projet'!$E$15+1,1))</f>
        <v>288.41846134875794</v>
      </c>
      <c r="EP77" s="59">
        <f t="shared" si="100"/>
        <v>248.93951719818972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64.020305777642733</v>
      </c>
      <c r="EW77" s="21">
        <f>EXP(-LN(2)/25)*EW76+(1-EXP(-LN(2)/25))/(LN(2)/25)*Calculateur!ER77*Calculateur!ET77*VLOOKUP('Données projet'!$B$15,Paramètres!$A$1:$I$89,3,0)*0.475*44/12</f>
        <v>8.2477340066392344</v>
      </c>
      <c r="EX77" s="21">
        <f>EXP(-LN(2)/2)*EX76+(1-EXP(-LN(2)/2))/(LN(2)/2)*ER77*EU77*VLOOKUP('Données projet'!$B$15,Paramètres!$A$1:$I$89,3,0)*0.475*44/12</f>
        <v>1.1602582797541527E-7</v>
      </c>
      <c r="EY77" s="22">
        <f t="shared" si="75"/>
        <v>72.268039900307798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10.4</v>
      </c>
      <c r="FE77" s="12">
        <f>IF('Données projet'!$A$218&gt;35,FE76+FD77-FM76,IF(A77&lt;'Données projet'!$A$218,$FB$205^A77,IF(A77='Données projet'!$A$218,'Données projet'!$B$218,FE76+FD77-FM76)))</f>
        <v>787.60000000000059</v>
      </c>
      <c r="FF77" s="17">
        <f>FE77*VLOOKUP('Données projet'!$B$16,Paramètres!$A$1:$I$89,3,0)*VLOOKUP('Données projet'!$B$16,Paramètres!$A$1:$I$89,5,0)</f>
        <v>358.35800000000029</v>
      </c>
      <c r="FG77" s="13">
        <f t="shared" si="101"/>
        <v>83.281139359080214</v>
      </c>
      <c r="FH77" s="20">
        <f t="shared" si="76"/>
        <v>769.18816771706508</v>
      </c>
      <c r="FI77" s="59">
        <f t="shared" si="77"/>
        <v>1062.5215010503985</v>
      </c>
      <c r="FJ77" s="59">
        <f ca="1">AVERAGE(OFFSET($FI$3,0,0,'Données projet'!$E$16+1,1))-AVERAGE(OFFSET($H$3,0,0,'Données projet'!$E$16+1,1))</f>
        <v>367.36535411813264</v>
      </c>
      <c r="FK77" s="59">
        <f t="shared" si="102"/>
        <v>293.19545174980556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82.503653116202017</v>
      </c>
      <c r="FR77" s="21">
        <f>EXP(-LN(2)/25)*FR76+(1-EXP(-LN(2)/25))/(LN(2)/25)*Calculateur!FM77*Calculateur!FO77*VLOOKUP('Données projet'!$B$16,Paramètres!$A$1:$I$89,3,0)*0.475*44/12</f>
        <v>12.783323641530213</v>
      </c>
      <c r="FS77" s="21">
        <f>EXP(-LN(2)/2)*FS76+(1-EXP(-LN(2)/2))/(LN(2)/2)*FM77*FP77*VLOOKUP('Données projet'!$B$16,Paramètres!$A$1:$I$89,3,0)*0.475*44/12</f>
        <v>1.7272275903712503E-7</v>
      </c>
      <c r="FT77" s="22">
        <f t="shared" si="78"/>
        <v>95.286976930454998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15</v>
      </c>
      <c r="FZ77" s="12">
        <f>IF('Données projet'!$A$244&gt;35,FZ76+FY77-GH76,IF(A77&lt;'Données projet'!$A$244,$FW$205^A77,IF(A77='Données projet'!$A$244,'Données projet'!$B$244,FZ76+FY77-GH76)))</f>
        <v>666</v>
      </c>
      <c r="GA77" s="17">
        <f>FZ77*VLOOKUP('Données projet'!$B$17,Paramètres!$A$1:$I$89,3,0)*VLOOKUP('Données projet'!$B$17,Paramètres!$A$1:$I$89,5,0)</f>
        <v>320.346</v>
      </c>
      <c r="GB77" s="13">
        <f t="shared" si="103"/>
        <v>75.42534116322193</v>
      </c>
      <c r="GC77" s="20">
        <f t="shared" si="79"/>
        <v>689.30175252594472</v>
      </c>
      <c r="GD77" s="59">
        <f t="shared" si="80"/>
        <v>982.63508585927798</v>
      </c>
      <c r="GE77" s="59">
        <f ca="1">AVERAGE(OFFSET($GD$3,0,0,'Données projet'!$E$17+1,1))-AVERAGE(OFFSET($H$3,0,0,'Données projet'!$E$17+1,1))</f>
        <v>312.64506496298173</v>
      </c>
      <c r="GF77" s="59">
        <f t="shared" si="104"/>
        <v>259.97532509897508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96.328811176927829</v>
      </c>
      <c r="GM77" s="21">
        <f>EXP(-LN(2)/25)*GM76+(1-EXP(-LN(2)/25))/(LN(2)/25)*Calculateur!GH77*Calculateur!GJ77*VLOOKUP('Données projet'!$B$17,Paramètres!$A$1:$I$89,3,0)*0.475*44/12</f>
        <v>5.779602879860664</v>
      </c>
      <c r="GN77" s="21">
        <f>EXP(-LN(2)/2)*GN76+(1-EXP(-LN(2)/2))/(LN(2)/2)*GH77*GK77*VLOOKUP('Données projet'!$B$17,Paramètres!$A$1:$I$89,3,0)*0.475*44/12</f>
        <v>9.1813324488631711E-7</v>
      </c>
      <c r="GO77" s="21">
        <f t="shared" si="81"/>
        <v>102.10841497492173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6.2</v>
      </c>
      <c r="GU77" s="12">
        <f>IF('Données projet'!$A$270&gt;35,GU76+GT77-HC76,IF(A77&lt;'Données projet'!$A$270,$GR$205^A77,IF(A77='Données projet'!$A$270,'Données projet'!$B$270,GU76+GT77-HC76)))</f>
        <v>245.79999999999993</v>
      </c>
      <c r="GV77" s="17">
        <f>GU77*VLOOKUP('Données projet'!$B$18,Paramètres!$A$1:$I$89,3,0)*VLOOKUP('Données projet'!$B$18,Paramètres!$A$1:$I$89,5,0)</f>
        <v>249.24119999999994</v>
      </c>
      <c r="GW77" s="13">
        <f t="shared" si="105"/>
        <v>60.42342651744692</v>
      </c>
      <c r="GX77" s="20">
        <f t="shared" si="82"/>
        <v>539.33255785121992</v>
      </c>
      <c r="GY77" s="59">
        <f t="shared" si="83"/>
        <v>832.66589118455317</v>
      </c>
      <c r="GZ77" s="59">
        <f ca="1">AVERAGE(OFFSET($GY$3,0,0,'Données projet'!$E$18+1,1))-AVERAGE(OFFSET($H$3,0,0,'Données projet'!$E$18+1,1))</f>
        <v>308.80022073574963</v>
      </c>
      <c r="HA77" s="59">
        <f t="shared" si="106"/>
        <v>183.96267407004115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54.270485293698286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54.270485293698286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344.49457749226184</v>
      </c>
      <c r="T78" s="59">
        <f t="shared" si="88"/>
        <v>207.92972431357452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183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183</v>
      </c>
      <c r="AJ78" s="13">
        <f>AI78*VLOOKUP('Données projet'!$B$10,Paramètres!$A$1:$I$89,3,0)*VLOOKUP('Données projet'!$B$10,Paramètres!$A$1:$I$89,5,0)</f>
        <v>165.57839999999999</v>
      </c>
      <c r="AK78" s="13">
        <f t="shared" si="89"/>
        <v>42.098218509199697</v>
      </c>
      <c r="AL78" s="20">
        <f t="shared" si="58"/>
        <v>361.70344390352278</v>
      </c>
      <c r="AM78" s="59">
        <f t="shared" si="59"/>
        <v>655.0367772368561</v>
      </c>
      <c r="AN78" s="59">
        <f ca="1">AVERAGE(OFFSET($AM$3,0,0,'Données projet'!$E$10+1,1))-AVERAGE(OFFSET($H$3,0,0,'Données projet'!$E$10+1,1))</f>
        <v>183.0147113277086</v>
      </c>
      <c r="AO78" s="59">
        <f t="shared" si="90"/>
        <v>76.413905647258389</v>
      </c>
      <c r="AP78" s="15">
        <f>IF(ISNA(VLOOKUP(A78,'Données projet'!$A$61:$I$81,3,0)),0,VLOOKUP(A78,'Données projet'!$A$61:$I$81,3,0))</f>
        <v>9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37.47751870974669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37.47751870974669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257.77439999999996</v>
      </c>
      <c r="BF78" s="13">
        <f t="shared" si="91"/>
        <v>62.247732872134293</v>
      </c>
      <c r="BG78" s="20">
        <f t="shared" si="61"/>
        <v>557.37188141896718</v>
      </c>
      <c r="BH78" s="59">
        <f t="shared" si="62"/>
        <v>850.70521475230044</v>
      </c>
      <c r="BI78" s="59">
        <f ca="1">AVERAGE(OFFSET($BH$3,0,0,'Données projet'!$E$11+1,1))-AVERAGE(OFFSET($H$3,0,0,'Données projet'!$E$11+1,1))</f>
        <v>279.49721661620544</v>
      </c>
      <c r="BJ78" s="59">
        <f t="shared" si="92"/>
        <v>275.18739333988754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53.04121247609671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53.04121247609671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225.2323446080772</v>
      </c>
      <c r="CE78" s="59">
        <f t="shared" si="94"/>
        <v>222.29030402759292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43.785590014525802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43.785590014525802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230.34960000000001</v>
      </c>
      <c r="CV78" s="13">
        <f t="shared" si="95"/>
        <v>56.35826654142631</v>
      </c>
      <c r="CW78" s="20">
        <f t="shared" si="67"/>
        <v>499.34953422631753</v>
      </c>
      <c r="CX78" s="59">
        <f t="shared" si="68"/>
        <v>792.68286755965084</v>
      </c>
      <c r="CY78" s="59">
        <f ca="1">AVERAGE(OFFSET($CX$3,0,0,'Données projet'!$E$13+1,1))-AVERAGE(OFFSET($H$3,0,0,'Données projet'!$E$13+1,1))</f>
        <v>240.57184010337932</v>
      </c>
      <c r="CZ78" s="59">
        <f t="shared" si="96"/>
        <v>236.36473521227072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37.233342348792732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37.233342348792732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681</v>
      </c>
      <c r="DM78" s="12">
        <f>VLOOKUP(A78,'Données projet'!$A$165:$I$185,9,0)</f>
        <v>15</v>
      </c>
      <c r="DN78" s="12">
        <f t="array" ref="DN78">INDEX(DM:DM,MIN(IF(ISNUMBER(DM78:DM274),ROW(DM78:DM274),"")))</f>
        <v>15</v>
      </c>
      <c r="DO78" s="12">
        <f>IF('Données projet'!$A$166&gt;35,DO77+DN78-DW77,IF(A78&lt;'Données projet'!$A$166,$DL$205^A78,IF(A78='Données projet'!$A$166,'Données projet'!$B$166,DO77+DN78-DW77)))</f>
        <v>680.99999999999955</v>
      </c>
      <c r="DP78" s="17">
        <f>DO78*VLOOKUP('Données projet'!$B$14,Paramètres!$A$1:$I$89,3,0)*VLOOKUP('Données projet'!$B$14,Paramètres!$A$1:$I$89,5,0)</f>
        <v>318.7079999999998</v>
      </c>
      <c r="DQ78" s="13">
        <f t="shared" si="97"/>
        <v>75.084464671813819</v>
      </c>
      <c r="DR78" s="20">
        <f t="shared" si="70"/>
        <v>685.85520930340863</v>
      </c>
      <c r="DS78" s="59">
        <f t="shared" si="71"/>
        <v>979.18854263674189</v>
      </c>
      <c r="DT78" s="59">
        <f ca="1">AVERAGE(OFFSET($DS$3,0,0,'Données projet'!$E$14+1,1))-AVERAGE(OFFSET($H$3,0,0,'Données projet'!$E$14+1,1))</f>
        <v>304.29617570272939</v>
      </c>
      <c r="DU78" s="59">
        <f t="shared" si="98"/>
        <v>246.20695736161576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39</v>
      </c>
      <c r="DX78" s="16">
        <f>IF(ISNA(VLOOKUP(A78,'Données projet'!$A$165:$I$185,5,0)),0%,VLOOKUP(A78,'Données projet'!$A$165:$I$185,5,0)*VLOOKUP('Données projet'!$B$14,Paramètres!$A$1:$I$89,7,0))</f>
        <v>0.55000000000000004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95.646184041431979</v>
      </c>
      <c r="EB78" s="21">
        <f>EXP(-LN(2)/25)*EB77+(1-EXP(-LN(2)/25))/(LN(2)/25)*Calculateur!DW78*Calculateur!DY78*VLOOKUP('Données projet'!$B$14,Paramètres!$A$1:$I$89,3,0)*0.475*44/12</f>
        <v>11.752574882602623</v>
      </c>
      <c r="EC78" s="21">
        <f>EXP(-LN(2)/2)*EC77+(1-EXP(-LN(2)/2))/(LN(2)/2)*DW78*DZ78*VLOOKUP('Données projet'!$B$14,Paramètres!$A$1:$I$89,3,0)*0.475*44/12</f>
        <v>6.6325539470256263E-7</v>
      </c>
      <c r="ED78" s="22">
        <f t="shared" si="72"/>
        <v>107.39875958729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483</v>
      </c>
      <c r="EH78" s="12">
        <f>VLOOKUP(A78,'Données projet'!$A$191:$I$211,9,0)</f>
        <v>8.6</v>
      </c>
      <c r="EI78" s="12">
        <f t="array" ref="EI78">INDEX(EH:EH,MIN(IF(ISNUMBER(EH78:EH274),ROW(EH78:EH274),"")))</f>
        <v>8.6</v>
      </c>
      <c r="EJ78" s="12">
        <f>IF('Données projet'!$A$192&gt;35,EJ77+EI78-ER77,IF(A78&lt;'Données projet'!$A$192,$EG$205^A78,IF(A78='Données projet'!$A$192,'Données projet'!$B$192,EJ77+EI78-ER77)))</f>
        <v>482.99999999999955</v>
      </c>
      <c r="EK78" s="17">
        <f>EJ78*VLOOKUP('Données projet'!$B$15,Paramètres!$A$1:$I$89,3,0)*VLOOKUP('Données projet'!$B$15,Paramètres!$A$1:$I$89,5,0)</f>
        <v>288.83399999999978</v>
      </c>
      <c r="EL78" s="13">
        <f t="shared" si="99"/>
        <v>68.83049863656332</v>
      </c>
      <c r="EM78" s="20">
        <f t="shared" si="73"/>
        <v>622.93233512534732</v>
      </c>
      <c r="EN78" s="59">
        <f t="shared" si="74"/>
        <v>916.26566845868069</v>
      </c>
      <c r="EO78" s="59">
        <f ca="1">AVERAGE(OFFSET($EN$3,0,0,'Données projet'!$E$15+1,1))-AVERAGE(OFFSET($H$3,0,0,'Données projet'!$E$15+1,1))</f>
        <v>288.41846134875794</v>
      </c>
      <c r="EP78" s="59">
        <f t="shared" si="100"/>
        <v>248.93951719818972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22</v>
      </c>
      <c r="ES78" s="16">
        <f>IF(ISNA(VLOOKUP(A78,'Données projet'!$A$191:$I$211,5,0)),0%,VLOOKUP(A78,'Données projet'!$A$191:$I$211,5,0)*VLOOKUP('Données projet'!$B$15,Paramètres!$A$1:$I$89,7,0))</f>
        <v>0.45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70.618433518967123</v>
      </c>
      <c r="EW78" s="21">
        <f>EXP(-LN(2)/25)*EW77+(1-EXP(-LN(2)/25))/(LN(2)/25)*Calculateur!ER78*Calculateur!ET78*VLOOKUP('Données projet'!$B$15,Paramètres!$A$1:$I$89,3,0)*0.475*44/12</f>
        <v>8.0221992864982035</v>
      </c>
      <c r="EX78" s="21">
        <f>EXP(-LN(2)/2)*EX77+(1-EXP(-LN(2)/2))/(LN(2)/2)*ER78*EU78*VLOOKUP('Données projet'!$B$15,Paramètres!$A$1:$I$89,3,0)*0.475*44/12</f>
        <v>8.2042649754199975E-8</v>
      </c>
      <c r="EY78" s="22">
        <f t="shared" si="75"/>
        <v>78.640632887507977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798</v>
      </c>
      <c r="FC78" s="12">
        <f>VLOOKUP(A78,'Données projet'!$A$217:$I$237,9,0)</f>
        <v>10.4</v>
      </c>
      <c r="FD78" s="12">
        <f t="array" ref="FD78">INDEX(FC:FC,MIN(IF(ISNUMBER(FC78:FC274),ROW(FC78:FC274),"")))</f>
        <v>10.4</v>
      </c>
      <c r="FE78" s="12">
        <f>IF('Données projet'!$A$218&gt;35,FE77+FD78-FM77,IF(A78&lt;'Données projet'!$A$218,$FB$205^A78,IF(A78='Données projet'!$A$218,'Données projet'!$B$218,FE77+FD78-FM77)))</f>
        <v>798.00000000000057</v>
      </c>
      <c r="FF78" s="17">
        <f>FE78*VLOOKUP('Données projet'!$B$16,Paramètres!$A$1:$I$89,3,0)*VLOOKUP('Données projet'!$B$16,Paramètres!$A$1:$I$89,5,0)</f>
        <v>363.09000000000026</v>
      </c>
      <c r="FG78" s="13">
        <f t="shared" si="101"/>
        <v>84.252091308995531</v>
      </c>
      <c r="FH78" s="20">
        <f t="shared" si="76"/>
        <v>779.12080902983428</v>
      </c>
      <c r="FI78" s="59">
        <f t="shared" si="77"/>
        <v>1072.4541423631676</v>
      </c>
      <c r="FJ78" s="59">
        <f ca="1">AVERAGE(OFFSET($FI$3,0,0,'Données projet'!$E$16+1,1))-AVERAGE(OFFSET($H$3,0,0,'Données projet'!$E$16+1,1))</f>
        <v>367.36535411813264</v>
      </c>
      <c r="FK78" s="59">
        <f t="shared" si="102"/>
        <v>293.19545174980556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25</v>
      </c>
      <c r="FN78" s="16">
        <f>IF(ISNA(VLOOKUP(A78,'Données projet'!$A$217:$I$237,5,0)),0%,VLOOKUP(A78,'Données projet'!$A$217:$I$237,5,0)*VLOOKUP('Données projet'!$B$16,Paramètres!$A$1:$I$89,7,0))</f>
        <v>0.55000000000000004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89.185125675196417</v>
      </c>
      <c r="FR78" s="21">
        <f>EXP(-LN(2)/25)*FR77+(1-EXP(-LN(2)/25))/(LN(2)/25)*Calculateur!FM78*Calculateur!FO78*VLOOKUP('Données projet'!$B$16,Paramètres!$A$1:$I$89,3,0)*0.475*44/12</f>
        <v>12.433762984306796</v>
      </c>
      <c r="FS78" s="21">
        <f>EXP(-LN(2)/2)*FS77+(1-EXP(-LN(2)/2))/(LN(2)/2)*FM78*FP78*VLOOKUP('Données projet'!$B$16,Paramètres!$A$1:$I$89,3,0)*0.475*44/12</f>
        <v>1.2213343418040114E-7</v>
      </c>
      <c r="FT78" s="22">
        <f t="shared" si="78"/>
        <v>101.61888878163664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681</v>
      </c>
      <c r="FX78" s="12">
        <f>VLOOKUP(A78,'Données projet'!$A$243:$I$263,9,0)</f>
        <v>15</v>
      </c>
      <c r="FY78" s="12">
        <f t="array" ref="FY78">INDEX(FX:FX,MIN(IF(ISNUMBER(FX78:FX274),ROW(FX78:FX274),"")))</f>
        <v>15</v>
      </c>
      <c r="FZ78" s="12">
        <f>IF('Données projet'!$A$244&gt;35,FZ77+FY78-GH77,IF(A78&lt;'Données projet'!$A$244,$FW$205^A78,IF(A78='Données projet'!$A$244,'Données projet'!$B$244,FZ77+FY78-GH77)))</f>
        <v>681</v>
      </c>
      <c r="GA78" s="17">
        <f>FZ78*VLOOKUP('Données projet'!$B$17,Paramètres!$A$1:$I$89,3,0)*VLOOKUP('Données projet'!$B$17,Paramètres!$A$1:$I$89,5,0)</f>
        <v>327.56100000000004</v>
      </c>
      <c r="GB78" s="13">
        <f t="shared" si="103"/>
        <v>76.924422130988575</v>
      </c>
      <c r="GC78" s="20">
        <f t="shared" si="79"/>
        <v>704.47877687813843</v>
      </c>
      <c r="GD78" s="59">
        <f t="shared" si="80"/>
        <v>997.81211021147169</v>
      </c>
      <c r="GE78" s="59">
        <f ca="1">AVERAGE(OFFSET($GD$3,0,0,'Données projet'!$E$17+1,1))-AVERAGE(OFFSET($H$3,0,0,'Données projet'!$E$17+1,1))</f>
        <v>312.64506496298173</v>
      </c>
      <c r="GF78" s="59">
        <f t="shared" si="104"/>
        <v>259.97532509897508</v>
      </c>
      <c r="GG78" s="15">
        <f>IF(ISNA(VLOOKUP(A78,'Données projet'!$A$243:$I$263,3,0)),0,VLOOKUP(A78,'Données projet'!$A$243:$I$263,3,0))</f>
        <v>11</v>
      </c>
      <c r="GH78" s="15">
        <f>IF(ISNA(VLOOKUP(A78,'Données projet'!$A$243:$I$263,4,0)),0,VLOOKUP(A78,'Données projet'!$A$243:$I$263,4,0))</f>
        <v>42</v>
      </c>
      <c r="GI78" s="16">
        <f>IF(ISNA(VLOOKUP(A78,'Données projet'!$A$243:$I$263,5,0)),0%,VLOOKUP(A78,'Données projet'!$A$243:$I$263,5,0)*VLOOKUP('Données projet'!$B$17,Paramètres!$A$1:$I$89,7,0))</f>
        <v>0.55000000000000004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109.17945226535582</v>
      </c>
      <c r="GM78" s="21">
        <f>EXP(-LN(2)/25)*GM77+(1-EXP(-LN(2)/25))/(LN(2)/25)*Calculateur!GH78*Calculateur!GJ78*VLOOKUP('Données projet'!$B$17,Paramètres!$A$1:$I$89,3,0)*0.475*44/12</f>
        <v>5.6215593351747684</v>
      </c>
      <c r="GN78" s="21">
        <f>EXP(-LN(2)/2)*GN77+(1-EXP(-LN(2)/2))/(LN(2)/2)*GH78*GK78*VLOOKUP('Données projet'!$B$17,Paramètres!$A$1:$I$89,3,0)*0.475*44/12</f>
        <v>6.4921824349192388E-7</v>
      </c>
      <c r="GO78" s="21">
        <f t="shared" si="81"/>
        <v>114.80101224974882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252</v>
      </c>
      <c r="GS78" s="12">
        <f>VLOOKUP(A78,'Données projet'!$A$269:$I$289,9,0)</f>
        <v>6.2</v>
      </c>
      <c r="GT78" s="12">
        <f t="array" ref="GT78">INDEX(GS:GS,MIN(IF(ISNUMBER(GS78:GS274),ROW(GS78:GS274),"")))</f>
        <v>6.2</v>
      </c>
      <c r="GU78" s="12">
        <f>IF('Données projet'!$A$270&gt;35,GU77+GT78-HC77,IF(A78&lt;'Données projet'!$A$270,$GR$205^A78,IF(A78='Données projet'!$A$270,'Données projet'!$B$270,GU77+GT78-HC77)))</f>
        <v>251.99999999999991</v>
      </c>
      <c r="GV78" s="17">
        <f>GU78*VLOOKUP('Données projet'!$B$18,Paramètres!$A$1:$I$89,3,0)*VLOOKUP('Données projet'!$B$18,Paramètres!$A$1:$I$89,5,0)</f>
        <v>255.52799999999993</v>
      </c>
      <c r="GW78" s="13">
        <f t="shared" si="105"/>
        <v>61.768167868721477</v>
      </c>
      <c r="GX78" s="20">
        <f t="shared" si="82"/>
        <v>552.62415903802309</v>
      </c>
      <c r="GY78" s="59">
        <f t="shared" si="83"/>
        <v>845.95749237135647</v>
      </c>
      <c r="GZ78" s="59">
        <f ca="1">AVERAGE(OFFSET($GY$3,0,0,'Données projet'!$E$18+1,1))-AVERAGE(OFFSET($H$3,0,0,'Données projet'!$E$18+1,1))</f>
        <v>308.80022073574963</v>
      </c>
      <c r="HA78" s="59">
        <f t="shared" si="106"/>
        <v>183.96267407004115</v>
      </c>
      <c r="HB78" s="15">
        <f>IF(ISNA(VLOOKUP(A78,'Données projet'!$A$269:$I$289,3,0)),0,VLOOKUP(A78,'Données projet'!$A$269:$I$289,3,0))</f>
        <v>11</v>
      </c>
      <c r="HC78" s="15">
        <f>IF(ISNA(VLOOKUP(A78,'Données projet'!$A$269:$I$289,4,0)),0,VLOOKUP(A78,'Données projet'!$A$269:$I$289,4,0))</f>
        <v>21</v>
      </c>
      <c r="HD78" s="16">
        <f>IF(ISNA(VLOOKUP(A78,'Données projet'!$A$269:$I$289,5,0)),0%,VLOOKUP(A78,'Données projet'!$A$269:$I$289,5,0)*VLOOKUP('Données projet'!$B$18,Paramètres!$A$1:$I$89,7,0))</f>
        <v>0.43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63.328425271379459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63.328425271379459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344.49457749226184</v>
      </c>
      <c r="T79" s="59">
        <f t="shared" si="88"/>
        <v>207.92972431357452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173.6</v>
      </c>
      <c r="AJ79" s="13">
        <f>AI79*VLOOKUP('Données projet'!$B$10,Paramètres!$A$1:$I$89,3,0)*VLOOKUP('Données projet'!$B$10,Paramètres!$A$1:$I$89,5,0)</f>
        <v>157.07327999999998</v>
      </c>
      <c r="AK79" s="13">
        <f t="shared" si="89"/>
        <v>40.181677940049241</v>
      </c>
      <c r="AL79" s="20">
        <f t="shared" si="58"/>
        <v>343.55238507891909</v>
      </c>
      <c r="AM79" s="59">
        <f t="shared" si="59"/>
        <v>636.88571841225234</v>
      </c>
      <c r="AN79" s="59">
        <f ca="1">AVERAGE(OFFSET($AM$3,0,0,'Données projet'!$E$10+1,1))-AVERAGE(OFFSET($H$3,0,0,'Données projet'!$E$10+1,1))</f>
        <v>183.0147113277086</v>
      </c>
      <c r="AO79" s="59">
        <f t="shared" si="90"/>
        <v>76.413905647258389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36.742607426877825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36.742607426877825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251.09135999999995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279.49721661620544</v>
      </c>
      <c r="BJ79" s="59">
        <f t="shared" si="92"/>
        <v>275.18739333988754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52.001106651385577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52.001106651385577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225.2323446080772</v>
      </c>
      <c r="CE79" s="59">
        <f t="shared" si="94"/>
        <v>222.29030402759292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42.926981300913802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42.926981300913802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225.39815999999999</v>
      </c>
      <c r="CV79" s="13">
        <f t="shared" si="95"/>
        <v>55.28648873970706</v>
      </c>
      <c r="CW79" s="20">
        <f t="shared" si="67"/>
        <v>488.85909655498972</v>
      </c>
      <c r="CX79" s="59">
        <f t="shared" si="68"/>
        <v>782.19242988832298</v>
      </c>
      <c r="CY79" s="59">
        <f ca="1">AVERAGE(OFFSET($CX$3,0,0,'Données projet'!$E$13+1,1))-AVERAGE(OFFSET($H$3,0,0,'Données projet'!$E$13+1,1))</f>
        <v>240.57184010337932</v>
      </c>
      <c r="CZ79" s="59">
        <f t="shared" si="96"/>
        <v>236.36473521227072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36.503219215429304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36.503219215429304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13.2</v>
      </c>
      <c r="DO79" s="12">
        <f>IF('Données projet'!$A$166&gt;35,DO78+DN79-DW78,IF(A79&lt;'Données projet'!$A$166,$DL$205^A79,IF(A79='Données projet'!$A$166,'Données projet'!$B$166,DO78+DN79-DW78)))</f>
        <v>655.19999999999959</v>
      </c>
      <c r="DP79" s="17">
        <f>DO79*VLOOKUP('Données projet'!$B$14,Paramètres!$A$1:$I$89,3,0)*VLOOKUP('Données projet'!$B$14,Paramètres!$A$1:$I$89,5,0)</f>
        <v>306.63359999999983</v>
      </c>
      <c r="DQ79" s="13">
        <f t="shared" si="97"/>
        <v>72.56534572901802</v>
      </c>
      <c r="DR79" s="20">
        <f t="shared" si="70"/>
        <v>660.43816381137265</v>
      </c>
      <c r="DS79" s="59">
        <f t="shared" si="71"/>
        <v>953.77149714470602</v>
      </c>
      <c r="DT79" s="59">
        <f ca="1">AVERAGE(OFFSET($DS$3,0,0,'Données projet'!$E$14+1,1))-AVERAGE(OFFSET($H$3,0,0,'Données projet'!$E$14+1,1))</f>
        <v>304.29617570272939</v>
      </c>
      <c r="DU79" s="59">
        <f t="shared" si="98"/>
        <v>246.20695736161576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93.77062071079132</v>
      </c>
      <c r="EB79" s="21">
        <f>EXP(-LN(2)/25)*EB78+(1-EXP(-LN(2)/25))/(LN(2)/25)*Calculateur!DW79*Calculateur!DY79*VLOOKUP('Données projet'!$B$14,Paramètres!$A$1:$I$89,3,0)*0.475*44/12</f>
        <v>11.431200104396803</v>
      </c>
      <c r="EC79" s="21">
        <f>EXP(-LN(2)/2)*EC78+(1-EXP(-LN(2)/2))/(LN(2)/2)*DW79*DZ79*VLOOKUP('Données projet'!$B$14,Paramètres!$A$1:$I$89,3,0)*0.475*44/12</f>
        <v>4.6899238725274219E-7</v>
      </c>
      <c r="ED79" s="22">
        <f t="shared" si="72"/>
        <v>105.20182128418051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7.8</v>
      </c>
      <c r="EJ79" s="12">
        <f>IF('Données projet'!$A$192&gt;35,EJ78+EI79-ER78,IF(A79&lt;'Données projet'!$A$192,$EG$205^A79,IF(A79='Données projet'!$A$192,'Données projet'!$B$192,EJ78+EI79-ER78)))</f>
        <v>468.79999999999956</v>
      </c>
      <c r="EK79" s="17">
        <f>EJ79*VLOOKUP('Données projet'!$B$15,Paramètres!$A$1:$I$89,3,0)*VLOOKUP('Données projet'!$B$15,Paramètres!$A$1:$I$89,5,0)</f>
        <v>280.34239999999977</v>
      </c>
      <c r="EL79" s="13">
        <f t="shared" si="99"/>
        <v>67.039362696476971</v>
      </c>
      <c r="EM79" s="20">
        <f t="shared" si="73"/>
        <v>605.0232366963636</v>
      </c>
      <c r="EN79" s="59">
        <f t="shared" si="74"/>
        <v>898.35657002969697</v>
      </c>
      <c r="EO79" s="59">
        <f ca="1">AVERAGE(OFFSET($EN$3,0,0,'Données projet'!$E$15+1,1))-AVERAGE(OFFSET($H$3,0,0,'Données projet'!$E$15+1,1))</f>
        <v>288.41846134875794</v>
      </c>
      <c r="EP79" s="59">
        <f t="shared" si="100"/>
        <v>248.93951719818972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69.233649110651513</v>
      </c>
      <c r="EW79" s="21">
        <f>EXP(-LN(2)/25)*EW78+(1-EXP(-LN(2)/25))/(LN(2)/25)*Calculateur!ER79*Calculateur!ET79*VLOOKUP('Données projet'!$B$15,Paramètres!$A$1:$I$89,3,0)*0.475*44/12</f>
        <v>7.8028318251397843</v>
      </c>
      <c r="EX79" s="21">
        <f>EXP(-LN(2)/2)*EX78+(1-EXP(-LN(2)/2))/(LN(2)/2)*ER79*EU79*VLOOKUP('Données projet'!$B$15,Paramètres!$A$1:$I$89,3,0)*0.475*44/12</f>
        <v>5.8012913987707643E-8</v>
      </c>
      <c r="EY79" s="22">
        <f t="shared" si="75"/>
        <v>77.036480993804219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7.4</v>
      </c>
      <c r="FE79" s="12">
        <f>IF('Données projet'!$A$218&gt;35,FE78+FD79-FM78,IF(A79&lt;'Données projet'!$A$218,$FB$205^A79,IF(A79='Données projet'!$A$218,'Données projet'!$B$218,FE78+FD79-FM78)))</f>
        <v>780.40000000000055</v>
      </c>
      <c r="FF79" s="17">
        <f>FE79*VLOOKUP('Données projet'!$B$16,Paramètres!$A$1:$I$89,3,0)*VLOOKUP('Données projet'!$B$16,Paramètres!$A$1:$I$89,5,0)</f>
        <v>355.08200000000022</v>
      </c>
      <c r="FG79" s="13">
        <f t="shared" si="101"/>
        <v>82.608068253213588</v>
      </c>
      <c r="FH79" s="20">
        <f t="shared" si="76"/>
        <v>762.31020220768062</v>
      </c>
      <c r="FI79" s="59">
        <f t="shared" si="77"/>
        <v>1055.643535541014</v>
      </c>
      <c r="FJ79" s="59">
        <f ca="1">AVERAGE(OFFSET($FI$3,0,0,'Données projet'!$E$16+1,1))-AVERAGE(OFFSET($H$3,0,0,'Données projet'!$E$16+1,1))</f>
        <v>367.36535411813264</v>
      </c>
      <c r="FK79" s="59">
        <f t="shared" si="102"/>
        <v>293.19545174980556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87.436259758261158</v>
      </c>
      <c r="FR79" s="21">
        <f>EXP(-LN(2)/25)*FR78+(1-EXP(-LN(2)/25))/(LN(2)/25)*Calculateur!FM79*Calculateur!FO79*VLOOKUP('Données projet'!$B$16,Paramètres!$A$1:$I$89,3,0)*0.475*44/12</f>
        <v>12.09376108163775</v>
      </c>
      <c r="FS79" s="21">
        <f>EXP(-LN(2)/2)*FS78+(1-EXP(-LN(2)/2))/(LN(2)/2)*FM79*FP79*VLOOKUP('Données projet'!$B$16,Paramètres!$A$1:$I$89,3,0)*0.475*44/12</f>
        <v>8.6361379518562517E-8</v>
      </c>
      <c r="FT79" s="22">
        <f t="shared" si="78"/>
        <v>99.530020926260292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14.4</v>
      </c>
      <c r="FZ79" s="12">
        <f>IF('Données projet'!$A$244&gt;35,FZ78+FY79-GH78,IF(A79&lt;'Données projet'!$A$244,$FW$205^A79,IF(A79='Données projet'!$A$244,'Données projet'!$B$244,FZ78+FY79-GH78)))</f>
        <v>653.4</v>
      </c>
      <c r="GA79" s="17">
        <f>FZ79*VLOOKUP('Données projet'!$B$17,Paramètres!$A$1:$I$89,3,0)*VLOOKUP('Données projet'!$B$17,Paramètres!$A$1:$I$89,5,0)</f>
        <v>314.28539999999998</v>
      </c>
      <c r="GB79" s="13">
        <f t="shared" si="103"/>
        <v>74.163075891551358</v>
      </c>
      <c r="GC79" s="20">
        <f t="shared" si="79"/>
        <v>676.5477621777851</v>
      </c>
      <c r="GD79" s="59">
        <f t="shared" si="80"/>
        <v>969.88109551111847</v>
      </c>
      <c r="GE79" s="59">
        <f ca="1">AVERAGE(OFFSET($GD$3,0,0,'Données projet'!$E$17+1,1))-AVERAGE(OFFSET($H$3,0,0,'Données projet'!$E$17+1,1))</f>
        <v>312.64506496298173</v>
      </c>
      <c r="GF79" s="59">
        <f t="shared" si="104"/>
        <v>259.97532509897508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107.03850979932257</v>
      </c>
      <c r="GM79" s="21">
        <f>EXP(-LN(2)/25)*GM78+(1-EXP(-LN(2)/25))/(LN(2)/25)*Calculateur!GH79*Calculateur!GJ79*VLOOKUP('Données projet'!$B$17,Paramètres!$A$1:$I$89,3,0)*0.475*44/12</f>
        <v>5.4678374995294572</v>
      </c>
      <c r="GN79" s="21">
        <f>EXP(-LN(2)/2)*GN78+(1-EXP(-LN(2)/2))/(LN(2)/2)*GH79*GK79*VLOOKUP('Données projet'!$B$17,Paramètres!$A$1:$I$89,3,0)*0.475*44/12</f>
        <v>4.5906662244315855E-7</v>
      </c>
      <c r="GO79" s="21">
        <f t="shared" si="81"/>
        <v>112.50634775791865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6</v>
      </c>
      <c r="GU79" s="12">
        <f>IF('Données projet'!$A$270&gt;35,GU78+GT79-HC78,IF(A79&lt;'Données projet'!$A$270,$GR$205^A79,IF(A79='Données projet'!$A$270,'Données projet'!$B$270,GU78+GT79-HC78)))</f>
        <v>236.99999999999989</v>
      </c>
      <c r="GV79" s="17">
        <f>GU79*VLOOKUP('Données projet'!$B$18,Paramètres!$A$1:$I$89,3,0)*VLOOKUP('Données projet'!$B$18,Paramètres!$A$1:$I$89,5,0)</f>
        <v>240.3179999999999</v>
      </c>
      <c r="GW79" s="13">
        <f t="shared" si="105"/>
        <v>58.507944457766484</v>
      </c>
      <c r="GX79" s="20">
        <f t="shared" si="82"/>
        <v>520.45518659727634</v>
      </c>
      <c r="GY79" s="59">
        <f t="shared" si="83"/>
        <v>813.78851993060971</v>
      </c>
      <c r="GZ79" s="59">
        <f ca="1">AVERAGE(OFFSET($GY$3,0,0,'Données projet'!$E$18+1,1))-AVERAGE(OFFSET($H$3,0,0,'Données projet'!$E$18+1,1))</f>
        <v>308.80022073574963</v>
      </c>
      <c r="HA79" s="59">
        <f t="shared" si="106"/>
        <v>183.96267407004115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62.086593478333072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62.086593478333072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344.49457749226184</v>
      </c>
      <c r="T80" s="59">
        <f t="shared" si="88"/>
        <v>207.92972431357452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178.2</v>
      </c>
      <c r="AJ80" s="13">
        <f>AI80*VLOOKUP('Données projet'!$B$10,Paramètres!$A$1:$I$89,3,0)*VLOOKUP('Données projet'!$B$10,Paramètres!$A$1:$I$89,5,0)</f>
        <v>161.23535999999999</v>
      </c>
      <c r="AK80" s="13">
        <f t="shared" si="89"/>
        <v>41.121029451505414</v>
      </c>
      <c r="AL80" s="20">
        <f t="shared" si="58"/>
        <v>352.43737829470524</v>
      </c>
      <c r="AM80" s="59">
        <f t="shared" si="59"/>
        <v>645.7707116280385</v>
      </c>
      <c r="AN80" s="59">
        <f ca="1">AVERAGE(OFFSET($AM$3,0,0,'Données projet'!$E$10+1,1))-AVERAGE(OFFSET($H$3,0,0,'Données projet'!$E$10+1,1))</f>
        <v>183.0147113277086</v>
      </c>
      <c r="AO80" s="59">
        <f t="shared" si="90"/>
        <v>76.413905647258389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36.022107306014398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36.022107306014398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253.95551999999998</v>
      </c>
      <c r="BF80" s="13">
        <f t="shared" si="91"/>
        <v>61.432180511879253</v>
      </c>
      <c r="BG80" s="20">
        <f t="shared" si="61"/>
        <v>549.30024505818972</v>
      </c>
      <c r="BH80" s="59">
        <f t="shared" si="62"/>
        <v>842.63357839152309</v>
      </c>
      <c r="BI80" s="59">
        <f ca="1">AVERAGE(OFFSET($BH$3,0,0,'Données projet'!$E$11+1,1))-AVERAGE(OFFSET($H$3,0,0,'Données projet'!$E$11+1,1))</f>
        <v>279.49721661620544</v>
      </c>
      <c r="BJ80" s="59">
        <f t="shared" si="92"/>
        <v>275.18739333988754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50.981396667495119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50.981396667495119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225.2323446080772</v>
      </c>
      <c r="CE80" s="59">
        <f t="shared" si="94"/>
        <v>222.29030402759292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42.08520938047613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42.08520938047613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227.98151999999999</v>
      </c>
      <c r="CV80" s="13">
        <f t="shared" si="95"/>
        <v>55.846015312851193</v>
      </c>
      <c r="CW80" s="20">
        <f t="shared" si="67"/>
        <v>494.3329573365491</v>
      </c>
      <c r="CX80" s="59">
        <f t="shared" si="68"/>
        <v>787.66629066988241</v>
      </c>
      <c r="CY80" s="59">
        <f ca="1">AVERAGE(OFFSET($CX$3,0,0,'Données projet'!$E$13+1,1))-AVERAGE(OFFSET($H$3,0,0,'Données projet'!$E$13+1,1))</f>
        <v>240.57184010337932</v>
      </c>
      <c r="CZ80" s="59">
        <f t="shared" si="96"/>
        <v>236.36473521227072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35.787413351379996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35.787413351379996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13.2</v>
      </c>
      <c r="DO80" s="12">
        <f>IF('Données projet'!$A$166&gt;35,DO79+DN80-DW79,IF(A80&lt;'Données projet'!$A$166,$DL$205^A80,IF(A80='Données projet'!$A$166,'Données projet'!$B$166,DO79+DN80-DW79)))</f>
        <v>668.39999999999964</v>
      </c>
      <c r="DP80" s="17">
        <f>DO80*VLOOKUP('Données projet'!$B$14,Paramètres!$A$1:$I$89,3,0)*VLOOKUP('Données projet'!$B$14,Paramètres!$A$1:$I$89,5,0)</f>
        <v>312.81119999999981</v>
      </c>
      <c r="DQ80" s="13">
        <f t="shared" si="97"/>
        <v>73.855611806611066</v>
      </c>
      <c r="DR80" s="20">
        <f t="shared" si="70"/>
        <v>673.44469722984729</v>
      </c>
      <c r="DS80" s="59">
        <f t="shared" si="71"/>
        <v>966.77803056318066</v>
      </c>
      <c r="DT80" s="59">
        <f ca="1">AVERAGE(OFFSET($DS$3,0,0,'Données projet'!$E$14+1,1))-AVERAGE(OFFSET($H$3,0,0,'Données projet'!$E$14+1,1))</f>
        <v>304.29617570272939</v>
      </c>
      <c r="DU80" s="59">
        <f t="shared" si="98"/>
        <v>246.20695736161576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91.931836033083854</v>
      </c>
      <c r="EB80" s="21">
        <f>EXP(-LN(2)/25)*EB79+(1-EXP(-LN(2)/25))/(LN(2)/25)*Calculateur!DW80*Calculateur!DY80*VLOOKUP('Données projet'!$B$14,Paramètres!$A$1:$I$89,3,0)*0.475*44/12</f>
        <v>11.118613336401385</v>
      </c>
      <c r="EC80" s="21">
        <f>EXP(-LN(2)/2)*EC79+(1-EXP(-LN(2)/2))/(LN(2)/2)*DW80*DZ80*VLOOKUP('Données projet'!$B$14,Paramètres!$A$1:$I$89,3,0)*0.475*44/12</f>
        <v>3.3162769735128137E-7</v>
      </c>
      <c r="ED80" s="22">
        <f t="shared" si="72"/>
        <v>103.05044970111294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7.8</v>
      </c>
      <c r="EJ80" s="12">
        <f>IF('Données projet'!$A$192&gt;35,EJ79+EI80-ER79,IF(A80&lt;'Données projet'!$A$192,$EG$205^A80,IF(A80='Données projet'!$A$192,'Données projet'!$B$192,EJ79+EI80-ER79)))</f>
        <v>476.59999999999957</v>
      </c>
      <c r="EK80" s="17">
        <f>EJ80*VLOOKUP('Données projet'!$B$15,Paramètres!$A$1:$I$89,3,0)*VLOOKUP('Données projet'!$B$15,Paramètres!$A$1:$I$89,5,0)</f>
        <v>285.00679999999977</v>
      </c>
      <c r="EL80" s="13">
        <f t="shared" si="99"/>
        <v>68.023995764577421</v>
      </c>
      <c r="EM80" s="20">
        <f t="shared" si="73"/>
        <v>614.86196928997185</v>
      </c>
      <c r="EN80" s="59">
        <f t="shared" si="74"/>
        <v>908.19530262330522</v>
      </c>
      <c r="EO80" s="59">
        <f ca="1">AVERAGE(OFFSET($EN$3,0,0,'Données projet'!$E$15+1,1))-AVERAGE(OFFSET($H$3,0,0,'Données projet'!$E$15+1,1))</f>
        <v>288.41846134875794</v>
      </c>
      <c r="EP80" s="59">
        <f t="shared" si="100"/>
        <v>248.93951719818972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67.876019479947885</v>
      </c>
      <c r="EW80" s="21">
        <f>EXP(-LN(2)/25)*EW79+(1-EXP(-LN(2)/25))/(LN(2)/25)*Calculateur!ER80*Calculateur!ET80*VLOOKUP('Données projet'!$B$15,Paramètres!$A$1:$I$89,3,0)*0.475*44/12</f>
        <v>7.5894629785482453</v>
      </c>
      <c r="EX80" s="21">
        <f>EXP(-LN(2)/2)*EX79+(1-EXP(-LN(2)/2))/(LN(2)/2)*ER80*EU80*VLOOKUP('Données projet'!$B$15,Paramètres!$A$1:$I$89,3,0)*0.475*44/12</f>
        <v>4.1021324877099994E-8</v>
      </c>
      <c r="EY80" s="22">
        <f t="shared" si="75"/>
        <v>75.465482499517449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7.4</v>
      </c>
      <c r="FE80" s="12">
        <f>IF('Données projet'!$A$218&gt;35,FE79+FD80-FM79,IF(A80&lt;'Données projet'!$A$218,$FB$205^A80,IF(A80='Données projet'!$A$218,'Données projet'!$B$218,FE79+FD80-FM79)))</f>
        <v>787.80000000000052</v>
      </c>
      <c r="FF80" s="17">
        <f>FE80*VLOOKUP('Données projet'!$B$16,Paramètres!$A$1:$I$89,3,0)*VLOOKUP('Données projet'!$B$16,Paramètres!$A$1:$I$89,5,0)</f>
        <v>358.44900000000024</v>
      </c>
      <c r="FG80" s="13">
        <f t="shared" si="101"/>
        <v>83.299825526497514</v>
      </c>
      <c r="FH80" s="20">
        <f t="shared" si="76"/>
        <v>769.37920445865018</v>
      </c>
      <c r="FI80" s="59">
        <f t="shared" si="77"/>
        <v>1062.7125377919836</v>
      </c>
      <c r="FJ80" s="59">
        <f ca="1">AVERAGE(OFFSET($FI$3,0,0,'Données projet'!$E$16+1,1))-AVERAGE(OFFSET($H$3,0,0,'Données projet'!$E$16+1,1))</f>
        <v>367.36535411813264</v>
      </c>
      <c r="FK80" s="59">
        <f t="shared" si="102"/>
        <v>293.19545174980556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85.721688035254132</v>
      </c>
      <c r="FR80" s="21">
        <f>EXP(-LN(2)/25)*FR79+(1-EXP(-LN(2)/25))/(LN(2)/25)*Calculateur!FM80*Calculateur!FO80*VLOOKUP('Données projet'!$B$16,Paramètres!$A$1:$I$89,3,0)*0.475*44/12</f>
        <v>11.763056548877111</v>
      </c>
      <c r="FS80" s="21">
        <f>EXP(-LN(2)/2)*FS79+(1-EXP(-LN(2)/2))/(LN(2)/2)*FM80*FP80*VLOOKUP('Données projet'!$B$16,Paramètres!$A$1:$I$89,3,0)*0.475*44/12</f>
        <v>6.1066717090200571E-8</v>
      </c>
      <c r="FT80" s="22">
        <f t="shared" si="78"/>
        <v>97.484744645197964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14.4</v>
      </c>
      <c r="FZ80" s="12">
        <f>IF('Données projet'!$A$244&gt;35,FZ79+FY80-GH79,IF(A80&lt;'Données projet'!$A$244,$FW$205^A80,IF(A80='Données projet'!$A$244,'Données projet'!$B$244,FZ79+FY80-GH79)))</f>
        <v>667.8</v>
      </c>
      <c r="GA80" s="17">
        <f>FZ80*VLOOKUP('Données projet'!$B$17,Paramètres!$A$1:$I$89,3,0)*VLOOKUP('Données projet'!$B$17,Paramètres!$A$1:$I$89,5,0)</f>
        <v>321.21179999999998</v>
      </c>
      <c r="GB80" s="13">
        <f t="shared" si="103"/>
        <v>75.605436727468515</v>
      </c>
      <c r="GC80" s="20">
        <f t="shared" si="79"/>
        <v>691.12335396700757</v>
      </c>
      <c r="GD80" s="59">
        <f t="shared" si="80"/>
        <v>984.45668730034095</v>
      </c>
      <c r="GE80" s="59">
        <f ca="1">AVERAGE(OFFSET($GD$3,0,0,'Données projet'!$E$17+1,1))-AVERAGE(OFFSET($H$3,0,0,'Données projet'!$E$17+1,1))</f>
        <v>312.64506496298173</v>
      </c>
      <c r="GF80" s="59">
        <f t="shared" si="104"/>
        <v>259.97532509897508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104.93954990920227</v>
      </c>
      <c r="GM80" s="21">
        <f>EXP(-LN(2)/25)*GM79+(1-EXP(-LN(2)/25))/(LN(2)/25)*Calculateur!GH80*Calculateur!GJ80*VLOOKUP('Données projet'!$B$17,Paramètres!$A$1:$I$89,3,0)*0.475*44/12</f>
        <v>5.3183191955637472</v>
      </c>
      <c r="GN80" s="21">
        <f>EXP(-LN(2)/2)*GN79+(1-EXP(-LN(2)/2))/(LN(2)/2)*GH80*GK80*VLOOKUP('Données projet'!$B$17,Paramètres!$A$1:$I$89,3,0)*0.475*44/12</f>
        <v>3.2460912174596194E-7</v>
      </c>
      <c r="GO80" s="21">
        <f t="shared" si="81"/>
        <v>110.25786942937513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6</v>
      </c>
      <c r="GU80" s="12">
        <f>IF('Données projet'!$A$270&gt;35,GU79+GT80-HC79,IF(A80&lt;'Données projet'!$A$270,$GR$205^A80,IF(A80='Données projet'!$A$270,'Données projet'!$B$270,GU79+GT80-HC79)))</f>
        <v>242.99999999999989</v>
      </c>
      <c r="GV80" s="17">
        <f>GU80*VLOOKUP('Données projet'!$B$18,Paramètres!$A$1:$I$89,3,0)*VLOOKUP('Données projet'!$B$18,Paramètres!$A$1:$I$89,5,0)</f>
        <v>246.4019999999999</v>
      </c>
      <c r="GW80" s="13">
        <f t="shared" si="105"/>
        <v>59.814834475385474</v>
      </c>
      <c r="GX80" s="20">
        <f t="shared" si="82"/>
        <v>533.32765337796286</v>
      </c>
      <c r="GY80" s="59">
        <f t="shared" si="83"/>
        <v>826.66098671129612</v>
      </c>
      <c r="GZ80" s="59">
        <f ca="1">AVERAGE(OFFSET($GY$3,0,0,'Données projet'!$E$18+1,1))-AVERAGE(OFFSET($H$3,0,0,'Données projet'!$E$18+1,1))</f>
        <v>308.80022073574963</v>
      </c>
      <c r="HA80" s="59">
        <f t="shared" si="106"/>
        <v>183.96267407004115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60.86911324930572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60.86911324930572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344.49457749226184</v>
      </c>
      <c r="T81" s="59">
        <f t="shared" si="88"/>
        <v>207.92972431357452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182.79999999999998</v>
      </c>
      <c r="AJ81" s="13">
        <f>AI81*VLOOKUP('Données projet'!$B$10,Paramètres!$A$1:$I$89,3,0)*VLOOKUP('Données projet'!$B$10,Paramètres!$A$1:$I$89,5,0)</f>
        <v>165.39743999999999</v>
      </c>
      <c r="AK81" s="13">
        <f t="shared" si="89"/>
        <v>42.057562385840804</v>
      </c>
      <c r="AL81" s="20">
        <f t="shared" si="58"/>
        <v>361.31746248867267</v>
      </c>
      <c r="AM81" s="59">
        <f t="shared" si="59"/>
        <v>654.65079582200599</v>
      </c>
      <c r="AN81" s="59">
        <f ca="1">AVERAGE(OFFSET($AM$3,0,0,'Données projet'!$E$10+1,1))-AVERAGE(OFFSET($H$3,0,0,'Données projet'!$E$10+1,1))</f>
        <v>183.0147113277086</v>
      </c>
      <c r="AO81" s="59">
        <f t="shared" si="90"/>
        <v>76.413905647258389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35.315735753059428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35.315735753059428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256.81968000000001</v>
      </c>
      <c r="BF81" s="13">
        <f t="shared" si="91"/>
        <v>62.043977430851903</v>
      </c>
      <c r="BG81" s="20">
        <f t="shared" si="61"/>
        <v>555.35420335873368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279.49721661620544</v>
      </c>
      <c r="BJ81" s="59">
        <f t="shared" si="92"/>
        <v>275.18739333988754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49.981682574427076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49.981682574427076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225.2323446080772</v>
      </c>
      <c r="CE81" s="59">
        <f t="shared" si="94"/>
        <v>222.29030402759292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41.259944093968066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41.259944093968066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230.56488000000002</v>
      </c>
      <c r="CV81" s="13">
        <f t="shared" si="95"/>
        <v>56.404804351341994</v>
      </c>
      <c r="CW81" s="20">
        <f t="shared" si="67"/>
        <v>499.80553357858736</v>
      </c>
      <c r="CX81" s="59">
        <f t="shared" si="68"/>
        <v>793.13886691192067</v>
      </c>
      <c r="CY81" s="59">
        <f ca="1">AVERAGE(OFFSET($CX$3,0,0,'Données projet'!$E$13+1,1))-AVERAGE(OFFSET($H$3,0,0,'Données projet'!$E$13+1,1))</f>
        <v>240.57184010337932</v>
      </c>
      <c r="CZ81" s="59">
        <f t="shared" si="96"/>
        <v>236.36473521227072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35.085644003726223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35.085644003726223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13.2</v>
      </c>
      <c r="DO81" s="12">
        <f>IF('Données projet'!$A$166&gt;35,DO80+DN81-DW80,IF(A81&lt;'Données projet'!$A$166,$DL$205^A81,IF(A81='Données projet'!$A$166,'Données projet'!$B$166,DO80+DN81-DW80)))</f>
        <v>681.59999999999968</v>
      </c>
      <c r="DP81" s="17">
        <f>DO81*VLOOKUP('Données projet'!$B$14,Paramètres!$A$1:$I$89,3,0)*VLOOKUP('Données projet'!$B$14,Paramètres!$A$1:$I$89,5,0)</f>
        <v>318.98879999999986</v>
      </c>
      <c r="DQ81" s="13">
        <f t="shared" si="97"/>
        <v>75.14291509658014</v>
      </c>
      <c r="DR81" s="20">
        <f t="shared" si="70"/>
        <v>686.44607045987686</v>
      </c>
      <c r="DS81" s="59">
        <f t="shared" si="71"/>
        <v>979.77940379321012</v>
      </c>
      <c r="DT81" s="59">
        <f ca="1">AVERAGE(OFFSET($DS$3,0,0,'Données projet'!$E$14+1,1))-AVERAGE(OFFSET($H$3,0,0,'Données projet'!$E$14+1,1))</f>
        <v>304.29617570272939</v>
      </c>
      <c r="DU81" s="59">
        <f t="shared" si="98"/>
        <v>246.20695736161576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90.129108801358328</v>
      </c>
      <c r="EB81" s="21">
        <f>EXP(-LN(2)/25)*EB80+(1-EXP(-LN(2)/25))/(LN(2)/25)*Calculateur!DW81*Calculateur!DY81*VLOOKUP('Données projet'!$B$14,Paramètres!$A$1:$I$89,3,0)*0.475*44/12</f>
        <v>10.814574270015026</v>
      </c>
      <c r="EC81" s="21">
        <f>EXP(-LN(2)/2)*EC80+(1-EXP(-LN(2)/2))/(LN(2)/2)*DW81*DZ81*VLOOKUP('Données projet'!$B$14,Paramètres!$A$1:$I$89,3,0)*0.475*44/12</f>
        <v>2.3449619362637115E-7</v>
      </c>
      <c r="ED81" s="22">
        <f t="shared" si="72"/>
        <v>100.94368330586956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7.8</v>
      </c>
      <c r="EJ81" s="12">
        <f>IF('Données projet'!$A$192&gt;35,EJ80+EI81-ER80,IF(A81&lt;'Données projet'!$A$192,$EG$205^A81,IF(A81='Données projet'!$A$192,'Données projet'!$B$192,EJ80+EI81-ER80)))</f>
        <v>484.39999999999958</v>
      </c>
      <c r="EK81" s="17">
        <f>EJ81*VLOOKUP('Données projet'!$B$15,Paramètres!$A$1:$I$89,3,0)*VLOOKUP('Données projet'!$B$15,Paramètres!$A$1:$I$89,5,0)</f>
        <v>289.67119999999977</v>
      </c>
      <c r="EL81" s="13">
        <f t="shared" si="99"/>
        <v>69.006754809916544</v>
      </c>
      <c r="EM81" s="20">
        <f t="shared" si="73"/>
        <v>624.69743796060413</v>
      </c>
      <c r="EN81" s="59">
        <f t="shared" si="74"/>
        <v>918.03077129393751</v>
      </c>
      <c r="EO81" s="59">
        <f ca="1">AVERAGE(OFFSET($EN$3,0,0,'Données projet'!$E$15+1,1))-AVERAGE(OFFSET($H$3,0,0,'Données projet'!$E$15+1,1))</f>
        <v>288.41846134875794</v>
      </c>
      <c r="EP81" s="59">
        <f t="shared" si="100"/>
        <v>248.93951719818972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66.545012138230049</v>
      </c>
      <c r="EW81" s="21">
        <f>EXP(-LN(2)/25)*EW80+(1-EXP(-LN(2)/25))/(LN(2)/25)*Calculateur!ER81*Calculateur!ET81*VLOOKUP('Données projet'!$B$15,Paramètres!$A$1:$I$89,3,0)*0.475*44/12</f>
        <v>7.3819287142873318</v>
      </c>
      <c r="EX81" s="21">
        <f>EXP(-LN(2)/2)*EX80+(1-EXP(-LN(2)/2))/(LN(2)/2)*ER81*EU81*VLOOKUP('Données projet'!$B$15,Paramètres!$A$1:$I$89,3,0)*0.475*44/12</f>
        <v>2.9006456993853825E-8</v>
      </c>
      <c r="EY81" s="22">
        <f t="shared" si="75"/>
        <v>73.926940881523834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7.4</v>
      </c>
      <c r="FE81" s="12">
        <f>IF('Données projet'!$A$218&gt;35,FE80+FD81-FM80,IF(A81&lt;'Données projet'!$A$218,$FB$205^A81,IF(A81='Données projet'!$A$218,'Données projet'!$B$218,FE80+FD81-FM80)))</f>
        <v>795.2000000000005</v>
      </c>
      <c r="FF81" s="17">
        <f>FE81*VLOOKUP('Données projet'!$B$16,Paramètres!$A$1:$I$89,3,0)*VLOOKUP('Données projet'!$B$16,Paramètres!$A$1:$I$89,5,0)</f>
        <v>361.8160000000002</v>
      </c>
      <c r="FG81" s="13">
        <f t="shared" si="101"/>
        <v>83.990826851975385</v>
      </c>
      <c r="FH81" s="20">
        <f t="shared" si="76"/>
        <v>776.446890100524</v>
      </c>
      <c r="FI81" s="59">
        <f t="shared" si="77"/>
        <v>1069.7802234338574</v>
      </c>
      <c r="FJ81" s="59">
        <f ca="1">AVERAGE(OFFSET($FI$3,0,0,'Données projet'!$E$16+1,1))-AVERAGE(OFFSET($H$3,0,0,'Données projet'!$E$16+1,1))</f>
        <v>367.36535411813264</v>
      </c>
      <c r="FK81" s="59">
        <f t="shared" si="102"/>
        <v>293.19545174980556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84.040738017949778</v>
      </c>
      <c r="FR81" s="21">
        <f>EXP(-LN(2)/25)*FR80+(1-EXP(-LN(2)/25))/(LN(2)/25)*Calculateur!FM81*Calculateur!FO81*VLOOKUP('Données projet'!$B$16,Paramètres!$A$1:$I$89,3,0)*0.475*44/12</f>
        <v>11.441395148955808</v>
      </c>
      <c r="FS81" s="21">
        <f>EXP(-LN(2)/2)*FS80+(1-EXP(-LN(2)/2))/(LN(2)/2)*FM81*FP81*VLOOKUP('Données projet'!$B$16,Paramètres!$A$1:$I$89,3,0)*0.475*44/12</f>
        <v>4.3180689759281259E-8</v>
      </c>
      <c r="FT81" s="22">
        <f t="shared" si="78"/>
        <v>95.482133210086275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14.4</v>
      </c>
      <c r="FZ81" s="12">
        <f>IF('Données projet'!$A$244&gt;35,FZ80+FY81-GH80,IF(A81&lt;'Données projet'!$A$244,$FW$205^A81,IF(A81='Données projet'!$A$244,'Données projet'!$B$244,FZ80+FY81-GH80)))</f>
        <v>682.19999999999993</v>
      </c>
      <c r="GA81" s="17">
        <f>FZ81*VLOOKUP('Données projet'!$B$17,Paramètres!$A$1:$I$89,3,0)*VLOOKUP('Données projet'!$B$17,Paramètres!$A$1:$I$89,5,0)</f>
        <v>328.13819999999998</v>
      </c>
      <c r="GB81" s="13">
        <f t="shared" si="103"/>
        <v>77.044181519976746</v>
      </c>
      <c r="GC81" s="20">
        <f t="shared" si="79"/>
        <v>705.69264781395941</v>
      </c>
      <c r="GD81" s="59">
        <f t="shared" si="80"/>
        <v>999.02598114729267</v>
      </c>
      <c r="GE81" s="59">
        <f ca="1">AVERAGE(OFFSET($GD$3,0,0,'Données projet'!$E$17+1,1))-AVERAGE(OFFSET($H$3,0,0,'Données projet'!$E$17+1,1))</f>
        <v>312.64506496298173</v>
      </c>
      <c r="GF81" s="59">
        <f t="shared" si="104"/>
        <v>259.97532509897508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102.88174934228812</v>
      </c>
      <c r="GM81" s="21">
        <f>EXP(-LN(2)/25)*GM80+(1-EXP(-LN(2)/25))/(LN(2)/25)*Calculateur!GH81*Calculateur!GJ81*VLOOKUP('Données projet'!$B$17,Paramètres!$A$1:$I$89,3,0)*0.475*44/12</f>
        <v>5.1728894774828049</v>
      </c>
      <c r="GN81" s="21">
        <f>EXP(-LN(2)/2)*GN80+(1-EXP(-LN(2)/2))/(LN(2)/2)*GH81*GK81*VLOOKUP('Données projet'!$B$17,Paramètres!$A$1:$I$89,3,0)*0.475*44/12</f>
        <v>2.2953331122157928E-7</v>
      </c>
      <c r="GO81" s="21">
        <f t="shared" si="81"/>
        <v>108.05463904930424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6</v>
      </c>
      <c r="GU81" s="12">
        <f>IF('Données projet'!$A$270&gt;35,GU80+GT81-HC80,IF(A81&lt;'Données projet'!$A$270,$GR$205^A81,IF(A81='Données projet'!$A$270,'Données projet'!$B$270,GU80+GT81-HC80)))</f>
        <v>248.99999999999989</v>
      </c>
      <c r="GV81" s="17">
        <f>GU81*VLOOKUP('Données projet'!$B$18,Paramètres!$A$1:$I$89,3,0)*VLOOKUP('Données projet'!$B$18,Paramètres!$A$1:$I$89,5,0)</f>
        <v>252.4859999999999</v>
      </c>
      <c r="GW81" s="13">
        <f t="shared" si="105"/>
        <v>61.117973383957384</v>
      </c>
      <c r="GX81" s="20">
        <f t="shared" si="82"/>
        <v>546.193586977059</v>
      </c>
      <c r="GY81" s="59">
        <f t="shared" si="83"/>
        <v>839.52692031039237</v>
      </c>
      <c r="GZ81" s="59">
        <f ca="1">AVERAGE(OFFSET($GY$3,0,0,'Données projet'!$E$18+1,1))-AVERAGE(OFFSET($H$3,0,0,'Données projet'!$E$18+1,1))</f>
        <v>308.80022073574963</v>
      </c>
      <c r="HA81" s="59">
        <f t="shared" si="106"/>
        <v>183.96267407004115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59.675507064979982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59.675507064979982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344.49457749226184</v>
      </c>
      <c r="T82" s="59">
        <f t="shared" si="88"/>
        <v>207.92972431357452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187.39999999999998</v>
      </c>
      <c r="AJ82" s="13">
        <f>AI82*VLOOKUP('Données projet'!$B$10,Paramètres!$A$1:$I$89,3,0)*VLOOKUP('Données projet'!$B$10,Paramètres!$A$1:$I$89,5,0)</f>
        <v>169.55951999999996</v>
      </c>
      <c r="AK82" s="13">
        <f t="shared" si="89"/>
        <v>42.991355826984922</v>
      </c>
      <c r="AL82" s="20">
        <f t="shared" si="58"/>
        <v>370.19277539866533</v>
      </c>
      <c r="AM82" s="59">
        <f t="shared" si="59"/>
        <v>663.52610873199865</v>
      </c>
      <c r="AN82" s="59">
        <f ca="1">AVERAGE(OFFSET($AM$3,0,0,'Données projet'!$E$10+1,1))-AVERAGE(OFFSET($H$3,0,0,'Données projet'!$E$10+1,1))</f>
        <v>183.0147113277086</v>
      </c>
      <c r="AO82" s="59">
        <f t="shared" si="90"/>
        <v>76.413905647258389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34.623215715413799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34.623215715413799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259.68384000000003</v>
      </c>
      <c r="BF82" s="13">
        <f t="shared" si="91"/>
        <v>62.654980648867358</v>
      </c>
      <c r="BG82" s="20">
        <f t="shared" si="61"/>
        <v>561.40677929677736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279.49721661620544</v>
      </c>
      <c r="BJ82" s="59">
        <f t="shared" si="92"/>
        <v>275.18739333988754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49.00157226495871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49.00157226495871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225.2323446080772</v>
      </c>
      <c r="CE82" s="59">
        <f t="shared" si="94"/>
        <v>222.29030402759292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40.450861756366308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40.450861756366308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233.14824000000002</v>
      </c>
      <c r="CV82" s="13">
        <f t="shared" si="95"/>
        <v>56.962865075141238</v>
      </c>
      <c r="CW82" s="20">
        <f t="shared" si="67"/>
        <v>505.2768413392044</v>
      </c>
      <c r="CX82" s="59">
        <f t="shared" si="68"/>
        <v>798.61017467253771</v>
      </c>
      <c r="CY82" s="59">
        <f ca="1">AVERAGE(OFFSET($CX$3,0,0,'Données projet'!$E$13+1,1))-AVERAGE(OFFSET($H$3,0,0,'Données projet'!$E$13+1,1))</f>
        <v>240.57184010337932</v>
      </c>
      <c r="CZ82" s="59">
        <f t="shared" si="96"/>
        <v>236.36473521227072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34.397635924942904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34.397635924942904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13.2</v>
      </c>
      <c r="DO82" s="12">
        <f>IF('Données projet'!$A$166&gt;35,DO81+DN82-DW81,IF(A82&lt;'Données projet'!$A$166,$DL$205^A82,IF(A82='Données projet'!$A$166,'Données projet'!$B$166,DO81+DN82-DW81)))</f>
        <v>694.79999999999973</v>
      </c>
      <c r="DP82" s="17">
        <f>DO82*VLOOKUP('Données projet'!$B$14,Paramètres!$A$1:$I$89,3,0)*VLOOKUP('Données projet'!$B$14,Paramètres!$A$1:$I$89,5,0)</f>
        <v>325.1663999999999</v>
      </c>
      <c r="DQ82" s="13">
        <f t="shared" si="97"/>
        <v>76.427319591571475</v>
      </c>
      <c r="DR82" s="20">
        <f t="shared" si="70"/>
        <v>699.44239495532008</v>
      </c>
      <c r="DS82" s="59">
        <f t="shared" si="71"/>
        <v>992.77572828865345</v>
      </c>
      <c r="DT82" s="59">
        <f ca="1">AVERAGE(OFFSET($DS$3,0,0,'Données projet'!$E$14+1,1))-AVERAGE(OFFSET($H$3,0,0,'Données projet'!$E$14+1,1))</f>
        <v>304.29617570272939</v>
      </c>
      <c r="DU82" s="59">
        <f t="shared" si="98"/>
        <v>246.20695736161576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88.361731951091897</v>
      </c>
      <c r="EB82" s="21">
        <f>EXP(-LN(2)/25)*EB81+(1-EXP(-LN(2)/25))/(LN(2)/25)*Calculateur!DW82*Calculateur!DY82*VLOOKUP('Données projet'!$B$14,Paramètres!$A$1:$I$89,3,0)*0.475*44/12</f>
        <v>10.518849167887721</v>
      </c>
      <c r="EC82" s="21">
        <f>EXP(-LN(2)/2)*EC81+(1-EXP(-LN(2)/2))/(LN(2)/2)*DW82*DZ82*VLOOKUP('Données projet'!$B$14,Paramètres!$A$1:$I$89,3,0)*0.475*44/12</f>
        <v>1.6581384867564071E-7</v>
      </c>
      <c r="ED82" s="22">
        <f t="shared" si="72"/>
        <v>98.880581284793465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7.8</v>
      </c>
      <c r="EJ82" s="12">
        <f>IF('Données projet'!$A$192&gt;35,EJ81+EI82-ER81,IF(A82&lt;'Données projet'!$A$192,$EG$205^A82,IF(A82='Données projet'!$A$192,'Données projet'!$B$192,EJ81+EI82-ER81)))</f>
        <v>492.19999999999959</v>
      </c>
      <c r="EK82" s="17">
        <f>EJ82*VLOOKUP('Données projet'!$B$15,Paramètres!$A$1:$I$89,3,0)*VLOOKUP('Données projet'!$B$15,Paramètres!$A$1:$I$89,5,0)</f>
        <v>294.33559999999977</v>
      </c>
      <c r="EL82" s="13">
        <f t="shared" si="99"/>
        <v>69.987673492642799</v>
      </c>
      <c r="EM82" s="20">
        <f t="shared" si="73"/>
        <v>634.52970133301915</v>
      </c>
      <c r="EN82" s="59">
        <f t="shared" si="74"/>
        <v>927.86303466635241</v>
      </c>
      <c r="EO82" s="59">
        <f ca="1">AVERAGE(OFFSET($EN$3,0,0,'Données projet'!$E$15+1,1))-AVERAGE(OFFSET($H$3,0,0,'Données projet'!$E$15+1,1))</f>
        <v>288.41846134875794</v>
      </c>
      <c r="EP82" s="59">
        <f t="shared" si="100"/>
        <v>248.93951719818972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65.240105038648991</v>
      </c>
      <c r="EW82" s="21">
        <f>EXP(-LN(2)/25)*EW81+(1-EXP(-LN(2)/25))/(LN(2)/25)*Calculateur!ER82*Calculateur!ET82*VLOOKUP('Données projet'!$B$15,Paramètres!$A$1:$I$89,3,0)*0.475*44/12</f>
        <v>7.1800694853963849</v>
      </c>
      <c r="EX82" s="21">
        <f>EXP(-LN(2)/2)*EX81+(1-EXP(-LN(2)/2))/(LN(2)/2)*ER82*EU82*VLOOKUP('Données projet'!$B$15,Paramètres!$A$1:$I$89,3,0)*0.475*44/12</f>
        <v>2.051066243855E-8</v>
      </c>
      <c r="EY82" s="22">
        <f t="shared" si="75"/>
        <v>72.420174544556048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7.4</v>
      </c>
      <c r="FE82" s="12">
        <f>IF('Données projet'!$A$218&gt;35,FE81+FD82-FM81,IF(A82&lt;'Données projet'!$A$218,$FB$205^A82,IF(A82='Données projet'!$A$218,'Données projet'!$B$218,FE81+FD82-FM81)))</f>
        <v>802.60000000000048</v>
      </c>
      <c r="FF82" s="17">
        <f>FE82*VLOOKUP('Données projet'!$B$16,Paramètres!$A$1:$I$89,3,0)*VLOOKUP('Données projet'!$B$16,Paramètres!$A$1:$I$89,5,0)</f>
        <v>365.18300000000022</v>
      </c>
      <c r="FG82" s="13">
        <f t="shared" si="101"/>
        <v>84.681080079190579</v>
      </c>
      <c r="FH82" s="20">
        <f t="shared" si="76"/>
        <v>783.51327280459066</v>
      </c>
      <c r="FI82" s="59">
        <f t="shared" si="77"/>
        <v>1076.846606137924</v>
      </c>
      <c r="FJ82" s="59">
        <f ca="1">AVERAGE(OFFSET($FI$3,0,0,'Données projet'!$E$16+1,1))-AVERAGE(OFFSET($H$3,0,0,'Données projet'!$E$16+1,1))</f>
        <v>367.36535411813264</v>
      </c>
      <c r="FK82" s="59">
        <f t="shared" si="102"/>
        <v>293.19545174980556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82.392750405206485</v>
      </c>
      <c r="FR82" s="21">
        <f>EXP(-LN(2)/25)*FR81+(1-EXP(-LN(2)/25))/(LN(2)/25)*Calculateur!FM82*Calculateur!FO82*VLOOKUP('Données projet'!$B$16,Paramètres!$A$1:$I$89,3,0)*0.475*44/12</f>
        <v>11.12852959693079</v>
      </c>
      <c r="FS82" s="21">
        <f>EXP(-LN(2)/2)*FS81+(1-EXP(-LN(2)/2))/(LN(2)/2)*FM82*FP82*VLOOKUP('Données projet'!$B$16,Paramètres!$A$1:$I$89,3,0)*0.475*44/12</f>
        <v>3.0533358545100285E-8</v>
      </c>
      <c r="FT82" s="22">
        <f t="shared" si="78"/>
        <v>93.521280032670631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14.4</v>
      </c>
      <c r="FZ82" s="12">
        <f>IF('Données projet'!$A$244&gt;35,FZ81+FY82-GH81,IF(A82&lt;'Données projet'!$A$244,$FW$205^A82,IF(A82='Données projet'!$A$244,'Données projet'!$B$244,FZ81+FY82-GH81)))</f>
        <v>696.59999999999991</v>
      </c>
      <c r="GA82" s="17">
        <f>FZ82*VLOOKUP('Données projet'!$B$17,Paramètres!$A$1:$I$89,3,0)*VLOOKUP('Données projet'!$B$17,Paramètres!$A$1:$I$89,5,0)</f>
        <v>335.06459999999998</v>
      </c>
      <c r="GB82" s="13">
        <f t="shared" si="103"/>
        <v>78.479395389925372</v>
      </c>
      <c r="GC82" s="20">
        <f t="shared" si="79"/>
        <v>720.25579197078662</v>
      </c>
      <c r="GD82" s="59">
        <f t="shared" si="80"/>
        <v>1013.58912530412</v>
      </c>
      <c r="GE82" s="59">
        <f ca="1">AVERAGE(OFFSET($GD$3,0,0,'Données projet'!$E$17+1,1))-AVERAGE(OFFSET($H$3,0,0,'Données projet'!$E$17+1,1))</f>
        <v>312.64506496298173</v>
      </c>
      <c r="GF82" s="59">
        <f t="shared" si="104"/>
        <v>259.97532509897508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100.86430098935674</v>
      </c>
      <c r="GM82" s="21">
        <f>EXP(-LN(2)/25)*GM81+(1-EXP(-LN(2)/25))/(LN(2)/25)*Calculateur!GH82*Calculateur!GJ82*VLOOKUP('Données projet'!$B$17,Paramètres!$A$1:$I$89,3,0)*0.475*44/12</f>
        <v>5.0314365426906029</v>
      </c>
      <c r="GN82" s="21">
        <f>EXP(-LN(2)/2)*GN81+(1-EXP(-LN(2)/2))/(LN(2)/2)*GH82*GK82*VLOOKUP('Données projet'!$B$17,Paramètres!$A$1:$I$89,3,0)*0.475*44/12</f>
        <v>1.6230456087298097E-7</v>
      </c>
      <c r="GO82" s="21">
        <f t="shared" si="81"/>
        <v>105.89573769435189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6</v>
      </c>
      <c r="GU82" s="12">
        <f>IF('Données projet'!$A$270&gt;35,GU81+GT82-HC81,IF(A82&lt;'Données projet'!$A$270,$GR$205^A82,IF(A82='Données projet'!$A$270,'Données projet'!$B$270,GU81+GT82-HC81)))</f>
        <v>254.99999999999989</v>
      </c>
      <c r="GV82" s="17">
        <f>GU82*VLOOKUP('Données projet'!$B$18,Paramètres!$A$1:$I$89,3,0)*VLOOKUP('Données projet'!$B$18,Paramètres!$A$1:$I$89,5,0)</f>
        <v>258.56999999999994</v>
      </c>
      <c r="GW82" s="13">
        <f t="shared" si="105"/>
        <v>62.417461971173843</v>
      </c>
      <c r="GX82" s="20">
        <f t="shared" si="82"/>
        <v>559.05316293312762</v>
      </c>
      <c r="GY82" s="59">
        <f t="shared" si="83"/>
        <v>852.38649626646088</v>
      </c>
      <c r="GZ82" s="59">
        <f ca="1">AVERAGE(OFFSET($GY$3,0,0,'Données projet'!$E$18+1,1))-AVERAGE(OFFSET($H$3,0,0,'Données projet'!$E$18+1,1))</f>
        <v>308.80022073574963</v>
      </c>
      <c r="HA82" s="59">
        <f t="shared" si="106"/>
        <v>183.96267407004115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58.505306769900983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58.505306769900983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344.49457749226184</v>
      </c>
      <c r="T83" s="59">
        <f t="shared" si="88"/>
        <v>207.92972431357452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192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191.99999999999997</v>
      </c>
      <c r="AJ83" s="13">
        <f>AI83*VLOOKUP('Données projet'!$B$10,Paramètres!$A$1:$I$89,3,0)*VLOOKUP('Données projet'!$B$10,Paramètres!$A$1:$I$89,5,0)</f>
        <v>173.72159999999997</v>
      </c>
      <c r="AK83" s="13">
        <f t="shared" si="89"/>
        <v>43.922484755075111</v>
      </c>
      <c r="AL83" s="20">
        <f t="shared" si="58"/>
        <v>379.06344761508905</v>
      </c>
      <c r="AM83" s="59">
        <f t="shared" si="59"/>
        <v>672.39678094842236</v>
      </c>
      <c r="AN83" s="59">
        <f ca="1">AVERAGE(OFFSET($AM$3,0,0,'Données projet'!$E$10+1,1))-AVERAGE(OFFSET($H$3,0,0,'Données projet'!$E$10+1,1))</f>
        <v>183.0147113277086</v>
      </c>
      <c r="AO83" s="59">
        <f t="shared" si="90"/>
        <v>76.413905647258389</v>
      </c>
      <c r="AP83" s="15">
        <f>IF(ISNA(VLOOKUP(A83,'Données projet'!$A$61:$I$81,3,0)),0,VLOOKUP(A83,'Données projet'!$A$61:$I$81,3,0))</f>
        <v>10</v>
      </c>
      <c r="AQ83" s="15">
        <f>IF(ISNA(VLOOKUP(A83,'Données projet'!$A$61:$I$81,4,0)),0,VLOOKUP(A83,'Données projet'!$A$61:$I$81,4,0))</f>
        <v>14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39.965657761707391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39.965657761707391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279.49721661620544</v>
      </c>
      <c r="BJ83" s="59">
        <f t="shared" si="92"/>
        <v>275.18739333988754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53.168237644816656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53.168237644816656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225.2323446080772</v>
      </c>
      <c r="CE83" s="59">
        <f t="shared" si="94"/>
        <v>222.29030402759292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43.386776901888616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43.386776901888616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235.73160000000004</v>
      </c>
      <c r="CV83" s="13">
        <f t="shared" si="95"/>
        <v>57.520206488125268</v>
      </c>
      <c r="CW83" s="20">
        <f t="shared" si="67"/>
        <v>510.7468963001516</v>
      </c>
      <c r="CX83" s="59">
        <f t="shared" si="68"/>
        <v>804.08022963348492</v>
      </c>
      <c r="CY83" s="59">
        <f ca="1">AVERAGE(OFFSET($CX$3,0,0,'Données projet'!$E$13+1,1))-AVERAGE(OFFSET($H$3,0,0,'Données projet'!$E$13+1,1))</f>
        <v>240.57184010337932</v>
      </c>
      <c r="CZ83" s="59">
        <f t="shared" si="96"/>
        <v>236.36473521227072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6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36.793134321586543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36.793134321586543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708</v>
      </c>
      <c r="DM83" s="12">
        <f>VLOOKUP(A83,'Données projet'!$A$165:$I$185,9,0)</f>
        <v>13.2</v>
      </c>
      <c r="DN83" s="12">
        <f t="array" ref="DN83">INDEX(DM:DM,MIN(IF(ISNUMBER(DM83:DM279),ROW(DM83:DM279),"")))</f>
        <v>13.2</v>
      </c>
      <c r="DO83" s="12">
        <f>IF('Données projet'!$A$166&gt;35,DO82+DN83-DW82,IF(A83&lt;'Données projet'!$A$166,$DL$205^A83,IF(A83='Données projet'!$A$166,'Données projet'!$B$166,DO82+DN83-DW82)))</f>
        <v>707.99999999999977</v>
      </c>
      <c r="DP83" s="17">
        <f>DO83*VLOOKUP('Données projet'!$B$14,Paramètres!$A$1:$I$89,3,0)*VLOOKUP('Données projet'!$B$14,Paramètres!$A$1:$I$89,5,0)</f>
        <v>331.34399999999988</v>
      </c>
      <c r="DQ83" s="13">
        <f t="shared" si="97"/>
        <v>77.708886713597892</v>
      </c>
      <c r="DR83" s="20">
        <f t="shared" si="70"/>
        <v>712.4337776928495</v>
      </c>
      <c r="DS83" s="59">
        <f t="shared" si="71"/>
        <v>1005.7671110261829</v>
      </c>
      <c r="DT83" s="59">
        <f ca="1">AVERAGE(OFFSET($DS$3,0,0,'Données projet'!$E$14+1,1))-AVERAGE(OFFSET($H$3,0,0,'Données projet'!$E$14+1,1))</f>
        <v>304.29617570272939</v>
      </c>
      <c r="DU83" s="59">
        <f t="shared" si="98"/>
        <v>246.20695736161576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37</v>
      </c>
      <c r="DX83" s="16">
        <f>IF(ISNA(VLOOKUP(A83,'Données projet'!$A$165:$I$185,5,0)),0%,VLOOKUP(A83,'Données projet'!$A$165:$I$185,5,0)*VLOOKUP('Données projet'!$B$14,Paramètres!$A$1:$I$89,7,0))</f>
        <v>0.55000000000000004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99.262946843580849</v>
      </c>
      <c r="EB83" s="21">
        <f>EXP(-LN(2)/25)*EB82+(1-EXP(-LN(2)/25))/(LN(2)/25)*Calculateur!DW83*Calculateur!DY83*VLOOKUP('Données projet'!$B$14,Paramètres!$A$1:$I$89,3,0)*0.475*44/12</f>
        <v>10.231210684229595</v>
      </c>
      <c r="EC83" s="21">
        <f>EXP(-LN(2)/2)*EC82+(1-EXP(-LN(2)/2))/(LN(2)/2)*DW83*DZ83*VLOOKUP('Données projet'!$B$14,Paramètres!$A$1:$I$89,3,0)*0.475*44/12</f>
        <v>1.1724809681318559E-7</v>
      </c>
      <c r="ED83" s="22">
        <f t="shared" si="72"/>
        <v>109.49415764505854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500</v>
      </c>
      <c r="EH83" s="12">
        <f>VLOOKUP(A83,'Données projet'!$A$191:$I$211,9,0)</f>
        <v>7.8</v>
      </c>
      <c r="EI83" s="12">
        <f t="array" ref="EI83">INDEX(EH:EH,MIN(IF(ISNUMBER(EH83:EH279),ROW(EH83:EH279),"")))</f>
        <v>7.8</v>
      </c>
      <c r="EJ83" s="12">
        <f>IF('Données projet'!$A$192&gt;35,EJ82+EI83-ER82,IF(A83&lt;'Données projet'!$A$192,$EG$205^A83,IF(A83='Données projet'!$A$192,'Données projet'!$B$192,EJ82+EI83-ER82)))</f>
        <v>499.9999999999996</v>
      </c>
      <c r="EK83" s="17">
        <f>EJ83*VLOOKUP('Données projet'!$B$15,Paramètres!$A$1:$I$89,3,0)*VLOOKUP('Données projet'!$B$15,Paramètres!$A$1:$I$89,5,0)</f>
        <v>298.99999999999977</v>
      </c>
      <c r="EL83" s="13">
        <f t="shared" si="99"/>
        <v>70.966784344875038</v>
      </c>
      <c r="EM83" s="20">
        <f t="shared" si="73"/>
        <v>644.35881606732357</v>
      </c>
      <c r="EN83" s="59">
        <f t="shared" si="74"/>
        <v>937.69214940065694</v>
      </c>
      <c r="EO83" s="59">
        <f ca="1">AVERAGE(OFFSET($EN$3,0,0,'Données projet'!$E$15+1,1))-AVERAGE(OFFSET($H$3,0,0,'Données projet'!$E$15+1,1))</f>
        <v>288.41846134875794</v>
      </c>
      <c r="EP83" s="59">
        <f t="shared" si="100"/>
        <v>248.93951719818972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22</v>
      </c>
      <c r="ES83" s="16">
        <f>IF(ISNA(VLOOKUP(A83,'Données projet'!$A$191:$I$211,5,0)),0%,VLOOKUP(A83,'Données projet'!$A$191:$I$211,5,0)*VLOOKUP('Données projet'!$B$15,Paramètres!$A$1:$I$89,7,0))</f>
        <v>0.45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71.814313260469135</v>
      </c>
      <c r="EW83" s="21">
        <f>EXP(-LN(2)/25)*EW82+(1-EXP(-LN(2)/25))/(LN(2)/25)*Calculateur!ER83*Calculateur!ET83*VLOOKUP('Données projet'!$B$15,Paramètres!$A$1:$I$89,3,0)*0.475*44/12</f>
        <v>6.9837301077347771</v>
      </c>
      <c r="EX83" s="21">
        <f>EXP(-LN(2)/2)*EX82+(1-EXP(-LN(2)/2))/(LN(2)/2)*ER83*EU83*VLOOKUP('Données projet'!$B$15,Paramètres!$A$1:$I$89,3,0)*0.475*44/12</f>
        <v>1.4503228496926916E-8</v>
      </c>
      <c r="EY83" s="22">
        <f t="shared" si="75"/>
        <v>78.798043382707135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810</v>
      </c>
      <c r="FC83" s="12">
        <f>VLOOKUP(A83,'Données projet'!$A$217:$I$237,9,0)</f>
        <v>7.4</v>
      </c>
      <c r="FD83" s="12">
        <f t="array" ref="FD83">INDEX(FC:FC,MIN(IF(ISNUMBER(FC83:FC279),ROW(FC83:FC279),"")))</f>
        <v>7.4</v>
      </c>
      <c r="FE83" s="12">
        <f>IF('Données projet'!$A$218&gt;35,FE82+FD83-FM82,IF(A83&lt;'Données projet'!$A$218,$FB$205^A83,IF(A83='Données projet'!$A$218,'Données projet'!$B$218,FE82+FD83-FM82)))</f>
        <v>810.00000000000045</v>
      </c>
      <c r="FF83" s="17">
        <f>FE83*VLOOKUP('Données projet'!$B$16,Paramètres!$A$1:$I$89,3,0)*VLOOKUP('Données projet'!$B$16,Paramètres!$A$1:$I$89,5,0)</f>
        <v>368.55000000000018</v>
      </c>
      <c r="FG83" s="13">
        <f t="shared" si="101"/>
        <v>85.370592904591547</v>
      </c>
      <c r="FH83" s="20">
        <f t="shared" si="76"/>
        <v>790.57836597549715</v>
      </c>
      <c r="FI83" s="59">
        <f t="shared" si="77"/>
        <v>1083.9116993088305</v>
      </c>
      <c r="FJ83" s="59">
        <f ca="1">AVERAGE(OFFSET($FI$3,0,0,'Données projet'!$E$16+1,1))-AVERAGE(OFFSET($H$3,0,0,'Données projet'!$E$16+1,1))</f>
        <v>367.36535411813264</v>
      </c>
      <c r="FK83" s="59">
        <f t="shared" si="102"/>
        <v>293.19545174980556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21</v>
      </c>
      <c r="FN83" s="16">
        <f>IF(ISNA(VLOOKUP(A83,'Données projet'!$A$217:$I$237,5,0)),0%,VLOOKUP(A83,'Données projet'!$A$217:$I$237,5,0)*VLOOKUP('Données projet'!$B$16,Paramètres!$A$1:$I$89,7,0))</f>
        <v>0.55000000000000004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87.748506678824555</v>
      </c>
      <c r="FR83" s="21">
        <f>EXP(-LN(2)/25)*FR82+(1-EXP(-LN(2)/25))/(LN(2)/25)*Calculateur!FM83*Calculateur!FO83*VLOOKUP('Données projet'!$B$16,Paramètres!$A$1:$I$89,3,0)*0.475*44/12</f>
        <v>10.824219369878779</v>
      </c>
      <c r="FS83" s="21">
        <f>EXP(-LN(2)/2)*FS82+(1-EXP(-LN(2)/2))/(LN(2)/2)*FM83*FP83*VLOOKUP('Données projet'!$B$16,Paramètres!$A$1:$I$89,3,0)*0.475*44/12</f>
        <v>2.1590344879640629E-8</v>
      </c>
      <c r="FT83" s="22">
        <f t="shared" si="78"/>
        <v>98.572726070293669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711</v>
      </c>
      <c r="FX83" s="12">
        <f>VLOOKUP(A83,'Données projet'!$A$243:$I$263,9,0)</f>
        <v>14.4</v>
      </c>
      <c r="FY83" s="12">
        <f t="array" ref="FY83">INDEX(FX:FX,MIN(IF(ISNUMBER(FX83:FX279),ROW(FX83:FX279),"")))</f>
        <v>14.4</v>
      </c>
      <c r="FZ83" s="12">
        <f>IF('Données projet'!$A$244&gt;35,FZ82+FY83-GH82,IF(A83&lt;'Données projet'!$A$244,$FW$205^A83,IF(A83='Données projet'!$A$244,'Données projet'!$B$244,FZ82+FY83-GH82)))</f>
        <v>710.99999999999989</v>
      </c>
      <c r="GA83" s="17">
        <f>FZ83*VLOOKUP('Données projet'!$B$17,Paramètres!$A$1:$I$89,3,0)*VLOOKUP('Données projet'!$B$17,Paramètres!$A$1:$I$89,5,0)</f>
        <v>341.99099999999993</v>
      </c>
      <c r="GB83" s="13">
        <f t="shared" si="103"/>
        <v>79.911159737819077</v>
      </c>
      <c r="GC83" s="20">
        <f t="shared" si="79"/>
        <v>734.81292821003478</v>
      </c>
      <c r="GD83" s="59">
        <f t="shared" si="80"/>
        <v>1028.1462615433682</v>
      </c>
      <c r="GE83" s="59">
        <f ca="1">AVERAGE(OFFSET($GD$3,0,0,'Données projet'!$E$17+1,1))-AVERAGE(OFFSET($H$3,0,0,'Données projet'!$E$17+1,1))</f>
        <v>312.64506496298173</v>
      </c>
      <c r="GF83" s="59">
        <f t="shared" si="104"/>
        <v>259.97532509897508</v>
      </c>
      <c r="GG83" s="15">
        <f>IF(ISNA(VLOOKUP(A83,'Données projet'!$A$243:$I$263,3,0)),0,VLOOKUP(A83,'Données projet'!$A$243:$I$263,3,0))</f>
        <v>12</v>
      </c>
      <c r="GH83" s="15">
        <f>IF(ISNA(VLOOKUP(A83,'Données projet'!$A$243:$I$263,4,0)),0,VLOOKUP(A83,'Données projet'!$A$243:$I$263,4,0))</f>
        <v>41</v>
      </c>
      <c r="GI83" s="16">
        <f>IF(ISNA(VLOOKUP(A83,'Données projet'!$A$243:$I$263,5,0)),0%,VLOOKUP(A83,'Données projet'!$A$243:$I$263,5,0)*VLOOKUP('Données projet'!$B$17,Paramètres!$A$1:$I$89,7,0))</f>
        <v>0.55000000000000004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113.27506126225209</v>
      </c>
      <c r="GM83" s="21">
        <f>EXP(-LN(2)/25)*GM82+(1-EXP(-LN(2)/25))/(LN(2)/25)*Calculateur!GH83*Calculateur!GJ83*VLOOKUP('Données projet'!$B$17,Paramètres!$A$1:$I$89,3,0)*0.475*44/12</f>
        <v>4.8938516458389802</v>
      </c>
      <c r="GN83" s="21">
        <f>EXP(-LN(2)/2)*GN82+(1-EXP(-LN(2)/2))/(LN(2)/2)*GH83*GK83*VLOOKUP('Données projet'!$B$17,Paramètres!$A$1:$I$89,3,0)*0.475*44/12</f>
        <v>1.1476665561078964E-7</v>
      </c>
      <c r="GO83" s="21">
        <f t="shared" si="81"/>
        <v>118.16891302285772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261</v>
      </c>
      <c r="GS83" s="12">
        <f>VLOOKUP(A83,'Données projet'!$A$269:$I$289,9,0)</f>
        <v>6</v>
      </c>
      <c r="GT83" s="12">
        <f t="array" ref="GT83">INDEX(GS:GS,MIN(IF(ISNUMBER(GS83:GS279),ROW(GS83:GS279),"")))</f>
        <v>6</v>
      </c>
      <c r="GU83" s="12">
        <f>IF('Données projet'!$A$270&gt;35,GU82+GT83-HC82,IF(A83&lt;'Données projet'!$A$270,$GR$205^A83,IF(A83='Données projet'!$A$270,'Données projet'!$B$270,GU82+GT83-HC82)))</f>
        <v>260.99999999999989</v>
      </c>
      <c r="GV83" s="17">
        <f>GU83*VLOOKUP('Données projet'!$B$18,Paramètres!$A$1:$I$89,3,0)*VLOOKUP('Données projet'!$B$18,Paramètres!$A$1:$I$89,5,0)</f>
        <v>264.65399999999988</v>
      </c>
      <c r="GW83" s="13">
        <f t="shared" si="105"/>
        <v>63.71339601121106</v>
      </c>
      <c r="GX83" s="20">
        <f t="shared" si="82"/>
        <v>571.90654805285897</v>
      </c>
      <c r="GY83" s="59">
        <f t="shared" si="83"/>
        <v>865.23988138619234</v>
      </c>
      <c r="GZ83" s="59">
        <f ca="1">AVERAGE(OFFSET($GY$3,0,0,'Données projet'!$E$18+1,1))-AVERAGE(OFFSET($H$3,0,0,'Données projet'!$E$18+1,1))</f>
        <v>308.80022073574963</v>
      </c>
      <c r="HA83" s="59">
        <f t="shared" si="106"/>
        <v>183.96267407004115</v>
      </c>
      <c r="HB83" s="15">
        <f>IF(ISNA(VLOOKUP(A83,'Données projet'!$A$269:$I$289,3,0)),0,VLOOKUP(A83,'Données projet'!$A$269:$I$289,3,0))</f>
        <v>12</v>
      </c>
      <c r="HC83" s="15">
        <f>IF(ISNA(VLOOKUP(A83,'Données projet'!$A$269:$I$289,4,0)),0,VLOOKUP(A83,'Données projet'!$A$269:$I$289,4,0))</f>
        <v>21</v>
      </c>
      <c r="HD83" s="16">
        <f>IF(ISNA(VLOOKUP(A83,'Données projet'!$A$269:$I$289,5,0)),0%,VLOOKUP(A83,'Données projet'!$A$269:$I$289,5,0)*VLOOKUP('Données projet'!$B$18,Paramètres!$A$1:$I$89,7,0))</f>
        <v>0.43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67.480204481419875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67.480204481419875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344.49457749226184</v>
      </c>
      <c r="T84" s="59">
        <f t="shared" si="88"/>
        <v>207.92972431357452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4.4000000000000004</v>
      </c>
      <c r="AI84" s="13">
        <f>IF('Données projet'!$A$62&gt;35,AI83+AH84-AQ83,IF(A84&lt;'Données projet'!$A$62,$AF$205^A84,IF(A84='Données projet'!$A$62,'Données projet'!$B$62,AI83+AH84-AQ83)))</f>
        <v>182.39999999999998</v>
      </c>
      <c r="AJ84" s="13">
        <f>AI84*VLOOKUP('Données projet'!$B$10,Paramètres!$A$1:$I$89,3,0)*VLOOKUP('Données projet'!$B$10,Paramètres!$A$1:$I$89,5,0)</f>
        <v>165.03551999999996</v>
      </c>
      <c r="AK84" s="13">
        <f t="shared" si="89"/>
        <v>41.976234598846517</v>
      </c>
      <c r="AL84" s="20">
        <f t="shared" si="58"/>
        <v>360.54547259299096</v>
      </c>
      <c r="AM84" s="59">
        <f t="shared" si="59"/>
        <v>653.87880592632428</v>
      </c>
      <c r="AN84" s="59">
        <f ca="1">AVERAGE(OFFSET($AM$3,0,0,'Données projet'!$E$10+1,1))-AVERAGE(OFFSET($H$3,0,0,'Données projet'!$E$10+1,1))</f>
        <v>183.0147113277086</v>
      </c>
      <c r="AO84" s="59">
        <f t="shared" si="90"/>
        <v>76.413905647258389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39.181955589644552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39.181955589644552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253.79640000000001</v>
      </c>
      <c r="BF84" s="13">
        <f t="shared" si="91"/>
        <v>61.39816832228076</v>
      </c>
      <c r="BG84" s="20">
        <f t="shared" si="61"/>
        <v>548.96387316130563</v>
      </c>
      <c r="BH84" s="59">
        <f t="shared" si="62"/>
        <v>842.29720649463889</v>
      </c>
      <c r="BI84" s="59">
        <f ca="1">AVERAGE(OFFSET($BH$3,0,0,'Données projet'!$E$11+1,1))-AVERAGE(OFFSET($H$3,0,0,'Données projet'!$E$11+1,1))</f>
        <v>279.49721661620544</v>
      </c>
      <c r="BJ84" s="59">
        <f t="shared" si="92"/>
        <v>275.18739333988754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52.125640934024624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52.125640934024624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754.68411025369562</v>
      </c>
      <c r="CD84" s="59">
        <f ca="1">AVERAGE(OFFSET($CC$3,0,0,'Données projet'!$E$12+1,1))-AVERAGE(OFFSET($H$3,0,0,'Données projet'!$E$12+1,1))</f>
        <v>225.2323446080772</v>
      </c>
      <c r="CE84" s="59">
        <f t="shared" si="94"/>
        <v>222.29030402759292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42.535988670163455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42.535988670163455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213.00000000000003</v>
      </c>
      <c r="CU84" s="17">
        <f>CT84*VLOOKUP('Données projet'!$B$13,Paramètres!$A$1:$I$89,3,0)*VLOOKUP('Données projet'!$B$13,Paramètres!$A$1:$I$89,5,0)</f>
        <v>229.2732</v>
      </c>
      <c r="CV84" s="13">
        <f t="shared" si="95"/>
        <v>56.125501442527366</v>
      </c>
      <c r="CW84" s="20">
        <f t="shared" si="67"/>
        <v>497.06940501240177</v>
      </c>
      <c r="CX84" s="59">
        <f t="shared" si="68"/>
        <v>790.40273834573509</v>
      </c>
      <c r="CY84" s="59">
        <f ca="1">AVERAGE(OFFSET($CX$3,0,0,'Données projet'!$E$13+1,1))-AVERAGE(OFFSET($H$3,0,0,'Données projet'!$E$13+1,1))</f>
        <v>240.57184010337932</v>
      </c>
      <c r="CZ84" s="59">
        <f t="shared" si="96"/>
        <v>236.36473521227072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36.071643399136242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36.071643399136242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670.99999999999977</v>
      </c>
      <c r="DP84" s="17">
        <f>DO84*VLOOKUP('Données projet'!$B$14,Paramètres!$A$1:$I$89,3,0)*VLOOKUP('Données projet'!$B$14,Paramètres!$A$1:$I$89,5,0)</f>
        <v>314.02799999999991</v>
      </c>
      <c r="DQ84" s="13">
        <f t="shared" si="97"/>
        <v>74.109403804428752</v>
      </c>
      <c r="DR84" s="20">
        <f t="shared" si="70"/>
        <v>676.00597829271317</v>
      </c>
      <c r="DS84" s="59">
        <f t="shared" si="71"/>
        <v>969.33931162604654</v>
      </c>
      <c r="DT84" s="59">
        <f ca="1">AVERAGE(OFFSET($DS$3,0,0,'Données projet'!$E$14+1,1))-AVERAGE(OFFSET($H$3,0,0,'Données projet'!$E$14+1,1))</f>
        <v>304.29617570272939</v>
      </c>
      <c r="DU84" s="59">
        <f t="shared" si="98"/>
        <v>246.20695736161576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97.316461000397538</v>
      </c>
      <c r="EB84" s="21">
        <f>EXP(-LN(2)/25)*EB83+(1-EXP(-LN(2)/25))/(LN(2)/25)*Calculateur!DW84*Calculateur!DY84*VLOOKUP('Données projet'!$B$14,Paramètres!$A$1:$I$89,3,0)*0.475*44/12</f>
        <v>9.9514376900333499</v>
      </c>
      <c r="EC84" s="21">
        <f>EXP(-LN(2)/2)*EC83+(1-EXP(-LN(2)/2))/(LN(2)/2)*DW84*DZ84*VLOOKUP('Données projet'!$B$14,Paramètres!$A$1:$I$89,3,0)*0.475*44/12</f>
        <v>8.2906924337820368E-8</v>
      </c>
      <c r="ED84" s="22">
        <f t="shared" si="72"/>
        <v>107.26789877333781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477.9999999999996</v>
      </c>
      <c r="EK84" s="17">
        <f>EJ84*VLOOKUP('Données projet'!$B$15,Paramètres!$A$1:$I$89,3,0)*VLOOKUP('Données projet'!$B$15,Paramètres!$A$1:$I$89,5,0)</f>
        <v>285.84399999999977</v>
      </c>
      <c r="EL84" s="13">
        <f t="shared" si="99"/>
        <v>68.200525419065656</v>
      </c>
      <c r="EM84" s="20">
        <f t="shared" si="73"/>
        <v>616.62754843820551</v>
      </c>
      <c r="EN84" s="59">
        <f t="shared" si="74"/>
        <v>909.96088177153888</v>
      </c>
      <c r="EO84" s="59">
        <f ca="1">AVERAGE(OFFSET($EN$3,0,0,'Données projet'!$E$15+1,1))-AVERAGE(OFFSET($H$3,0,0,'Données projet'!$E$15+1,1))</f>
        <v>288.41846134875794</v>
      </c>
      <c r="EP84" s="59">
        <f t="shared" si="100"/>
        <v>248.93951719818972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70.406078379837297</v>
      </c>
      <c r="EW84" s="21">
        <f>EXP(-LN(2)/25)*EW83+(1-EXP(-LN(2)/25))/(LN(2)/25)*Calculateur!ER84*Calculateur!ET84*VLOOKUP('Données projet'!$B$15,Paramètres!$A$1:$I$89,3,0)*0.475*44/12</f>
        <v>6.792759640680365</v>
      </c>
      <c r="EX84" s="21">
        <f>EXP(-LN(2)/2)*EX83+(1-EXP(-LN(2)/2))/(LN(2)/2)*ER84*EU84*VLOOKUP('Données projet'!$B$15,Paramètres!$A$1:$I$89,3,0)*0.475*44/12</f>
        <v>1.0255331219275002E-8</v>
      </c>
      <c r="EY84" s="22">
        <f t="shared" si="75"/>
        <v>77.19883803077299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789.00000000000045</v>
      </c>
      <c r="FF84" s="17">
        <f>FE84*VLOOKUP('Données projet'!$B$16,Paramètres!$A$1:$I$89,3,0)*VLOOKUP('Données projet'!$B$16,Paramètres!$A$1:$I$89,5,0)</f>
        <v>358.99500000000023</v>
      </c>
      <c r="FG84" s="13">
        <f t="shared" si="101"/>
        <v>83.411930940690553</v>
      </c>
      <c r="FH84" s="20">
        <f t="shared" si="76"/>
        <v>770.52540472170313</v>
      </c>
      <c r="FI84" s="59">
        <f t="shared" si="77"/>
        <v>1063.8587380550364</v>
      </c>
      <c r="FJ84" s="59">
        <f ca="1">AVERAGE(OFFSET($FI$3,0,0,'Données projet'!$E$16+1,1))-AVERAGE(OFFSET($H$3,0,0,'Données projet'!$E$16+1,1))</f>
        <v>367.36535411813264</v>
      </c>
      <c r="FK84" s="59">
        <f t="shared" si="102"/>
        <v>293.19545174980556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86.027811984157083</v>
      </c>
      <c r="FR84" s="21">
        <f>EXP(-LN(2)/25)*FR83+(1-EXP(-LN(2)/25))/(LN(2)/25)*Calculateur!FM84*Calculateur!FO84*VLOOKUP('Données projet'!$B$16,Paramètres!$A$1:$I$89,3,0)*0.475*44/12</f>
        <v>10.528230521988487</v>
      </c>
      <c r="FS84" s="21">
        <f>EXP(-LN(2)/2)*FS83+(1-EXP(-LN(2)/2))/(LN(2)/2)*FM84*FP84*VLOOKUP('Données projet'!$B$16,Paramètres!$A$1:$I$89,3,0)*0.475*44/12</f>
        <v>1.5266679272550143E-8</v>
      </c>
      <c r="FT84" s="22">
        <f t="shared" si="78"/>
        <v>96.556042521412252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669.99999999999989</v>
      </c>
      <c r="GA84" s="17">
        <f>FZ84*VLOOKUP('Données projet'!$B$17,Paramètres!$A$1:$I$89,3,0)*VLOOKUP('Données projet'!$B$17,Paramètres!$A$1:$I$89,5,0)</f>
        <v>322.26999999999992</v>
      </c>
      <c r="GB84" s="13">
        <f t="shared" si="103"/>
        <v>75.825476822885776</v>
      </c>
      <c r="GC84" s="20">
        <f t="shared" si="79"/>
        <v>693.34962213319261</v>
      </c>
      <c r="GD84" s="59">
        <f t="shared" si="80"/>
        <v>986.68295546652598</v>
      </c>
      <c r="GE84" s="59">
        <f ca="1">AVERAGE(OFFSET($GD$3,0,0,'Données projet'!$E$17+1,1))-AVERAGE(OFFSET($H$3,0,0,'Données projet'!$E$17+1,1))</f>
        <v>312.64506496298173</v>
      </c>
      <c r="GF84" s="59">
        <f t="shared" si="104"/>
        <v>259.97532509897508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111.05380640186453</v>
      </c>
      <c r="GM84" s="21">
        <f>EXP(-LN(2)/25)*GM83+(1-EXP(-LN(2)/25))/(LN(2)/25)*Calculateur!GH84*Calculateur!GJ84*VLOOKUP('Données projet'!$B$17,Paramètres!$A$1:$I$89,3,0)*0.475*44/12</f>
        <v>4.7600290152270404</v>
      </c>
      <c r="GN84" s="21">
        <f>EXP(-LN(2)/2)*GN83+(1-EXP(-LN(2)/2))/(LN(2)/2)*GH84*GK84*VLOOKUP('Données projet'!$B$17,Paramètres!$A$1:$I$89,3,0)*0.475*44/12</f>
        <v>8.1152280436490485E-8</v>
      </c>
      <c r="GO84" s="21">
        <f t="shared" si="81"/>
        <v>115.81383549824386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5.8</v>
      </c>
      <c r="GU84" s="12">
        <f>IF('Données projet'!$A$270&gt;35,GU83+GT84-HC83,IF(A84&lt;'Données projet'!$A$270,$GR$205^A84,IF(A84='Données projet'!$A$270,'Données projet'!$B$270,GU83+GT84-HC83)))</f>
        <v>245.7999999999999</v>
      </c>
      <c r="GV84" s="17">
        <f>GU84*VLOOKUP('Données projet'!$B$18,Paramètres!$A$1:$I$89,3,0)*VLOOKUP('Données projet'!$B$18,Paramètres!$A$1:$I$89,5,0)</f>
        <v>249.24119999999988</v>
      </c>
      <c r="GW84" s="13">
        <f t="shared" si="105"/>
        <v>60.42342651744687</v>
      </c>
      <c r="GX84" s="20">
        <f t="shared" si="82"/>
        <v>539.3325578512198</v>
      </c>
      <c r="GY84" s="59">
        <f t="shared" si="83"/>
        <v>832.66589118455317</v>
      </c>
      <c r="GZ84" s="59">
        <f ca="1">AVERAGE(OFFSET($GY$3,0,0,'Données projet'!$E$18+1,1))-AVERAGE(OFFSET($H$3,0,0,'Données projet'!$E$18+1,1))</f>
        <v>308.80022073574963</v>
      </c>
      <c r="HA84" s="59">
        <f t="shared" si="106"/>
        <v>183.96267407004115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66.156958830399859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66.156958830399859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344.49457749226184</v>
      </c>
      <c r="T85" s="59">
        <f t="shared" si="88"/>
        <v>207.92972431357452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4.4000000000000004</v>
      </c>
      <c r="AI85" s="13">
        <f>IF('Données projet'!$A$62&gt;35,AI84+AH85-AQ84,IF(A85&lt;'Données projet'!$A$62,$AF$205^A85,IF(A85='Données projet'!$A$62,'Données projet'!$B$62,AI84+AH85-AQ84)))</f>
        <v>186.79999999999998</v>
      </c>
      <c r="AJ85" s="13">
        <f>AI85*VLOOKUP('Données projet'!$B$10,Paramètres!$A$1:$I$89,3,0)*VLOOKUP('Données projet'!$B$10,Paramètres!$A$1:$I$89,5,0)</f>
        <v>169.01663999999997</v>
      </c>
      <c r="AK85" s="13">
        <f t="shared" si="89"/>
        <v>42.869709352189666</v>
      </c>
      <c r="AL85" s="20">
        <f t="shared" si="58"/>
        <v>369.03539178839691</v>
      </c>
      <c r="AM85" s="59">
        <f t="shared" si="59"/>
        <v>662.36872512173022</v>
      </c>
      <c r="AN85" s="59">
        <f ca="1">AVERAGE(OFFSET($AM$3,0,0,'Données projet'!$E$10+1,1))-AVERAGE(OFFSET($H$3,0,0,'Données projet'!$E$10+1,1))</f>
        <v>183.0147113277086</v>
      </c>
      <c r="AO85" s="59">
        <f t="shared" si="90"/>
        <v>76.413905647258389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38.413621339164742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38.413621339164742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253.79640000000001</v>
      </c>
      <c r="BF85" s="13">
        <f t="shared" si="91"/>
        <v>61.39816832228076</v>
      </c>
      <c r="BG85" s="20">
        <f t="shared" si="61"/>
        <v>548.96387316130563</v>
      </c>
      <c r="BH85" s="59">
        <f t="shared" si="62"/>
        <v>842.29720649463889</v>
      </c>
      <c r="BI85" s="59">
        <f ca="1">AVERAGE(OFFSET($BH$3,0,0,'Données projet'!$E$11+1,1))-AVERAGE(OFFSET($H$3,0,0,'Données projet'!$E$11+1,1))</f>
        <v>279.49721661620544</v>
      </c>
      <c r="BJ85" s="59">
        <f t="shared" si="92"/>
        <v>275.18739333988754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51.103488908810021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51.103488908810021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754.68411025369562</v>
      </c>
      <c r="CD85" s="59">
        <f ca="1">AVERAGE(OFFSET($CC$3,0,0,'Données projet'!$E$12+1,1))-AVERAGE(OFFSET($H$3,0,0,'Données projet'!$E$12+1,1))</f>
        <v>225.2323446080772</v>
      </c>
      <c r="CE85" s="59">
        <f t="shared" si="94"/>
        <v>222.29030402759292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41.701883876732843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41.701883876732843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213.00000000000003</v>
      </c>
      <c r="CU85" s="17">
        <f>CT85*VLOOKUP('Données projet'!$B$13,Paramètres!$A$1:$I$89,3,0)*VLOOKUP('Données projet'!$B$13,Paramètres!$A$1:$I$89,5,0)</f>
        <v>229.2732</v>
      </c>
      <c r="CV85" s="13">
        <f t="shared" si="95"/>
        <v>56.125501442527366</v>
      </c>
      <c r="CW85" s="20">
        <f t="shared" si="67"/>
        <v>497.06940501240177</v>
      </c>
      <c r="CX85" s="59">
        <f t="shared" si="68"/>
        <v>790.40273834573509</v>
      </c>
      <c r="CY85" s="59">
        <f ca="1">AVERAGE(OFFSET($CX$3,0,0,'Données projet'!$E$13+1,1))-AVERAGE(OFFSET($H$3,0,0,'Données projet'!$E$13+1,1))</f>
        <v>240.57184010337932</v>
      </c>
      <c r="CZ85" s="59">
        <f t="shared" si="96"/>
        <v>236.36473521227072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35.364300473609184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35.364300473609184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670.99999999999977</v>
      </c>
      <c r="DP85" s="17">
        <f>DO85*VLOOKUP('Données projet'!$B$14,Paramètres!$A$1:$I$89,3,0)*VLOOKUP('Données projet'!$B$14,Paramètres!$A$1:$I$89,5,0)</f>
        <v>314.02799999999991</v>
      </c>
      <c r="DQ85" s="13">
        <f t="shared" si="97"/>
        <v>74.109403804428752</v>
      </c>
      <c r="DR85" s="20">
        <f t="shared" si="70"/>
        <v>676.00597829271317</v>
      </c>
      <c r="DS85" s="59">
        <f t="shared" si="71"/>
        <v>969.33931162604654</v>
      </c>
      <c r="DT85" s="59">
        <f ca="1">AVERAGE(OFFSET($DS$3,0,0,'Données projet'!$E$14+1,1))-AVERAGE(OFFSET($H$3,0,0,'Données projet'!$E$14+1,1))</f>
        <v>304.29617570272939</v>
      </c>
      <c r="DU85" s="59">
        <f t="shared" si="98"/>
        <v>246.20695736161576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95.408144557359918</v>
      </c>
      <c r="EB85" s="21">
        <f>EXP(-LN(2)/25)*EB84+(1-EXP(-LN(2)/25))/(LN(2)/25)*Calculateur!DW85*Calculateur!DY85*VLOOKUP('Données projet'!$B$14,Paramètres!$A$1:$I$89,3,0)*0.475*44/12</f>
        <v>9.6793151030760249</v>
      </c>
      <c r="EC85" s="21">
        <f>EXP(-LN(2)/2)*EC84+(1-EXP(-LN(2)/2))/(LN(2)/2)*DW85*DZ85*VLOOKUP('Données projet'!$B$14,Paramètres!$A$1:$I$89,3,0)*0.475*44/12</f>
        <v>5.86240484065928E-8</v>
      </c>
      <c r="ED85" s="22">
        <f t="shared" si="72"/>
        <v>105.08745971905999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477.9999999999996</v>
      </c>
      <c r="EK85" s="17">
        <f>EJ85*VLOOKUP('Données projet'!$B$15,Paramètres!$A$1:$I$89,3,0)*VLOOKUP('Données projet'!$B$15,Paramètres!$A$1:$I$89,5,0)</f>
        <v>285.84399999999977</v>
      </c>
      <c r="EL85" s="13">
        <f t="shared" si="99"/>
        <v>68.200525419065656</v>
      </c>
      <c r="EM85" s="20">
        <f t="shared" si="73"/>
        <v>616.62754843820551</v>
      </c>
      <c r="EN85" s="59">
        <f t="shared" si="74"/>
        <v>909.96088177153888</v>
      </c>
      <c r="EO85" s="59">
        <f ca="1">AVERAGE(OFFSET($EN$3,0,0,'Données projet'!$E$15+1,1))-AVERAGE(OFFSET($H$3,0,0,'Données projet'!$E$15+1,1))</f>
        <v>288.41846134875794</v>
      </c>
      <c r="EP85" s="59">
        <f t="shared" si="100"/>
        <v>248.93951719818972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69.025458126276177</v>
      </c>
      <c r="EW85" s="21">
        <f>EXP(-LN(2)/25)*EW84+(1-EXP(-LN(2)/25))/(LN(2)/25)*Calculateur!ER85*Calculateur!ET85*VLOOKUP('Données projet'!$B$15,Paramètres!$A$1:$I$89,3,0)*0.475*44/12</f>
        <v>6.607011271090256</v>
      </c>
      <c r="EX85" s="21">
        <f>EXP(-LN(2)/2)*EX84+(1-EXP(-LN(2)/2))/(LN(2)/2)*ER85*EU85*VLOOKUP('Données projet'!$B$15,Paramètres!$A$1:$I$89,3,0)*0.475*44/12</f>
        <v>7.2516142484634587E-9</v>
      </c>
      <c r="EY85" s="22">
        <f t="shared" si="75"/>
        <v>75.63246940461805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789.00000000000045</v>
      </c>
      <c r="FF85" s="17">
        <f>FE85*VLOOKUP('Données projet'!$B$16,Paramètres!$A$1:$I$89,3,0)*VLOOKUP('Données projet'!$B$16,Paramètres!$A$1:$I$89,5,0)</f>
        <v>358.99500000000023</v>
      </c>
      <c r="FG85" s="13">
        <f t="shared" si="101"/>
        <v>83.411930940690553</v>
      </c>
      <c r="FH85" s="20">
        <f t="shared" si="76"/>
        <v>770.52540472170313</v>
      </c>
      <c r="FI85" s="59">
        <f t="shared" si="77"/>
        <v>1063.8587380550364</v>
      </c>
      <c r="FJ85" s="59">
        <f ca="1">AVERAGE(OFFSET($FI$3,0,0,'Données projet'!$E$16+1,1))-AVERAGE(OFFSET($H$3,0,0,'Données projet'!$E$16+1,1))</f>
        <v>367.36535411813264</v>
      </c>
      <c r="FK85" s="59">
        <f t="shared" si="102"/>
        <v>293.19545174980556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84.340859062931912</v>
      </c>
      <c r="FR85" s="21">
        <f>EXP(-LN(2)/25)*FR84+(1-EXP(-LN(2)/25))/(LN(2)/25)*Calculateur!FM85*Calculateur!FO85*VLOOKUP('Données projet'!$B$16,Paramètres!$A$1:$I$89,3,0)*0.475*44/12</f>
        <v>10.240335504709131</v>
      </c>
      <c r="FS85" s="21">
        <f>EXP(-LN(2)/2)*FS84+(1-EXP(-LN(2)/2))/(LN(2)/2)*FM85*FP85*VLOOKUP('Données projet'!$B$16,Paramètres!$A$1:$I$89,3,0)*0.475*44/12</f>
        <v>1.0795172439820315E-8</v>
      </c>
      <c r="FT85" s="22">
        <f t="shared" si="78"/>
        <v>94.581194578436225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669.99999999999989</v>
      </c>
      <c r="GA85" s="17">
        <f>FZ85*VLOOKUP('Données projet'!$B$17,Paramètres!$A$1:$I$89,3,0)*VLOOKUP('Données projet'!$B$17,Paramètres!$A$1:$I$89,5,0)</f>
        <v>322.26999999999992</v>
      </c>
      <c r="GB85" s="13">
        <f t="shared" si="103"/>
        <v>75.825476822885776</v>
      </c>
      <c r="GC85" s="20">
        <f t="shared" si="79"/>
        <v>693.34962213319261</v>
      </c>
      <c r="GD85" s="59">
        <f t="shared" si="80"/>
        <v>986.68295546652598</v>
      </c>
      <c r="GE85" s="59">
        <f ca="1">AVERAGE(OFFSET($GD$3,0,0,'Données projet'!$E$17+1,1))-AVERAGE(OFFSET($H$3,0,0,'Données projet'!$E$17+1,1))</f>
        <v>312.64506496298173</v>
      </c>
      <c r="GF85" s="59">
        <f t="shared" si="104"/>
        <v>259.97532509897508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108.87610899445748</v>
      </c>
      <c r="GM85" s="21">
        <f>EXP(-LN(2)/25)*GM84+(1-EXP(-LN(2)/25))/(LN(2)/25)*Calculateur!GH85*Calculateur!GJ85*VLOOKUP('Données projet'!$B$17,Paramètres!$A$1:$I$89,3,0)*0.475*44/12</f>
        <v>4.6298657714866103</v>
      </c>
      <c r="GN85" s="21">
        <f>EXP(-LN(2)/2)*GN84+(1-EXP(-LN(2)/2))/(LN(2)/2)*GH85*GK85*VLOOKUP('Données projet'!$B$17,Paramètres!$A$1:$I$89,3,0)*0.475*44/12</f>
        <v>5.7383327805394819E-8</v>
      </c>
      <c r="GO85" s="21">
        <f t="shared" si="81"/>
        <v>113.50597482332742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5.8</v>
      </c>
      <c r="GU85" s="12">
        <f>IF('Données projet'!$A$270&gt;35,GU84+GT85-HC84,IF(A85&lt;'Données projet'!$A$270,$GR$205^A85,IF(A85='Données projet'!$A$270,'Données projet'!$B$270,GU84+GT85-HC84)))</f>
        <v>251.59999999999991</v>
      </c>
      <c r="GV85" s="17">
        <f>GU85*VLOOKUP('Données projet'!$B$18,Paramètres!$A$1:$I$89,3,0)*VLOOKUP('Données projet'!$B$18,Paramètres!$A$1:$I$89,5,0)</f>
        <v>255.12239999999991</v>
      </c>
      <c r="GW85" s="13">
        <f t="shared" si="105"/>
        <v>61.681527554261443</v>
      </c>
      <c r="GX85" s="20">
        <f t="shared" si="82"/>
        <v>551.7668404903385</v>
      </c>
      <c r="GY85" s="59">
        <f t="shared" si="83"/>
        <v>845.10017382367187</v>
      </c>
      <c r="GZ85" s="59">
        <f ca="1">AVERAGE(OFFSET($GY$3,0,0,'Données projet'!$E$18+1,1))-AVERAGE(OFFSET($H$3,0,0,'Données projet'!$E$18+1,1))</f>
        <v>308.80022073574963</v>
      </c>
      <c r="HA85" s="59">
        <f t="shared" si="106"/>
        <v>183.96267407004115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64.859661219496203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64.859661219496203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344.49457749226184</v>
      </c>
      <c r="T86" s="59">
        <f t="shared" si="88"/>
        <v>207.92972431357452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4.4000000000000004</v>
      </c>
      <c r="AI86" s="13">
        <f>IF('Données projet'!$A$62&gt;35,AI85+AH86-AQ85,IF(A86&lt;'Données projet'!$A$62,$AF$205^A86,IF(A86='Données projet'!$A$62,'Données projet'!$B$62,AI85+AH86-AQ85)))</f>
        <v>191.2</v>
      </c>
      <c r="AJ86" s="13">
        <f>AI86*VLOOKUP('Données projet'!$B$10,Paramètres!$A$1:$I$89,3,0)*VLOOKUP('Données projet'!$B$10,Paramètres!$A$1:$I$89,5,0)</f>
        <v>172.99775999999997</v>
      </c>
      <c r="AK86" s="13">
        <f t="shared" si="89"/>
        <v>43.760737531919609</v>
      </c>
      <c r="AL86" s="20">
        <f t="shared" si="58"/>
        <v>377.52104986809326</v>
      </c>
      <c r="AM86" s="59">
        <f t="shared" si="59"/>
        <v>670.85438320142657</v>
      </c>
      <c r="AN86" s="59">
        <f ca="1">AVERAGE(OFFSET($AM$3,0,0,'Données projet'!$E$10+1,1))-AVERAGE(OFFSET($H$3,0,0,'Données projet'!$E$10+1,1))</f>
        <v>183.0147113277086</v>
      </c>
      <c r="AO86" s="59">
        <f t="shared" si="90"/>
        <v>76.413905647258389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37.660353654699215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37.660353654699215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253.79640000000001</v>
      </c>
      <c r="BF86" s="13">
        <f t="shared" si="91"/>
        <v>61.39816832228076</v>
      </c>
      <c r="BG86" s="20">
        <f t="shared" si="61"/>
        <v>548.96387316130563</v>
      </c>
      <c r="BH86" s="59">
        <f t="shared" si="62"/>
        <v>842.29720649463889</v>
      </c>
      <c r="BI86" s="59">
        <f ca="1">AVERAGE(OFFSET($BH$3,0,0,'Données projet'!$E$11+1,1))-AVERAGE(OFFSET($H$3,0,0,'Données projet'!$E$11+1,1))</f>
        <v>279.49721661620544</v>
      </c>
      <c r="BJ86" s="59">
        <f t="shared" si="92"/>
        <v>275.18739333988754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50.101380661358704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50.101380661358704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754.68411025369562</v>
      </c>
      <c r="CD86" s="59">
        <f ca="1">AVERAGE(OFFSET($CC$3,0,0,'Données projet'!$E$12+1,1))-AVERAGE(OFFSET($H$3,0,0,'Données projet'!$E$12+1,1))</f>
        <v>225.2323446080772</v>
      </c>
      <c r="CE86" s="59">
        <f t="shared" si="94"/>
        <v>222.29030402759292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40.884135369547714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40.884135369547714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213.00000000000003</v>
      </c>
      <c r="CU86" s="17">
        <f>CT86*VLOOKUP('Données projet'!$B$13,Paramètres!$A$1:$I$89,3,0)*VLOOKUP('Données projet'!$B$13,Paramètres!$A$1:$I$89,5,0)</f>
        <v>229.2732</v>
      </c>
      <c r="CV86" s="13">
        <f t="shared" si="95"/>
        <v>56.125501442527366</v>
      </c>
      <c r="CW86" s="20">
        <f t="shared" si="67"/>
        <v>497.06940501240177</v>
      </c>
      <c r="CX86" s="59">
        <f t="shared" si="68"/>
        <v>790.40273834573509</v>
      </c>
      <c r="CY86" s="59">
        <f ca="1">AVERAGE(OFFSET($CX$3,0,0,'Données projet'!$E$13+1,1))-AVERAGE(OFFSET($H$3,0,0,'Données projet'!$E$13+1,1))</f>
        <v>240.57184010337932</v>
      </c>
      <c r="CZ86" s="59">
        <f t="shared" si="96"/>
        <v>236.36473521227072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34.670828111415126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34.670828111415126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670.99999999999977</v>
      </c>
      <c r="DP86" s="17">
        <f>DO86*VLOOKUP('Données projet'!$B$14,Paramètres!$A$1:$I$89,3,0)*VLOOKUP('Données projet'!$B$14,Paramètres!$A$1:$I$89,5,0)</f>
        <v>314.02799999999991</v>
      </c>
      <c r="DQ86" s="13">
        <f t="shared" si="97"/>
        <v>74.109403804428752</v>
      </c>
      <c r="DR86" s="20">
        <f t="shared" si="70"/>
        <v>676.00597829271317</v>
      </c>
      <c r="DS86" s="59">
        <f t="shared" si="71"/>
        <v>969.33931162604654</v>
      </c>
      <c r="DT86" s="59">
        <f ca="1">AVERAGE(OFFSET($DS$3,0,0,'Données projet'!$E$14+1,1))-AVERAGE(OFFSET($H$3,0,0,'Données projet'!$E$14+1,1))</f>
        <v>304.29617570272939</v>
      </c>
      <c r="DU86" s="59">
        <f t="shared" si="98"/>
        <v>246.20695736161576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93.537249035812167</v>
      </c>
      <c r="EB86" s="21">
        <f>EXP(-LN(2)/25)*EB85+(1-EXP(-LN(2)/25))/(LN(2)/25)*Calculateur!DW86*Calculateur!DY86*VLOOKUP('Données projet'!$B$14,Paramètres!$A$1:$I$89,3,0)*0.475*44/12</f>
        <v>9.4146337225693522</v>
      </c>
      <c r="EC86" s="21">
        <f>EXP(-LN(2)/2)*EC85+(1-EXP(-LN(2)/2))/(LN(2)/2)*DW86*DZ86*VLOOKUP('Données projet'!$B$14,Paramètres!$A$1:$I$89,3,0)*0.475*44/12</f>
        <v>4.1453462168910191E-8</v>
      </c>
      <c r="ED86" s="22">
        <f t="shared" si="72"/>
        <v>102.95188279983498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477.9999999999996</v>
      </c>
      <c r="EK86" s="17">
        <f>EJ86*VLOOKUP('Données projet'!$B$15,Paramètres!$A$1:$I$89,3,0)*VLOOKUP('Données projet'!$B$15,Paramètres!$A$1:$I$89,5,0)</f>
        <v>285.84399999999977</v>
      </c>
      <c r="EL86" s="13">
        <f t="shared" si="99"/>
        <v>68.200525419065656</v>
      </c>
      <c r="EM86" s="20">
        <f t="shared" si="73"/>
        <v>616.62754843820551</v>
      </c>
      <c r="EN86" s="59">
        <f t="shared" si="74"/>
        <v>909.96088177153888</v>
      </c>
      <c r="EO86" s="59">
        <f ca="1">AVERAGE(OFFSET($EN$3,0,0,'Données projet'!$E$15+1,1))-AVERAGE(OFFSET($H$3,0,0,'Données projet'!$E$15+1,1))</f>
        <v>288.41846134875794</v>
      </c>
      <c r="EP86" s="59">
        <f t="shared" si="100"/>
        <v>248.93951719818972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67.671910993792196</v>
      </c>
      <c r="EW86" s="21">
        <f>EXP(-LN(2)/25)*EW85+(1-EXP(-LN(2)/25))/(LN(2)/25)*Calculateur!ER86*Calculateur!ET86*VLOOKUP('Données projet'!$B$15,Paramètres!$A$1:$I$89,3,0)*0.475*44/12</f>
        <v>6.4263422004346706</v>
      </c>
      <c r="EX86" s="21">
        <f>EXP(-LN(2)/2)*EX85+(1-EXP(-LN(2)/2))/(LN(2)/2)*ER86*EU86*VLOOKUP('Données projet'!$B$15,Paramètres!$A$1:$I$89,3,0)*0.475*44/12</f>
        <v>5.1276656096375018E-9</v>
      </c>
      <c r="EY86" s="22">
        <f t="shared" si="75"/>
        <v>74.098253199354531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789.00000000000045</v>
      </c>
      <c r="FF86" s="17">
        <f>FE86*VLOOKUP('Données projet'!$B$16,Paramètres!$A$1:$I$89,3,0)*VLOOKUP('Données projet'!$B$16,Paramètres!$A$1:$I$89,5,0)</f>
        <v>358.99500000000023</v>
      </c>
      <c r="FG86" s="13">
        <f t="shared" si="101"/>
        <v>83.411930940690553</v>
      </c>
      <c r="FH86" s="20">
        <f t="shared" si="76"/>
        <v>770.52540472170313</v>
      </c>
      <c r="FI86" s="59">
        <f t="shared" si="77"/>
        <v>1063.8587380550364</v>
      </c>
      <c r="FJ86" s="59">
        <f ca="1">AVERAGE(OFFSET($FI$3,0,0,'Données projet'!$E$16+1,1))-AVERAGE(OFFSET($H$3,0,0,'Données projet'!$E$16+1,1))</f>
        <v>367.36535411813264</v>
      </c>
      <c r="FK86" s="59">
        <f t="shared" si="102"/>
        <v>293.19545174980556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82.686986259552285</v>
      </c>
      <c r="FR86" s="21">
        <f>EXP(-LN(2)/25)*FR85+(1-EXP(-LN(2)/25))/(LN(2)/25)*Calculateur!FM86*Calculateur!FO86*VLOOKUP('Données projet'!$B$16,Paramètres!$A$1:$I$89,3,0)*0.475*44/12</f>
        <v>9.9603129918170197</v>
      </c>
      <c r="FS86" s="21">
        <f>EXP(-LN(2)/2)*FS85+(1-EXP(-LN(2)/2))/(LN(2)/2)*FM86*FP86*VLOOKUP('Données projet'!$B$16,Paramètres!$A$1:$I$89,3,0)*0.475*44/12</f>
        <v>7.6333396362750714E-9</v>
      </c>
      <c r="FT86" s="22">
        <f t="shared" si="78"/>
        <v>92.647299259002651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669.99999999999989</v>
      </c>
      <c r="GA86" s="17">
        <f>FZ86*VLOOKUP('Données projet'!$B$17,Paramètres!$A$1:$I$89,3,0)*VLOOKUP('Données projet'!$B$17,Paramètres!$A$1:$I$89,5,0)</f>
        <v>322.26999999999992</v>
      </c>
      <c r="GB86" s="13">
        <f t="shared" si="103"/>
        <v>75.825476822885776</v>
      </c>
      <c r="GC86" s="20">
        <f t="shared" si="79"/>
        <v>693.34962213319261</v>
      </c>
      <c r="GD86" s="59">
        <f t="shared" si="80"/>
        <v>986.68295546652598</v>
      </c>
      <c r="GE86" s="59">
        <f ca="1">AVERAGE(OFFSET($GD$3,0,0,'Données projet'!$E$17+1,1))-AVERAGE(OFFSET($H$3,0,0,'Données projet'!$E$17+1,1))</f>
        <v>312.64506496298173</v>
      </c>
      <c r="GF86" s="59">
        <f t="shared" si="104"/>
        <v>259.97532509897508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106.74111490494542</v>
      </c>
      <c r="GM86" s="21">
        <f>EXP(-LN(2)/25)*GM85+(1-EXP(-LN(2)/25))/(LN(2)/25)*Calculateur!GH86*Calculateur!GJ86*VLOOKUP('Données projet'!$B$17,Paramètres!$A$1:$I$89,3,0)*0.475*44/12</f>
        <v>4.5032618484912499</v>
      </c>
      <c r="GN86" s="21">
        <f>EXP(-LN(2)/2)*GN85+(1-EXP(-LN(2)/2))/(LN(2)/2)*GH86*GK86*VLOOKUP('Données projet'!$B$17,Paramètres!$A$1:$I$89,3,0)*0.475*44/12</f>
        <v>4.0576140218245242E-8</v>
      </c>
      <c r="GO86" s="21">
        <f t="shared" si="81"/>
        <v>111.24437679401281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5.8</v>
      </c>
      <c r="GU86" s="12">
        <f>IF('Données projet'!$A$270&gt;35,GU85+GT86-HC85,IF(A86&lt;'Données projet'!$A$270,$GR$205^A86,IF(A86='Données projet'!$A$270,'Données projet'!$B$270,GU85+GT86-HC85)))</f>
        <v>257.39999999999992</v>
      </c>
      <c r="GV86" s="17">
        <f>GU86*VLOOKUP('Données projet'!$B$18,Paramètres!$A$1:$I$89,3,0)*VLOOKUP('Données projet'!$B$18,Paramètres!$A$1:$I$89,5,0)</f>
        <v>261.00359999999995</v>
      </c>
      <c r="GW86" s="13">
        <f t="shared" si="105"/>
        <v>62.936256929541173</v>
      </c>
      <c r="GX86" s="20">
        <f t="shared" si="82"/>
        <v>564.19525081895074</v>
      </c>
      <c r="GY86" s="59">
        <f t="shared" si="83"/>
        <v>857.52858415228411</v>
      </c>
      <c r="GZ86" s="59">
        <f ca="1">AVERAGE(OFFSET($GY$3,0,0,'Données projet'!$E$18+1,1))-AVERAGE(OFFSET($H$3,0,0,'Données projet'!$E$18+1,1))</f>
        <v>308.80022073574963</v>
      </c>
      <c r="HA86" s="59">
        <f t="shared" si="106"/>
        <v>183.96267407004115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63.587802823468955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63.587802823468955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344.49457749226184</v>
      </c>
      <c r="T87" s="59">
        <f t="shared" si="88"/>
        <v>207.92972431357452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4.4000000000000004</v>
      </c>
      <c r="AI87" s="13">
        <f>IF('Données projet'!$A$62&gt;35,AI86+AH87-AQ86,IF(A87&lt;'Données projet'!$A$62,$AF$205^A87,IF(A87='Données projet'!$A$62,'Données projet'!$B$62,AI86+AH87-AQ86)))</f>
        <v>195.6</v>
      </c>
      <c r="AJ87" s="13">
        <f>AI87*VLOOKUP('Données projet'!$B$10,Paramètres!$A$1:$I$89,3,0)*VLOOKUP('Données projet'!$B$10,Paramètres!$A$1:$I$89,5,0)</f>
        <v>176.97888</v>
      </c>
      <c r="AK87" s="13">
        <f t="shared" si="89"/>
        <v>44.649381920571734</v>
      </c>
      <c r="AL87" s="20">
        <f t="shared" si="58"/>
        <v>386.00255617832909</v>
      </c>
      <c r="AM87" s="59">
        <f t="shared" si="59"/>
        <v>679.33588951166234</v>
      </c>
      <c r="AN87" s="59">
        <f ca="1">AVERAGE(OFFSET($AM$3,0,0,'Données projet'!$E$10+1,1))-AVERAGE(OFFSET($H$3,0,0,'Données projet'!$E$10+1,1))</f>
        <v>183.0147113277086</v>
      </c>
      <c r="AO87" s="59">
        <f t="shared" si="90"/>
        <v>76.413905647258389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36.921857090078142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36.921857090078142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253.79640000000001</v>
      </c>
      <c r="BF87" s="13">
        <f t="shared" si="91"/>
        <v>61.39816832228076</v>
      </c>
      <c r="BG87" s="20">
        <f t="shared" si="61"/>
        <v>548.96387316130563</v>
      </c>
      <c r="BH87" s="59">
        <f t="shared" si="62"/>
        <v>842.29720649463889</v>
      </c>
      <c r="BI87" s="59">
        <f ca="1">AVERAGE(OFFSET($BH$3,0,0,'Données projet'!$E$11+1,1))-AVERAGE(OFFSET($H$3,0,0,'Données projet'!$E$11+1,1))</f>
        <v>279.49721661620544</v>
      </c>
      <c r="BJ87" s="59">
        <f t="shared" si="92"/>
        <v>275.18739333988754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49.118923145414229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49.118923145414229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754.68411025369562</v>
      </c>
      <c r="CD87" s="59">
        <f ca="1">AVERAGE(OFFSET($CC$3,0,0,'Données projet'!$E$12+1,1))-AVERAGE(OFFSET($H$3,0,0,'Données projet'!$E$12+1,1))</f>
        <v>225.2323446080772</v>
      </c>
      <c r="CE87" s="59">
        <f t="shared" si="94"/>
        <v>222.29030402759292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40.082422411811152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40.082422411811152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213.00000000000003</v>
      </c>
      <c r="CU87" s="17">
        <f>CT87*VLOOKUP('Données projet'!$B$13,Paramètres!$A$1:$I$89,3,0)*VLOOKUP('Données projet'!$B$13,Paramètres!$A$1:$I$89,5,0)</f>
        <v>229.2732</v>
      </c>
      <c r="CV87" s="13">
        <f t="shared" si="95"/>
        <v>56.125501442527366</v>
      </c>
      <c r="CW87" s="20">
        <f t="shared" si="67"/>
        <v>497.06940501240177</v>
      </c>
      <c r="CX87" s="59">
        <f t="shared" si="68"/>
        <v>790.40273834573509</v>
      </c>
      <c r="CY87" s="59">
        <f ca="1">AVERAGE(OFFSET($CX$3,0,0,'Données projet'!$E$13+1,1))-AVERAGE(OFFSET($H$3,0,0,'Données projet'!$E$13+1,1))</f>
        <v>240.57184010337932</v>
      </c>
      <c r="CZ87" s="59">
        <f t="shared" si="96"/>
        <v>236.36473521227072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33.990954319267317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33.990954319267317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670.99999999999977</v>
      </c>
      <c r="DP87" s="17">
        <f>DO87*VLOOKUP('Données projet'!$B$14,Paramètres!$A$1:$I$89,3,0)*VLOOKUP('Données projet'!$B$14,Paramètres!$A$1:$I$89,5,0)</f>
        <v>314.02799999999991</v>
      </c>
      <c r="DQ87" s="13">
        <f t="shared" si="97"/>
        <v>74.109403804428752</v>
      </c>
      <c r="DR87" s="20">
        <f t="shared" si="70"/>
        <v>676.00597829271317</v>
      </c>
      <c r="DS87" s="59">
        <f t="shared" si="71"/>
        <v>969.33931162604654</v>
      </c>
      <c r="DT87" s="59">
        <f ca="1">AVERAGE(OFFSET($DS$3,0,0,'Données projet'!$E$14+1,1))-AVERAGE(OFFSET($H$3,0,0,'Données projet'!$E$14+1,1))</f>
        <v>304.29617570272939</v>
      </c>
      <c r="DU87" s="59">
        <f t="shared" si="98"/>
        <v>246.20695736161576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91.70304063430838</v>
      </c>
      <c r="EB87" s="21">
        <f>EXP(-LN(2)/25)*EB86+(1-EXP(-LN(2)/25))/(LN(2)/25)*Calculateur!DW87*Calculateur!DY87*VLOOKUP('Données projet'!$B$14,Paramètres!$A$1:$I$89,3,0)*0.475*44/12</f>
        <v>9.157190068331623</v>
      </c>
      <c r="EC87" s="21">
        <f>EXP(-LN(2)/2)*EC86+(1-EXP(-LN(2)/2))/(LN(2)/2)*DW87*DZ87*VLOOKUP('Données projet'!$B$14,Paramètres!$A$1:$I$89,3,0)*0.475*44/12</f>
        <v>2.9312024203296407E-8</v>
      </c>
      <c r="ED87" s="22">
        <f t="shared" si="72"/>
        <v>100.86023073195202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477.9999999999996</v>
      </c>
      <c r="EK87" s="17">
        <f>EJ87*VLOOKUP('Données projet'!$B$15,Paramètres!$A$1:$I$89,3,0)*VLOOKUP('Données projet'!$B$15,Paramètres!$A$1:$I$89,5,0)</f>
        <v>285.84399999999977</v>
      </c>
      <c r="EL87" s="13">
        <f t="shared" si="99"/>
        <v>68.200525419065656</v>
      </c>
      <c r="EM87" s="20">
        <f t="shared" si="73"/>
        <v>616.62754843820551</v>
      </c>
      <c r="EN87" s="59">
        <f t="shared" si="74"/>
        <v>909.96088177153888</v>
      </c>
      <c r="EO87" s="59">
        <f ca="1">AVERAGE(OFFSET($EN$3,0,0,'Données projet'!$E$15+1,1))-AVERAGE(OFFSET($H$3,0,0,'Données projet'!$E$15+1,1))</f>
        <v>288.41846134875794</v>
      </c>
      <c r="EP87" s="59">
        <f t="shared" si="100"/>
        <v>248.93951719818972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66.344906094993988</v>
      </c>
      <c r="EW87" s="21">
        <f>EXP(-LN(2)/25)*EW86+(1-EXP(-LN(2)/25))/(LN(2)/25)*Calculateur!ER87*Calculateur!ET87*VLOOKUP('Données projet'!$B$15,Paramètres!$A$1:$I$89,3,0)*0.475*44/12</f>
        <v>6.2506135350171359</v>
      </c>
      <c r="EX87" s="21">
        <f>EXP(-LN(2)/2)*EX86+(1-EXP(-LN(2)/2))/(LN(2)/2)*ER87*EU87*VLOOKUP('Données projet'!$B$15,Paramètres!$A$1:$I$89,3,0)*0.475*44/12</f>
        <v>3.6258071242317302E-9</v>
      </c>
      <c r="EY87" s="22">
        <f t="shared" si="75"/>
        <v>72.595519633636926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789.00000000000045</v>
      </c>
      <c r="FF87" s="17">
        <f>FE87*VLOOKUP('Données projet'!$B$16,Paramètres!$A$1:$I$89,3,0)*VLOOKUP('Données projet'!$B$16,Paramètres!$A$1:$I$89,5,0)</f>
        <v>358.99500000000023</v>
      </c>
      <c r="FG87" s="13">
        <f t="shared" si="101"/>
        <v>83.411930940690553</v>
      </c>
      <c r="FH87" s="20">
        <f t="shared" si="76"/>
        <v>770.52540472170313</v>
      </c>
      <c r="FI87" s="59">
        <f t="shared" si="77"/>
        <v>1063.8587380550364</v>
      </c>
      <c r="FJ87" s="59">
        <f ca="1">AVERAGE(OFFSET($FI$3,0,0,'Données projet'!$E$16+1,1))-AVERAGE(OFFSET($H$3,0,0,'Données projet'!$E$16+1,1))</f>
        <v>367.36535411813264</v>
      </c>
      <c r="FK87" s="59">
        <f t="shared" si="102"/>
        <v>293.19545174980556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81.065544893084137</v>
      </c>
      <c r="FR87" s="21">
        <f>EXP(-LN(2)/25)*FR86+(1-EXP(-LN(2)/25))/(LN(2)/25)*Calculateur!FM87*Calculateur!FO87*VLOOKUP('Données projet'!$B$16,Paramètres!$A$1:$I$89,3,0)*0.475*44/12</f>
        <v>9.6879477092656874</v>
      </c>
      <c r="FS87" s="21">
        <f>EXP(-LN(2)/2)*FS86+(1-EXP(-LN(2)/2))/(LN(2)/2)*FM87*FP87*VLOOKUP('Données projet'!$B$16,Paramètres!$A$1:$I$89,3,0)*0.475*44/12</f>
        <v>5.3975862199101573E-9</v>
      </c>
      <c r="FT87" s="22">
        <f t="shared" si="78"/>
        <v>90.753492607747404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669.99999999999989</v>
      </c>
      <c r="GA87" s="17">
        <f>FZ87*VLOOKUP('Données projet'!$B$17,Paramètres!$A$1:$I$89,3,0)*VLOOKUP('Données projet'!$B$17,Paramètres!$A$1:$I$89,5,0)</f>
        <v>322.26999999999992</v>
      </c>
      <c r="GB87" s="13">
        <f t="shared" si="103"/>
        <v>75.825476822885776</v>
      </c>
      <c r="GC87" s="20">
        <f t="shared" si="79"/>
        <v>693.34962213319261</v>
      </c>
      <c r="GD87" s="59">
        <f t="shared" si="80"/>
        <v>986.68295546652598</v>
      </c>
      <c r="GE87" s="59">
        <f ca="1">AVERAGE(OFFSET($GD$3,0,0,'Données projet'!$E$17+1,1))-AVERAGE(OFFSET($H$3,0,0,'Données projet'!$E$17+1,1))</f>
        <v>312.64506496298173</v>
      </c>
      <c r="GF87" s="59">
        <f t="shared" si="104"/>
        <v>259.97532509897508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104.64798674731088</v>
      </c>
      <c r="GM87" s="21">
        <f>EXP(-LN(2)/25)*GM86+(1-EXP(-LN(2)/25))/(LN(2)/25)*Calculateur!GH87*Calculateur!GJ87*VLOOKUP('Données projet'!$B$17,Paramètres!$A$1:$I$89,3,0)*0.475*44/12</f>
        <v>4.3801199164280087</v>
      </c>
      <c r="GN87" s="21">
        <f>EXP(-LN(2)/2)*GN86+(1-EXP(-LN(2)/2))/(LN(2)/2)*GH87*GK87*VLOOKUP('Données projet'!$B$17,Paramètres!$A$1:$I$89,3,0)*0.475*44/12</f>
        <v>2.869166390269741E-8</v>
      </c>
      <c r="GO87" s="21">
        <f t="shared" si="81"/>
        <v>109.02810669243055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5.8</v>
      </c>
      <c r="GU87" s="12">
        <f>IF('Données projet'!$A$270&gt;35,GU86+GT87-HC86,IF(A87&lt;'Données projet'!$A$270,$GR$205^A87,IF(A87='Données projet'!$A$270,'Données projet'!$B$270,GU86+GT87-HC86)))</f>
        <v>263.19999999999993</v>
      </c>
      <c r="GV87" s="17">
        <f>GU87*VLOOKUP('Données projet'!$B$18,Paramètres!$A$1:$I$89,3,0)*VLOOKUP('Données projet'!$B$18,Paramètres!$A$1:$I$89,5,0)</f>
        <v>266.88479999999993</v>
      </c>
      <c r="GW87" s="13">
        <f t="shared" si="105"/>
        <v>64.18769936370569</v>
      </c>
      <c r="GX87" s="20">
        <f t="shared" si="82"/>
        <v>576.61793639178723</v>
      </c>
      <c r="GY87" s="59">
        <f t="shared" si="83"/>
        <v>869.95126972512048</v>
      </c>
      <c r="GZ87" s="59">
        <f ca="1">AVERAGE(OFFSET($GY$3,0,0,'Données projet'!$E$18+1,1))-AVERAGE(OFFSET($H$3,0,0,'Données projet'!$E$18+1,1))</f>
        <v>308.80022073574963</v>
      </c>
      <c r="HA87" s="59">
        <f t="shared" si="106"/>
        <v>183.96267407004115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62.340884794830778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62.340884794830778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344.49457749226184</v>
      </c>
      <c r="T88" s="59">
        <f t="shared" si="88"/>
        <v>207.92972431357452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200</v>
      </c>
      <c r="AG88" s="12">
        <f>VLOOKUP(A88,'Données projet'!$A$61:$I$81,9,0)</f>
        <v>4.4000000000000004</v>
      </c>
      <c r="AH88" s="12">
        <f t="array" ref="AH88">INDEX(AG:AG,MIN(IF(ISNUMBER(AG88:AG284),ROW(AG88:AG284),"")))</f>
        <v>4.4000000000000004</v>
      </c>
      <c r="AI88" s="13">
        <f>IF('Données projet'!$A$62&gt;35,AI87+AH88-AQ87,IF(A88&lt;'Données projet'!$A$62,$AF$205^A88,IF(A88='Données projet'!$A$62,'Données projet'!$B$62,AI87+AH88-AQ87)))</f>
        <v>200</v>
      </c>
      <c r="AJ88" s="13">
        <f>AI88*VLOOKUP('Données projet'!$B$10,Paramètres!$A$1:$I$89,3,0)*VLOOKUP('Données projet'!$B$10,Paramètres!$A$1:$I$89,5,0)</f>
        <v>180.95999999999998</v>
      </c>
      <c r="AK88" s="13">
        <f t="shared" si="89"/>
        <v>45.53570231487172</v>
      </c>
      <c r="AL88" s="20">
        <f t="shared" si="58"/>
        <v>394.4800148650682</v>
      </c>
      <c r="AM88" s="59">
        <f t="shared" si="59"/>
        <v>687.81334819840151</v>
      </c>
      <c r="AN88" s="59">
        <f ca="1">AVERAGE(OFFSET($AM$3,0,0,'Données projet'!$E$10+1,1))-AVERAGE(OFFSET($H$3,0,0,'Données projet'!$E$10+1,1))</f>
        <v>183.0147113277086</v>
      </c>
      <c r="AO88" s="59">
        <f t="shared" si="90"/>
        <v>76.413905647258389</v>
      </c>
      <c r="AP88" s="15">
        <f>IF(ISNA(VLOOKUP(A88,'Données projet'!$A$61:$I$81,3,0)),0,VLOOKUP(A88,'Données projet'!$A$61:$I$81,3,0))</f>
        <v>11</v>
      </c>
      <c r="AQ88" s="15">
        <f>IF(ISNA(VLOOKUP(A88,'Données projet'!$A$61:$I$81,4,0)),0,VLOOKUP(A88,'Données projet'!$A$61:$I$81,4,0))</f>
        <v>14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42.219224181047366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42.219224181047366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253.79640000000001</v>
      </c>
      <c r="BF88" s="13">
        <f t="shared" si="91"/>
        <v>61.39816832228076</v>
      </c>
      <c r="BG88" s="20">
        <f t="shared" si="61"/>
        <v>548.96387316130563</v>
      </c>
      <c r="BH88" s="59">
        <f t="shared" si="62"/>
        <v>842.29720649463889</v>
      </c>
      <c r="BI88" s="59">
        <f ca="1">AVERAGE(OFFSET($BH$3,0,0,'Données projet'!$E$11+1,1))-AVERAGE(OFFSET($H$3,0,0,'Données projet'!$E$11+1,1))</f>
        <v>279.49721661620544</v>
      </c>
      <c r="BJ88" s="59">
        <f t="shared" si="92"/>
        <v>275.18739333988754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48.155731022117514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48.155731022117514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754.68411025369562</v>
      </c>
      <c r="CD88" s="59">
        <f ca="1">AVERAGE(OFFSET($CC$3,0,0,'Données projet'!$E$12+1,1))-AVERAGE(OFFSET($H$3,0,0,'Données projet'!$E$12+1,1))</f>
        <v>225.2323446080772</v>
      </c>
      <c r="CE88" s="59">
        <f t="shared" si="94"/>
        <v>222.29030402759292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39.296430556179182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39.296430556179182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213.00000000000003</v>
      </c>
      <c r="CU88" s="17">
        <f>CT88*VLOOKUP('Données projet'!$B$13,Paramètres!$A$1:$I$89,3,0)*VLOOKUP('Données projet'!$B$13,Paramètres!$A$1:$I$89,5,0)</f>
        <v>229.2732</v>
      </c>
      <c r="CV88" s="13">
        <f t="shared" si="95"/>
        <v>56.125501442527366</v>
      </c>
      <c r="CW88" s="20">
        <f t="shared" si="67"/>
        <v>497.06940501240177</v>
      </c>
      <c r="CX88" s="59">
        <f t="shared" si="68"/>
        <v>790.40273834573509</v>
      </c>
      <c r="CY88" s="59">
        <f ca="1">AVERAGE(OFFSET($CX$3,0,0,'Données projet'!$E$13+1,1))-AVERAGE(OFFSET($H$3,0,0,'Données projet'!$E$13+1,1))</f>
        <v>240.57184010337932</v>
      </c>
      <c r="CZ88" s="59">
        <f t="shared" si="96"/>
        <v>236.36473521227072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33.324412437501465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33.324412437501465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670.99999999999977</v>
      </c>
      <c r="DP88" s="17">
        <f>DO88*VLOOKUP('Données projet'!$B$14,Paramètres!$A$1:$I$89,3,0)*VLOOKUP('Données projet'!$B$14,Paramètres!$A$1:$I$89,5,0)</f>
        <v>314.02799999999991</v>
      </c>
      <c r="DQ88" s="13">
        <f t="shared" si="97"/>
        <v>74.109403804428752</v>
      </c>
      <c r="DR88" s="20">
        <f t="shared" si="70"/>
        <v>676.00597829271317</v>
      </c>
      <c r="DS88" s="59">
        <f t="shared" si="71"/>
        <v>969.33931162604654</v>
      </c>
      <c r="DT88" s="59">
        <f ca="1">AVERAGE(OFFSET($DS$3,0,0,'Données projet'!$E$14+1,1))-AVERAGE(OFFSET($H$3,0,0,'Données projet'!$E$14+1,1))</f>
        <v>304.29617570272939</v>
      </c>
      <c r="DU88" s="59">
        <f t="shared" si="98"/>
        <v>246.20695736161576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89.904799940801425</v>
      </c>
      <c r="EB88" s="21">
        <f>EXP(-LN(2)/25)*EB87+(1-EXP(-LN(2)/25))/(LN(2)/25)*Calculateur!DW88*Calculateur!DY88*VLOOKUP('Données projet'!$B$14,Paramètres!$A$1:$I$89,3,0)*0.475*44/12</f>
        <v>8.9067862243573988</v>
      </c>
      <c r="EC88" s="21">
        <f>EXP(-LN(2)/2)*EC87+(1-EXP(-LN(2)/2))/(LN(2)/2)*DW88*DZ88*VLOOKUP('Données projet'!$B$14,Paramètres!$A$1:$I$89,3,0)*0.475*44/12</f>
        <v>2.0726731084455099E-8</v>
      </c>
      <c r="ED88" s="22">
        <f t="shared" si="72"/>
        <v>98.81158618588556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477.9999999999996</v>
      </c>
      <c r="EK88" s="17">
        <f>EJ88*VLOOKUP('Données projet'!$B$15,Paramètres!$A$1:$I$89,3,0)*VLOOKUP('Données projet'!$B$15,Paramètres!$A$1:$I$89,5,0)</f>
        <v>285.84399999999977</v>
      </c>
      <c r="EL88" s="13">
        <f t="shared" si="99"/>
        <v>68.200525419065656</v>
      </c>
      <c r="EM88" s="20">
        <f t="shared" si="73"/>
        <v>616.62754843820551</v>
      </c>
      <c r="EN88" s="59">
        <f t="shared" si="74"/>
        <v>909.96088177153888</v>
      </c>
      <c r="EO88" s="59">
        <f ca="1">AVERAGE(OFFSET($EN$3,0,0,'Données projet'!$E$15+1,1))-AVERAGE(OFFSET($H$3,0,0,'Données projet'!$E$15+1,1))</f>
        <v>288.41846134875794</v>
      </c>
      <c r="EP88" s="59">
        <f t="shared" si="100"/>
        <v>248.93951719818972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65.043922952868144</v>
      </c>
      <c r="EW88" s="21">
        <f>EXP(-LN(2)/25)*EW87+(1-EXP(-LN(2)/25))/(LN(2)/25)*Calculateur!ER88*Calculateur!ET88*VLOOKUP('Données projet'!$B$15,Paramètres!$A$1:$I$89,3,0)*0.475*44/12</f>
        <v>6.0796901791966125</v>
      </c>
      <c r="EX88" s="21">
        <f>EXP(-LN(2)/2)*EX87+(1-EXP(-LN(2)/2))/(LN(2)/2)*ER88*EU88*VLOOKUP('Données projet'!$B$15,Paramètres!$A$1:$I$89,3,0)*0.475*44/12</f>
        <v>2.5638328048187513E-9</v>
      </c>
      <c r="EY88" s="22">
        <f t="shared" si="75"/>
        <v>71.123613134628599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789.00000000000045</v>
      </c>
      <c r="FF88" s="17">
        <f>FE88*VLOOKUP('Données projet'!$B$16,Paramètres!$A$1:$I$89,3,0)*VLOOKUP('Données projet'!$B$16,Paramètres!$A$1:$I$89,5,0)</f>
        <v>358.99500000000023</v>
      </c>
      <c r="FG88" s="13">
        <f t="shared" si="101"/>
        <v>83.411930940690553</v>
      </c>
      <c r="FH88" s="20">
        <f t="shared" si="76"/>
        <v>770.52540472170313</v>
      </c>
      <c r="FI88" s="59">
        <f t="shared" si="77"/>
        <v>1063.8587380550364</v>
      </c>
      <c r="FJ88" s="59">
        <f ca="1">AVERAGE(OFFSET($FI$3,0,0,'Données projet'!$E$16+1,1))-AVERAGE(OFFSET($H$3,0,0,'Données projet'!$E$16+1,1))</f>
        <v>367.36535411813264</v>
      </c>
      <c r="FK88" s="59">
        <f t="shared" si="102"/>
        <v>293.19545174980556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79.475899002830843</v>
      </c>
      <c r="FR88" s="21">
        <f>EXP(-LN(2)/25)*FR87+(1-EXP(-LN(2)/25))/(LN(2)/25)*Calculateur!FM88*Calculateur!FO88*VLOOKUP('Données projet'!$B$16,Paramètres!$A$1:$I$89,3,0)*0.475*44/12</f>
        <v>9.4230302696887893</v>
      </c>
      <c r="FS88" s="21">
        <f>EXP(-LN(2)/2)*FS87+(1-EXP(-LN(2)/2))/(LN(2)/2)*FM88*FP88*VLOOKUP('Données projet'!$B$16,Paramètres!$A$1:$I$89,3,0)*0.475*44/12</f>
        <v>3.8166698181375357E-9</v>
      </c>
      <c r="FT88" s="22">
        <f t="shared" si="78"/>
        <v>88.898929276336304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669.99999999999989</v>
      </c>
      <c r="GA88" s="17">
        <f>FZ88*VLOOKUP('Données projet'!$B$17,Paramètres!$A$1:$I$89,3,0)*VLOOKUP('Données projet'!$B$17,Paramètres!$A$1:$I$89,5,0)</f>
        <v>322.26999999999992</v>
      </c>
      <c r="GB88" s="13">
        <f t="shared" si="103"/>
        <v>75.825476822885776</v>
      </c>
      <c r="GC88" s="20">
        <f t="shared" si="79"/>
        <v>693.34962213319261</v>
      </c>
      <c r="GD88" s="59">
        <f t="shared" si="80"/>
        <v>986.68295546652598</v>
      </c>
      <c r="GE88" s="59">
        <f ca="1">AVERAGE(OFFSET($GD$3,0,0,'Données projet'!$E$17+1,1))-AVERAGE(OFFSET($H$3,0,0,'Données projet'!$E$17+1,1))</f>
        <v>312.64506496298173</v>
      </c>
      <c r="GF88" s="59">
        <f t="shared" si="104"/>
        <v>259.97532509897508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102.59590355616544</v>
      </c>
      <c r="GM88" s="21">
        <f>EXP(-LN(2)/25)*GM87+(1-EXP(-LN(2)/25))/(LN(2)/25)*Calculateur!GH88*Calculateur!GJ88*VLOOKUP('Données projet'!$B$17,Paramètres!$A$1:$I$89,3,0)*0.475*44/12</f>
        <v>4.2603453069727895</v>
      </c>
      <c r="GN88" s="21">
        <f>EXP(-LN(2)/2)*GN87+(1-EXP(-LN(2)/2))/(LN(2)/2)*GH88*GK88*VLOOKUP('Données projet'!$B$17,Paramètres!$A$1:$I$89,3,0)*0.475*44/12</f>
        <v>2.0288070109122621E-8</v>
      </c>
      <c r="GO88" s="21">
        <f t="shared" si="81"/>
        <v>106.8562488834263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269</v>
      </c>
      <c r="GS88" s="12">
        <f>VLOOKUP(A88,'Données projet'!$A$269:$I$289,9,0)</f>
        <v>5.8</v>
      </c>
      <c r="GT88" s="12">
        <f t="array" ref="GT88">INDEX(GS:GS,MIN(IF(ISNUMBER(GS88:GS284),ROW(GS88:GS284),"")))</f>
        <v>5.8</v>
      </c>
      <c r="GU88" s="12">
        <f>IF('Données projet'!$A$270&gt;35,GU87+GT88-HC87,IF(A88&lt;'Données projet'!$A$270,$GR$205^A88,IF(A88='Données projet'!$A$270,'Données projet'!$B$270,GU87+GT88-HC87)))</f>
        <v>268.99999999999994</v>
      </c>
      <c r="GV88" s="17">
        <f>GU88*VLOOKUP('Données projet'!$B$18,Paramètres!$A$1:$I$89,3,0)*VLOOKUP('Données projet'!$B$18,Paramètres!$A$1:$I$89,5,0)</f>
        <v>272.76599999999996</v>
      </c>
      <c r="GW88" s="13">
        <f t="shared" si="105"/>
        <v>65.43593563008757</v>
      </c>
      <c r="GX88" s="20">
        <f t="shared" si="82"/>
        <v>589.03503788906914</v>
      </c>
      <c r="GY88" s="59">
        <f t="shared" si="83"/>
        <v>882.3683712224024</v>
      </c>
      <c r="GZ88" s="59">
        <f ca="1">AVERAGE(OFFSET($GY$3,0,0,'Données projet'!$E$18+1,1))-AVERAGE(OFFSET($H$3,0,0,'Données projet'!$E$18+1,1))</f>
        <v>308.80022073574963</v>
      </c>
      <c r="HA88" s="59">
        <f t="shared" si="106"/>
        <v>183.96267407004115</v>
      </c>
      <c r="HB88" s="15">
        <f>IF(ISNA(VLOOKUP(A88,'Données projet'!$A$269:$I$289,3,0)),0,VLOOKUP(A88,'Données projet'!$A$269:$I$289,3,0))</f>
        <v>13</v>
      </c>
      <c r="HC88" s="15">
        <f>IF(ISNA(VLOOKUP(A88,'Données projet'!$A$269:$I$289,4,0)),0,VLOOKUP(A88,'Données projet'!$A$269:$I$289,4,0))</f>
        <v>21</v>
      </c>
      <c r="HD88" s="16">
        <f>IF(ISNA(VLOOKUP(A88,'Données projet'!$A$269:$I$289,5,0)),0%,VLOOKUP(A88,'Données projet'!$A$269:$I$289,5,0)*VLOOKUP('Données projet'!$B$18,Paramètres!$A$1:$I$89,7,0))</f>
        <v>0.43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71.240569160752386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71.240569160752386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344.49457749226184</v>
      </c>
      <c r="T89" s="59">
        <f t="shared" si="88"/>
        <v>207.92972431357452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4.2</v>
      </c>
      <c r="AI89" s="13">
        <f>IF('Données projet'!$A$62&gt;35,AI88+AH89-AQ88,IF(A89&lt;'Données projet'!$A$62,$AF$205^A89,IF(A89='Données projet'!$A$62,'Données projet'!$B$62,AI88+AH89-AQ88)))</f>
        <v>190.2</v>
      </c>
      <c r="AJ89" s="13">
        <f>AI89*VLOOKUP('Données projet'!$B$10,Paramètres!$A$1:$I$89,3,0)*VLOOKUP('Données projet'!$B$10,Paramètres!$A$1:$I$89,5,0)</f>
        <v>172.09295999999998</v>
      </c>
      <c r="AK89" s="13">
        <f t="shared" si="89"/>
        <v>43.558442654163649</v>
      </c>
      <c r="AL89" s="20">
        <f t="shared" si="58"/>
        <v>375.5928596226683</v>
      </c>
      <c r="AM89" s="59">
        <f t="shared" si="59"/>
        <v>668.92619295600161</v>
      </c>
      <c r="AN89" s="59">
        <f ca="1">AVERAGE(OFFSET($AM$3,0,0,'Données projet'!$E$10+1,1))-AVERAGE(OFFSET($H$3,0,0,'Données projet'!$E$10+1,1))</f>
        <v>183.0147113277086</v>
      </c>
      <c r="AO89" s="59">
        <f t="shared" si="90"/>
        <v>76.413905647258389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41.391330946041059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41.391330946041059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253.79640000000001</v>
      </c>
      <c r="BF89" s="13">
        <f t="shared" si="91"/>
        <v>61.39816832228076</v>
      </c>
      <c r="BG89" s="20">
        <f t="shared" si="61"/>
        <v>548.96387316130563</v>
      </c>
      <c r="BH89" s="59">
        <f t="shared" si="62"/>
        <v>842.29720649463889</v>
      </c>
      <c r="BI89" s="59">
        <f ca="1">AVERAGE(OFFSET($BH$3,0,0,'Données projet'!$E$11+1,1))-AVERAGE(OFFSET($H$3,0,0,'Données projet'!$E$11+1,1))</f>
        <v>279.49721661620544</v>
      </c>
      <c r="BJ89" s="59">
        <f t="shared" si="92"/>
        <v>275.18739333988754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47.211426508869458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47.211426508869458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754.68411025369562</v>
      </c>
      <c r="CD89" s="59">
        <f ca="1">AVERAGE(OFFSET($CC$3,0,0,'Données projet'!$E$12+1,1))-AVERAGE(OFFSET($H$3,0,0,'Données projet'!$E$12+1,1))</f>
        <v>225.2323446080772</v>
      </c>
      <c r="CE89" s="59">
        <f t="shared" si="94"/>
        <v>222.29030402759292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38.525851521428457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38.525851521428457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213.00000000000003</v>
      </c>
      <c r="CU89" s="17">
        <f>CT89*VLOOKUP('Données projet'!$B$13,Paramètres!$A$1:$I$89,3,0)*VLOOKUP('Données projet'!$B$13,Paramètres!$A$1:$I$89,5,0)</f>
        <v>229.2732</v>
      </c>
      <c r="CV89" s="13">
        <f t="shared" si="95"/>
        <v>56.125501442527366</v>
      </c>
      <c r="CW89" s="20">
        <f t="shared" si="67"/>
        <v>497.06940501240177</v>
      </c>
      <c r="CX89" s="59">
        <f t="shared" si="68"/>
        <v>790.40273834573509</v>
      </c>
      <c r="CY89" s="59">
        <f ca="1">AVERAGE(OFFSET($CX$3,0,0,'Données projet'!$E$13+1,1))-AVERAGE(OFFSET($H$3,0,0,'Données projet'!$E$13+1,1))</f>
        <v>240.57184010337932</v>
      </c>
      <c r="CZ89" s="59">
        <f t="shared" si="96"/>
        <v>236.36473521227072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32.670941035486635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32.670941035486635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670.99999999999977</v>
      </c>
      <c r="DP89" s="17">
        <f>DO89*VLOOKUP('Données projet'!$B$14,Paramètres!$A$1:$I$89,3,0)*VLOOKUP('Données projet'!$B$14,Paramètres!$A$1:$I$89,5,0)</f>
        <v>314.02799999999991</v>
      </c>
      <c r="DQ89" s="13">
        <f t="shared" si="97"/>
        <v>74.109403804428752</v>
      </c>
      <c r="DR89" s="20">
        <f t="shared" si="70"/>
        <v>676.00597829271317</v>
      </c>
      <c r="DS89" s="59">
        <f t="shared" si="71"/>
        <v>969.33931162604654</v>
      </c>
      <c r="DT89" s="59">
        <f ca="1">AVERAGE(OFFSET($DS$3,0,0,'Données projet'!$E$14+1,1))-AVERAGE(OFFSET($H$3,0,0,'Données projet'!$E$14+1,1))</f>
        <v>304.29617570272939</v>
      </c>
      <c r="DU89" s="59">
        <f t="shared" si="98"/>
        <v>246.20695736161576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88.14182165047562</v>
      </c>
      <c r="EB89" s="21">
        <f>EXP(-LN(2)/25)*EB88+(1-EXP(-LN(2)/25))/(LN(2)/25)*Calculateur!DW89*Calculateur!DY89*VLOOKUP('Données projet'!$B$14,Paramètres!$A$1:$I$89,3,0)*0.475*44/12</f>
        <v>8.6632296866648151</v>
      </c>
      <c r="EC89" s="21">
        <f>EXP(-LN(2)/2)*EC88+(1-EXP(-LN(2)/2))/(LN(2)/2)*DW89*DZ89*VLOOKUP('Données projet'!$B$14,Paramètres!$A$1:$I$89,3,0)*0.475*44/12</f>
        <v>1.4656012101648205E-8</v>
      </c>
      <c r="ED89" s="22">
        <f t="shared" si="72"/>
        <v>96.80505135179645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477.9999999999996</v>
      </c>
      <c r="EK89" s="17">
        <f>EJ89*VLOOKUP('Données projet'!$B$15,Paramètres!$A$1:$I$89,3,0)*VLOOKUP('Données projet'!$B$15,Paramètres!$A$1:$I$89,5,0)</f>
        <v>285.84399999999977</v>
      </c>
      <c r="EL89" s="13">
        <f t="shared" si="99"/>
        <v>68.200525419065656</v>
      </c>
      <c r="EM89" s="20">
        <f t="shared" si="73"/>
        <v>616.62754843820551</v>
      </c>
      <c r="EN89" s="59">
        <f t="shared" si="74"/>
        <v>909.96088177153888</v>
      </c>
      <c r="EO89" s="59">
        <f ca="1">AVERAGE(OFFSET($EN$3,0,0,'Données projet'!$E$15+1,1))-AVERAGE(OFFSET($H$3,0,0,'Données projet'!$E$15+1,1))</f>
        <v>288.41846134875794</v>
      </c>
      <c r="EP89" s="59">
        <f t="shared" si="100"/>
        <v>248.93951719818972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63.768451296638027</v>
      </c>
      <c r="EW89" s="21">
        <f>EXP(-LN(2)/25)*EW88+(1-EXP(-LN(2)/25))/(LN(2)/25)*Calculateur!ER89*Calculateur!ET89*VLOOKUP('Données projet'!$B$15,Paramètres!$A$1:$I$89,3,0)*0.475*44/12</f>
        <v>5.9134407315294695</v>
      </c>
      <c r="EX89" s="21">
        <f>EXP(-LN(2)/2)*EX88+(1-EXP(-LN(2)/2))/(LN(2)/2)*ER89*EU89*VLOOKUP('Données projet'!$B$15,Paramètres!$A$1:$I$89,3,0)*0.475*44/12</f>
        <v>1.8129035621158653E-9</v>
      </c>
      <c r="EY89" s="22">
        <f t="shared" si="75"/>
        <v>69.681892029980403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789.00000000000045</v>
      </c>
      <c r="FF89" s="17">
        <f>FE89*VLOOKUP('Données projet'!$B$16,Paramètres!$A$1:$I$89,3,0)*VLOOKUP('Données projet'!$B$16,Paramètres!$A$1:$I$89,5,0)</f>
        <v>358.99500000000023</v>
      </c>
      <c r="FG89" s="13">
        <f t="shared" si="101"/>
        <v>83.411930940690553</v>
      </c>
      <c r="FH89" s="20">
        <f t="shared" si="76"/>
        <v>770.52540472170313</v>
      </c>
      <c r="FI89" s="59">
        <f t="shared" si="77"/>
        <v>1063.8587380550364</v>
      </c>
      <c r="FJ89" s="59">
        <f ca="1">AVERAGE(OFFSET($FI$3,0,0,'Données projet'!$E$16+1,1))-AVERAGE(OFFSET($H$3,0,0,'Données projet'!$E$16+1,1))</f>
        <v>367.36535411813264</v>
      </c>
      <c r="FK89" s="59">
        <f t="shared" si="102"/>
        <v>293.19545174980556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77.917425098897169</v>
      </c>
      <c r="FR89" s="21">
        <f>EXP(-LN(2)/25)*FR88+(1-EXP(-LN(2)/25))/(LN(2)/25)*Calculateur!FM89*Calculateur!FO89*VLOOKUP('Données projet'!$B$16,Paramètres!$A$1:$I$89,3,0)*0.475*44/12</f>
        <v>9.1653570114285241</v>
      </c>
      <c r="FS89" s="21">
        <f>EXP(-LN(2)/2)*FS88+(1-EXP(-LN(2)/2))/(LN(2)/2)*FM89*FP89*VLOOKUP('Données projet'!$B$16,Paramètres!$A$1:$I$89,3,0)*0.475*44/12</f>
        <v>2.6987931099550787E-9</v>
      </c>
      <c r="FT89" s="22">
        <f t="shared" si="78"/>
        <v>87.082782113024493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669.99999999999989</v>
      </c>
      <c r="GA89" s="17">
        <f>FZ89*VLOOKUP('Données projet'!$B$17,Paramètres!$A$1:$I$89,3,0)*VLOOKUP('Données projet'!$B$17,Paramètres!$A$1:$I$89,5,0)</f>
        <v>322.26999999999992</v>
      </c>
      <c r="GB89" s="13">
        <f t="shared" si="103"/>
        <v>75.825476822885776</v>
      </c>
      <c r="GC89" s="20">
        <f t="shared" si="79"/>
        <v>693.34962213319261</v>
      </c>
      <c r="GD89" s="59">
        <f t="shared" si="80"/>
        <v>986.68295546652598</v>
      </c>
      <c r="GE89" s="59">
        <f ca="1">AVERAGE(OFFSET($GD$3,0,0,'Données projet'!$E$17+1,1))-AVERAGE(OFFSET($H$3,0,0,'Données projet'!$E$17+1,1))</f>
        <v>312.64506496298173</v>
      </c>
      <c r="GF89" s="59">
        <f t="shared" si="104"/>
        <v>259.97532509897508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100.5840604647512</v>
      </c>
      <c r="GM89" s="21">
        <f>EXP(-LN(2)/25)*GM88+(1-EXP(-LN(2)/25))/(LN(2)/25)*Calculateur!GH89*Calculateur!GJ89*VLOOKUP('Données projet'!$B$17,Paramètres!$A$1:$I$89,3,0)*0.475*44/12</f>
        <v>4.1438459405117962</v>
      </c>
      <c r="GN89" s="21">
        <f>EXP(-LN(2)/2)*GN88+(1-EXP(-LN(2)/2))/(LN(2)/2)*GH89*GK89*VLOOKUP('Données projet'!$B$17,Paramètres!$A$1:$I$89,3,0)*0.475*44/12</f>
        <v>1.4345831951348705E-8</v>
      </c>
      <c r="GO89" s="21">
        <f t="shared" si="81"/>
        <v>104.72790641960883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5.4</v>
      </c>
      <c r="GU89" s="12">
        <f>IF('Données projet'!$A$270&gt;35,GU88+GT89-HC88,IF(A89&lt;'Données projet'!$A$270,$GR$205^A89,IF(A89='Données projet'!$A$270,'Données projet'!$B$270,GU88+GT89-HC88)))</f>
        <v>253.39999999999992</v>
      </c>
      <c r="GV89" s="17">
        <f>GU89*VLOOKUP('Données projet'!$B$18,Paramètres!$A$1:$I$89,3,0)*VLOOKUP('Données projet'!$B$18,Paramètres!$A$1:$I$89,5,0)</f>
        <v>256.94759999999991</v>
      </c>
      <c r="GW89" s="13">
        <f t="shared" si="105"/>
        <v>62.071283104858246</v>
      </c>
      <c r="GX89" s="20">
        <f t="shared" si="82"/>
        <v>555.62455474096134</v>
      </c>
      <c r="GY89" s="59">
        <f t="shared" si="83"/>
        <v>848.95788807429471</v>
      </c>
      <c r="GZ89" s="59">
        <f ca="1">AVERAGE(OFFSET($GY$3,0,0,'Données projet'!$E$18+1,1))-AVERAGE(OFFSET($H$3,0,0,'Données projet'!$E$18+1,1))</f>
        <v>308.80022073574963</v>
      </c>
      <c r="HA89" s="59">
        <f t="shared" si="106"/>
        <v>183.96267407004115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69.843585051966642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69.843585051966642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344.49457749226184</v>
      </c>
      <c r="T90" s="59">
        <f t="shared" si="88"/>
        <v>207.92972431357452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4.2</v>
      </c>
      <c r="AI90" s="13">
        <f>IF('Données projet'!$A$62&gt;35,AI89+AH90-AQ89,IF(A90&lt;'Données projet'!$A$62,$AF$205^A90,IF(A90='Données projet'!$A$62,'Données projet'!$B$62,AI89+AH90-AQ89)))</f>
        <v>194.39999999999998</v>
      </c>
      <c r="AJ90" s="13">
        <f>AI90*VLOOKUP('Données projet'!$B$10,Paramètres!$A$1:$I$89,3,0)*VLOOKUP('Données projet'!$B$10,Paramètres!$A$1:$I$89,5,0)</f>
        <v>175.89311999999998</v>
      </c>
      <c r="AK90" s="13">
        <f t="shared" si="89"/>
        <v>44.407257302525892</v>
      </c>
      <c r="AL90" s="20">
        <f t="shared" si="58"/>
        <v>383.68982380189919</v>
      </c>
      <c r="AM90" s="59">
        <f t="shared" si="59"/>
        <v>677.02315713523251</v>
      </c>
      <c r="AN90" s="59">
        <f ca="1">AVERAGE(OFFSET($AM$3,0,0,'Données projet'!$E$10+1,1))-AVERAGE(OFFSET($H$3,0,0,'Données projet'!$E$10+1,1))</f>
        <v>183.0147113277086</v>
      </c>
      <c r="AO90" s="59">
        <f t="shared" si="90"/>
        <v>76.413905647258389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40.579672192408211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40.579672192408211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253.79640000000001</v>
      </c>
      <c r="BF90" s="13">
        <f t="shared" si="91"/>
        <v>61.39816832228076</v>
      </c>
      <c r="BG90" s="20">
        <f t="shared" si="61"/>
        <v>548.96387316130563</v>
      </c>
      <c r="BH90" s="59">
        <f t="shared" si="62"/>
        <v>842.29720649463889</v>
      </c>
      <c r="BI90" s="59">
        <f ca="1">AVERAGE(OFFSET($BH$3,0,0,'Données projet'!$E$11+1,1))-AVERAGE(OFFSET($H$3,0,0,'Données projet'!$E$11+1,1))</f>
        <v>279.49721661620544</v>
      </c>
      <c r="BJ90" s="59">
        <f t="shared" si="92"/>
        <v>275.18739333988754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46.285639231157319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46.285639231157319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754.68411025369562</v>
      </c>
      <c r="CD90" s="59">
        <f ca="1">AVERAGE(OFFSET($CC$3,0,0,'Données projet'!$E$12+1,1))-AVERAGE(OFFSET($H$3,0,0,'Données projet'!$E$12+1,1))</f>
        <v>225.2323446080772</v>
      </c>
      <c r="CE90" s="59">
        <f t="shared" si="94"/>
        <v>222.29030402759292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37.77038307154239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37.77038307154239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213.00000000000003</v>
      </c>
      <c r="CU90" s="17">
        <f>CT90*VLOOKUP('Données projet'!$B$13,Paramètres!$A$1:$I$89,3,0)*VLOOKUP('Données projet'!$B$13,Paramètres!$A$1:$I$89,5,0)</f>
        <v>229.2732</v>
      </c>
      <c r="CV90" s="13">
        <f t="shared" si="95"/>
        <v>56.125501442527366</v>
      </c>
      <c r="CW90" s="20">
        <f t="shared" si="67"/>
        <v>497.06940501240177</v>
      </c>
      <c r="CX90" s="59">
        <f t="shared" si="68"/>
        <v>790.40273834573509</v>
      </c>
      <c r="CY90" s="59">
        <f ca="1">AVERAGE(OFFSET($CX$3,0,0,'Données projet'!$E$13+1,1))-AVERAGE(OFFSET($H$3,0,0,'Données projet'!$E$13+1,1))</f>
        <v>240.57184010337932</v>
      </c>
      <c r="CZ90" s="59">
        <f t="shared" si="96"/>
        <v>236.36473521227072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32.030283809087116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32.030283809087116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670.99999999999977</v>
      </c>
      <c r="DP90" s="17">
        <f>DO90*VLOOKUP('Données projet'!$B$14,Paramètres!$A$1:$I$89,3,0)*VLOOKUP('Données projet'!$B$14,Paramètres!$A$1:$I$89,5,0)</f>
        <v>314.02799999999991</v>
      </c>
      <c r="DQ90" s="13">
        <f t="shared" si="97"/>
        <v>74.109403804428752</v>
      </c>
      <c r="DR90" s="20">
        <f t="shared" si="70"/>
        <v>676.00597829271317</v>
      </c>
      <c r="DS90" s="59">
        <f t="shared" si="71"/>
        <v>969.33931162604654</v>
      </c>
      <c r="DT90" s="59">
        <f ca="1">AVERAGE(OFFSET($DS$3,0,0,'Données projet'!$E$14+1,1))-AVERAGE(OFFSET($H$3,0,0,'Données projet'!$E$14+1,1))</f>
        <v>304.29617570272939</v>
      </c>
      <c r="DU90" s="59">
        <f t="shared" si="98"/>
        <v>246.20695736161576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86.413414289112524</v>
      </c>
      <c r="EB90" s="21">
        <f>EXP(-LN(2)/25)*EB89+(1-EXP(-LN(2)/25))/(LN(2)/25)*Calculateur!DW90*Calculateur!DY90*VLOOKUP('Données projet'!$B$14,Paramètres!$A$1:$I$89,3,0)*0.475*44/12</f>
        <v>8.4263332153035169</v>
      </c>
      <c r="EC90" s="21">
        <f>EXP(-LN(2)/2)*EC89+(1-EXP(-LN(2)/2))/(LN(2)/2)*DW90*DZ90*VLOOKUP('Données projet'!$B$14,Paramètres!$A$1:$I$89,3,0)*0.475*44/12</f>
        <v>1.0363365542227551E-8</v>
      </c>
      <c r="ED90" s="22">
        <f t="shared" si="72"/>
        <v>94.839747514779404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477.9999999999996</v>
      </c>
      <c r="EK90" s="17">
        <f>EJ90*VLOOKUP('Données projet'!$B$15,Paramètres!$A$1:$I$89,3,0)*VLOOKUP('Données projet'!$B$15,Paramètres!$A$1:$I$89,5,0)</f>
        <v>285.84399999999977</v>
      </c>
      <c r="EL90" s="13">
        <f t="shared" si="99"/>
        <v>68.200525419065656</v>
      </c>
      <c r="EM90" s="20">
        <f t="shared" si="73"/>
        <v>616.62754843820551</v>
      </c>
      <c r="EN90" s="59">
        <f t="shared" si="74"/>
        <v>909.96088177153888</v>
      </c>
      <c r="EO90" s="59">
        <f ca="1">AVERAGE(OFFSET($EN$3,0,0,'Données projet'!$E$15+1,1))-AVERAGE(OFFSET($H$3,0,0,'Données projet'!$E$15+1,1))</f>
        <v>288.41846134875794</v>
      </c>
      <c r="EP90" s="59">
        <f t="shared" si="100"/>
        <v>248.93951719818972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62.517990861625691</v>
      </c>
      <c r="EW90" s="21">
        <f>EXP(-LN(2)/25)*EW89+(1-EXP(-LN(2)/25))/(LN(2)/25)*Calculateur!ER90*Calculateur!ET90*VLOOKUP('Données projet'!$B$15,Paramètres!$A$1:$I$89,3,0)*0.475*44/12</f>
        <v>5.7517373837514638</v>
      </c>
      <c r="EX90" s="21">
        <f>EXP(-LN(2)/2)*EX89+(1-EXP(-LN(2)/2))/(LN(2)/2)*ER90*EU90*VLOOKUP('Données projet'!$B$15,Paramètres!$A$1:$I$89,3,0)*0.475*44/12</f>
        <v>1.2819164024093759E-9</v>
      </c>
      <c r="EY90" s="22">
        <f t="shared" si="75"/>
        <v>68.269728246659071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789.00000000000045</v>
      </c>
      <c r="FF90" s="17">
        <f>FE90*VLOOKUP('Données projet'!$B$16,Paramètres!$A$1:$I$89,3,0)*VLOOKUP('Données projet'!$B$16,Paramètres!$A$1:$I$89,5,0)</f>
        <v>358.99500000000023</v>
      </c>
      <c r="FG90" s="13">
        <f t="shared" si="101"/>
        <v>83.411930940690553</v>
      </c>
      <c r="FH90" s="20">
        <f t="shared" si="76"/>
        <v>770.52540472170313</v>
      </c>
      <c r="FI90" s="59">
        <f t="shared" si="77"/>
        <v>1063.8587380550364</v>
      </c>
      <c r="FJ90" s="59">
        <f ca="1">AVERAGE(OFFSET($FI$3,0,0,'Données projet'!$E$16+1,1))-AVERAGE(OFFSET($H$3,0,0,'Données projet'!$E$16+1,1))</f>
        <v>367.36535411813264</v>
      </c>
      <c r="FK90" s="59">
        <f t="shared" si="102"/>
        <v>293.19545174980556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76.389511917644413</v>
      </c>
      <c r="FR90" s="21">
        <f>EXP(-LN(2)/25)*FR89+(1-EXP(-LN(2)/25))/(LN(2)/25)*Calculateur!FM90*Calculateur!FO90*VLOOKUP('Données projet'!$B$16,Paramètres!$A$1:$I$89,3,0)*0.475*44/12</f>
        <v>8.9147298419658334</v>
      </c>
      <c r="FS90" s="21">
        <f>EXP(-LN(2)/2)*FS89+(1-EXP(-LN(2)/2))/(LN(2)/2)*FM90*FP90*VLOOKUP('Données projet'!$B$16,Paramètres!$A$1:$I$89,3,0)*0.475*44/12</f>
        <v>1.9083349090687678E-9</v>
      </c>
      <c r="FT90" s="22">
        <f t="shared" si="78"/>
        <v>85.304241761518583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669.99999999999989</v>
      </c>
      <c r="GA90" s="17">
        <f>FZ90*VLOOKUP('Données projet'!$B$17,Paramètres!$A$1:$I$89,3,0)*VLOOKUP('Données projet'!$B$17,Paramètres!$A$1:$I$89,5,0)</f>
        <v>322.26999999999992</v>
      </c>
      <c r="GB90" s="13">
        <f t="shared" si="103"/>
        <v>75.825476822885776</v>
      </c>
      <c r="GC90" s="20">
        <f t="shared" si="79"/>
        <v>693.34962213319261</v>
      </c>
      <c r="GD90" s="59">
        <f t="shared" si="80"/>
        <v>986.68295546652598</v>
      </c>
      <c r="GE90" s="59">
        <f ca="1">AVERAGE(OFFSET($GD$3,0,0,'Données projet'!$E$17+1,1))-AVERAGE(OFFSET($H$3,0,0,'Données projet'!$E$17+1,1))</f>
        <v>312.64506496298173</v>
      </c>
      <c r="GF90" s="59">
        <f t="shared" si="104"/>
        <v>259.97532509897508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98.611668389256479</v>
      </c>
      <c r="GM90" s="21">
        <f>EXP(-LN(2)/25)*GM89+(1-EXP(-LN(2)/25))/(LN(2)/25)*Calculateur!GH90*Calculateur!GJ90*VLOOKUP('Données projet'!$B$17,Paramètres!$A$1:$I$89,3,0)*0.475*44/12</f>
        <v>4.0305322553531138</v>
      </c>
      <c r="GN90" s="21">
        <f>EXP(-LN(2)/2)*GN89+(1-EXP(-LN(2)/2))/(LN(2)/2)*GH90*GK90*VLOOKUP('Données projet'!$B$17,Paramètres!$A$1:$I$89,3,0)*0.475*44/12</f>
        <v>1.0144035054561311E-8</v>
      </c>
      <c r="GO90" s="21">
        <f t="shared" si="81"/>
        <v>102.64220065475362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5.4</v>
      </c>
      <c r="GU90" s="12">
        <f>IF('Données projet'!$A$270&gt;35,GU89+GT90-HC89,IF(A90&lt;'Données projet'!$A$270,$GR$205^A90,IF(A90='Données projet'!$A$270,'Données projet'!$B$270,GU89+GT90-HC89)))</f>
        <v>258.7999999999999</v>
      </c>
      <c r="GV90" s="17">
        <f>GU90*VLOOKUP('Données projet'!$B$18,Paramètres!$A$1:$I$89,3,0)*VLOOKUP('Données projet'!$B$18,Paramètres!$A$1:$I$89,5,0)</f>
        <v>262.42319999999989</v>
      </c>
      <c r="GW90" s="13">
        <f t="shared" si="105"/>
        <v>63.238627062047733</v>
      </c>
      <c r="GX90" s="20">
        <f t="shared" si="82"/>
        <v>567.19434879973289</v>
      </c>
      <c r="GY90" s="59">
        <f t="shared" si="83"/>
        <v>860.52768213306626</v>
      </c>
      <c r="GZ90" s="59">
        <f ca="1">AVERAGE(OFFSET($GY$3,0,0,'Données projet'!$E$18+1,1))-AVERAGE(OFFSET($H$3,0,0,'Données projet'!$E$18+1,1))</f>
        <v>308.80022073574963</v>
      </c>
      <c r="HA90" s="59">
        <f t="shared" si="106"/>
        <v>183.96267407004115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68.473994949478026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68.473994949478026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344.49457749226184</v>
      </c>
      <c r="T91" s="59">
        <f t="shared" si="88"/>
        <v>207.92972431357452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4.2</v>
      </c>
      <c r="AI91" s="13">
        <f>IF('Données projet'!$A$62&gt;35,AI90+AH91-AQ90,IF(A91&lt;'Données projet'!$A$62,$AF$205^A91,IF(A91='Données projet'!$A$62,'Données projet'!$B$62,AI90+AH91-AQ90)))</f>
        <v>198.59999999999997</v>
      </c>
      <c r="AJ91" s="13">
        <f>AI91*VLOOKUP('Données projet'!$B$10,Paramètres!$A$1:$I$89,3,0)*VLOOKUP('Données projet'!$B$10,Paramètres!$A$1:$I$89,5,0)</f>
        <v>179.69327999999996</v>
      </c>
      <c r="AK91" s="13">
        <f t="shared" si="89"/>
        <v>45.253939845742309</v>
      </c>
      <c r="AL91" s="20">
        <f t="shared" si="58"/>
        <v>391.78307456466774</v>
      </c>
      <c r="AM91" s="59">
        <f t="shared" si="59"/>
        <v>685.11640789800106</v>
      </c>
      <c r="AN91" s="59">
        <f ca="1">AVERAGE(OFFSET($AM$3,0,0,'Données projet'!$E$10+1,1))-AVERAGE(OFFSET($H$3,0,0,'Données projet'!$E$10+1,1))</f>
        <v>183.0147113277086</v>
      </c>
      <c r="AO91" s="59">
        <f t="shared" si="90"/>
        <v>76.413905647258389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39.783929571871148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39.783929571871148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253.79640000000001</v>
      </c>
      <c r="BF91" s="13">
        <f t="shared" si="91"/>
        <v>61.39816832228076</v>
      </c>
      <c r="BG91" s="20">
        <f t="shared" si="61"/>
        <v>548.96387316130563</v>
      </c>
      <c r="BH91" s="59">
        <f t="shared" si="62"/>
        <v>842.29720649463889</v>
      </c>
      <c r="BI91" s="59">
        <f ca="1">AVERAGE(OFFSET($BH$3,0,0,'Données projet'!$E$11+1,1))-AVERAGE(OFFSET($H$3,0,0,'Données projet'!$E$11+1,1))</f>
        <v>279.49721661620544</v>
      </c>
      <c r="BJ91" s="59">
        <f t="shared" si="92"/>
        <v>275.18739333988754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45.378006077286628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45.378006077286628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754.68411025369562</v>
      </c>
      <c r="CD91" s="59">
        <f ca="1">AVERAGE(OFFSET($CC$3,0,0,'Données projet'!$E$12+1,1))-AVERAGE(OFFSET($H$3,0,0,'Données projet'!$E$12+1,1))</f>
        <v>225.2323446080772</v>
      </c>
      <c r="CE91" s="59">
        <f t="shared" si="94"/>
        <v>222.29030402759292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37.02972889716834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37.02972889716834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213.00000000000003</v>
      </c>
      <c r="CU91" s="17">
        <f>CT91*VLOOKUP('Données projet'!$B$13,Paramètres!$A$1:$I$89,3,0)*VLOOKUP('Données projet'!$B$13,Paramètres!$A$1:$I$89,5,0)</f>
        <v>229.2732</v>
      </c>
      <c r="CV91" s="13">
        <f t="shared" si="95"/>
        <v>56.125501442527366</v>
      </c>
      <c r="CW91" s="20">
        <f t="shared" si="67"/>
        <v>497.06940501240177</v>
      </c>
      <c r="CX91" s="59">
        <f t="shared" si="68"/>
        <v>790.40273834573509</v>
      </c>
      <c r="CY91" s="59">
        <f ca="1">AVERAGE(OFFSET($CX$3,0,0,'Données projet'!$E$13+1,1))-AVERAGE(OFFSET($H$3,0,0,'Données projet'!$E$13+1,1))</f>
        <v>240.57184010337932</v>
      </c>
      <c r="CZ91" s="59">
        <f t="shared" si="96"/>
        <v>236.36473521227072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31.402189480134968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31.402189480134968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670.99999999999977</v>
      </c>
      <c r="DP91" s="17">
        <f>DO91*VLOOKUP('Données projet'!$B$14,Paramètres!$A$1:$I$89,3,0)*VLOOKUP('Données projet'!$B$14,Paramètres!$A$1:$I$89,5,0)</f>
        <v>314.02799999999991</v>
      </c>
      <c r="DQ91" s="13">
        <f t="shared" si="97"/>
        <v>74.109403804428752</v>
      </c>
      <c r="DR91" s="20">
        <f t="shared" si="70"/>
        <v>676.00597829271317</v>
      </c>
      <c r="DS91" s="59">
        <f t="shared" si="71"/>
        <v>969.33931162604654</v>
      </c>
      <c r="DT91" s="59">
        <f ca="1">AVERAGE(OFFSET($DS$3,0,0,'Données projet'!$E$14+1,1))-AVERAGE(OFFSET($H$3,0,0,'Données projet'!$E$14+1,1))</f>
        <v>304.29617570272939</v>
      </c>
      <c r="DU91" s="59">
        <f t="shared" si="98"/>
        <v>246.20695736161576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84.718899941881361</v>
      </c>
      <c r="EB91" s="21">
        <f>EXP(-LN(2)/25)*EB90+(1-EXP(-LN(2)/25))/(LN(2)/25)*Calculateur!DW91*Calculateur!DY91*VLOOKUP('Données projet'!$B$14,Paramètres!$A$1:$I$89,3,0)*0.475*44/12</f>
        <v>8.1959146904094364</v>
      </c>
      <c r="EC91" s="21">
        <f>EXP(-LN(2)/2)*EC90+(1-EXP(-LN(2)/2))/(LN(2)/2)*DW91*DZ91*VLOOKUP('Données projet'!$B$14,Paramètres!$A$1:$I$89,3,0)*0.475*44/12</f>
        <v>7.3280060508241041E-9</v>
      </c>
      <c r="ED91" s="22">
        <f t="shared" si="72"/>
        <v>92.914814639618811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477.9999999999996</v>
      </c>
      <c r="EK91" s="17">
        <f>EJ91*VLOOKUP('Données projet'!$B$15,Paramètres!$A$1:$I$89,3,0)*VLOOKUP('Données projet'!$B$15,Paramètres!$A$1:$I$89,5,0)</f>
        <v>285.84399999999977</v>
      </c>
      <c r="EL91" s="13">
        <f t="shared" si="99"/>
        <v>68.200525419065656</v>
      </c>
      <c r="EM91" s="20">
        <f t="shared" si="73"/>
        <v>616.62754843820551</v>
      </c>
      <c r="EN91" s="59">
        <f t="shared" si="74"/>
        <v>909.96088177153888</v>
      </c>
      <c r="EO91" s="59">
        <f ca="1">AVERAGE(OFFSET($EN$3,0,0,'Données projet'!$E$15+1,1))-AVERAGE(OFFSET($H$3,0,0,'Données projet'!$E$15+1,1))</f>
        <v>288.41846134875794</v>
      </c>
      <c r="EP91" s="59">
        <f t="shared" si="100"/>
        <v>248.93951719818972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61.292051193038397</v>
      </c>
      <c r="EW91" s="21">
        <f>EXP(-LN(2)/25)*EW90+(1-EXP(-LN(2)/25))/(LN(2)/25)*Calculateur!ER91*Calculateur!ET91*VLOOKUP('Données projet'!$B$15,Paramètres!$A$1:$I$89,3,0)*0.475*44/12</f>
        <v>5.5944558225220566</v>
      </c>
      <c r="EX91" s="21">
        <f>EXP(-LN(2)/2)*EX90+(1-EXP(-LN(2)/2))/(LN(2)/2)*ER91*EU91*VLOOKUP('Données projet'!$B$15,Paramètres!$A$1:$I$89,3,0)*0.475*44/12</f>
        <v>9.0645178105793275E-10</v>
      </c>
      <c r="EY91" s="22">
        <f t="shared" si="75"/>
        <v>66.886507016466908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789.00000000000045</v>
      </c>
      <c r="FF91" s="17">
        <f>FE91*VLOOKUP('Données projet'!$B$16,Paramètres!$A$1:$I$89,3,0)*VLOOKUP('Données projet'!$B$16,Paramètres!$A$1:$I$89,5,0)</f>
        <v>358.99500000000023</v>
      </c>
      <c r="FG91" s="13">
        <f t="shared" si="101"/>
        <v>83.411930940690553</v>
      </c>
      <c r="FH91" s="20">
        <f t="shared" si="76"/>
        <v>770.52540472170313</v>
      </c>
      <c r="FI91" s="59">
        <f t="shared" si="77"/>
        <v>1063.8587380550364</v>
      </c>
      <c r="FJ91" s="59">
        <f ca="1">AVERAGE(OFFSET($FI$3,0,0,'Données projet'!$E$16+1,1))-AVERAGE(OFFSET($H$3,0,0,'Données projet'!$E$16+1,1))</f>
        <v>367.36535411813264</v>
      </c>
      <c r="FK91" s="59">
        <f t="shared" si="102"/>
        <v>293.19545174980556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74.891560181941003</v>
      </c>
      <c r="FR91" s="21">
        <f>EXP(-LN(2)/25)*FR90+(1-EXP(-LN(2)/25))/(LN(2)/25)*Calculateur!FM91*Calculateur!FO91*VLOOKUP('Données projet'!$B$16,Paramètres!$A$1:$I$89,3,0)*0.475*44/12</f>
        <v>8.6709560856320103</v>
      </c>
      <c r="FS91" s="21">
        <f>EXP(-LN(2)/2)*FS90+(1-EXP(-LN(2)/2))/(LN(2)/2)*FM91*FP91*VLOOKUP('Données projet'!$B$16,Paramètres!$A$1:$I$89,3,0)*0.475*44/12</f>
        <v>1.3493965549775393E-9</v>
      </c>
      <c r="FT91" s="22">
        <f t="shared" si="78"/>
        <v>83.562516268922408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669.99999999999989</v>
      </c>
      <c r="GA91" s="17">
        <f>FZ91*VLOOKUP('Données projet'!$B$17,Paramètres!$A$1:$I$89,3,0)*VLOOKUP('Données projet'!$B$17,Paramètres!$A$1:$I$89,5,0)</f>
        <v>322.26999999999992</v>
      </c>
      <c r="GB91" s="13">
        <f t="shared" si="103"/>
        <v>75.825476822885776</v>
      </c>
      <c r="GC91" s="20">
        <f t="shared" si="79"/>
        <v>693.34962213319261</v>
      </c>
      <c r="GD91" s="59">
        <f t="shared" si="80"/>
        <v>986.68295546652598</v>
      </c>
      <c r="GE91" s="59">
        <f ca="1">AVERAGE(OFFSET($GD$3,0,0,'Données projet'!$E$17+1,1))-AVERAGE(OFFSET($H$3,0,0,'Données projet'!$E$17+1,1))</f>
        <v>312.64506496298173</v>
      </c>
      <c r="GF91" s="59">
        <f t="shared" si="104"/>
        <v>259.97532509897508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96.677953719321835</v>
      </c>
      <c r="GM91" s="21">
        <f>EXP(-LN(2)/25)*GM90+(1-EXP(-LN(2)/25))/(LN(2)/25)*Calculateur!GH91*Calculateur!GJ91*VLOOKUP('Données projet'!$B$17,Paramètres!$A$1:$I$89,3,0)*0.475*44/12</f>
        <v>3.9203171388740037</v>
      </c>
      <c r="GN91" s="21">
        <f>EXP(-LN(2)/2)*GN90+(1-EXP(-LN(2)/2))/(LN(2)/2)*GH91*GK91*VLOOKUP('Données projet'!$B$17,Paramètres!$A$1:$I$89,3,0)*0.475*44/12</f>
        <v>7.1729159756743524E-9</v>
      </c>
      <c r="GO91" s="21">
        <f t="shared" si="81"/>
        <v>100.59827086536875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5.4</v>
      </c>
      <c r="GU91" s="12">
        <f>IF('Données projet'!$A$270&gt;35,GU90+GT91-HC90,IF(A91&lt;'Données projet'!$A$270,$GR$205^A91,IF(A91='Données projet'!$A$270,'Données projet'!$B$270,GU90+GT91-HC90)))</f>
        <v>264.19999999999987</v>
      </c>
      <c r="GV91" s="17">
        <f>GU91*VLOOKUP('Données projet'!$B$18,Paramètres!$A$1:$I$89,3,0)*VLOOKUP('Données projet'!$B$18,Paramètres!$A$1:$I$89,5,0)</f>
        <v>267.89879999999988</v>
      </c>
      <c r="GW91" s="13">
        <f t="shared" si="105"/>
        <v>64.403139057834508</v>
      </c>
      <c r="GX91" s="20">
        <f t="shared" si="82"/>
        <v>578.75921052572812</v>
      </c>
      <c r="GY91" s="59">
        <f t="shared" si="83"/>
        <v>872.09254385906138</v>
      </c>
      <c r="GZ91" s="59">
        <f ca="1">AVERAGE(OFFSET($GY$3,0,0,'Données projet'!$E$18+1,1))-AVERAGE(OFFSET($H$3,0,0,'Données projet'!$E$18+1,1))</f>
        <v>308.80022073574963</v>
      </c>
      <c r="HA91" s="59">
        <f t="shared" si="106"/>
        <v>183.96267407004115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67.131261673531725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67.131261673531725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344.49457749226184</v>
      </c>
      <c r="T92" s="59">
        <f t="shared" si="88"/>
        <v>207.92972431357452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4.2</v>
      </c>
      <c r="AI92" s="13">
        <f>IF('Données projet'!$A$62&gt;35,AI91+AH92-AQ91,IF(A92&lt;'Données projet'!$A$62,$AF$205^A92,IF(A92='Données projet'!$A$62,'Données projet'!$B$62,AI91+AH92-AQ91)))</f>
        <v>202.79999999999995</v>
      </c>
      <c r="AJ92" s="13">
        <f>AI92*VLOOKUP('Données projet'!$B$10,Paramètres!$A$1:$I$89,3,0)*VLOOKUP('Données projet'!$B$10,Paramètres!$A$1:$I$89,5,0)</f>
        <v>183.49343999999996</v>
      </c>
      <c r="AK92" s="13">
        <f t="shared" si="89"/>
        <v>46.09854056776922</v>
      </c>
      <c r="AL92" s="20">
        <f t="shared" si="58"/>
        <v>399.87269948886461</v>
      </c>
      <c r="AM92" s="59">
        <f t="shared" si="59"/>
        <v>693.20603282219793</v>
      </c>
      <c r="AN92" s="59">
        <f ca="1">AVERAGE(OFFSET($AM$3,0,0,'Données projet'!$E$10+1,1))-AVERAGE(OFFSET($H$3,0,0,'Données projet'!$E$10+1,1))</f>
        <v>183.0147113277086</v>
      </c>
      <c r="AO92" s="59">
        <f t="shared" si="90"/>
        <v>76.413905647258389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39.003790978767746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39.003790978767746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253.79640000000001</v>
      </c>
      <c r="BF92" s="13">
        <f t="shared" si="91"/>
        <v>61.39816832228076</v>
      </c>
      <c r="BG92" s="20">
        <f t="shared" si="61"/>
        <v>548.96387316130563</v>
      </c>
      <c r="BH92" s="59">
        <f t="shared" si="62"/>
        <v>842.29720649463889</v>
      </c>
      <c r="BI92" s="59">
        <f ca="1">AVERAGE(OFFSET($BH$3,0,0,'Données projet'!$E$11+1,1))-AVERAGE(OFFSET($H$3,0,0,'Données projet'!$E$11+1,1))</f>
        <v>279.49721661620544</v>
      </c>
      <c r="BJ92" s="59">
        <f t="shared" si="92"/>
        <v>275.18739333988754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44.488171055961786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44.488171055961786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754.68411025369562</v>
      </c>
      <c r="CD92" s="59">
        <f ca="1">AVERAGE(OFFSET($CC$3,0,0,'Données projet'!$E$12+1,1))-AVERAGE(OFFSET($H$3,0,0,'Données projet'!$E$12+1,1))</f>
        <v>225.2323446080772</v>
      </c>
      <c r="CE92" s="59">
        <f t="shared" si="94"/>
        <v>222.29030402759292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36.303598499399321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36.303598499399321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213.00000000000003</v>
      </c>
      <c r="CU92" s="17">
        <f>CT92*VLOOKUP('Données projet'!$B$13,Paramètres!$A$1:$I$89,3,0)*VLOOKUP('Données projet'!$B$13,Paramètres!$A$1:$I$89,5,0)</f>
        <v>229.2732</v>
      </c>
      <c r="CV92" s="13">
        <f t="shared" si="95"/>
        <v>56.125501442527366</v>
      </c>
      <c r="CW92" s="20">
        <f t="shared" si="67"/>
        <v>497.06940501240177</v>
      </c>
      <c r="CX92" s="59">
        <f t="shared" si="68"/>
        <v>790.40273834573509</v>
      </c>
      <c r="CY92" s="59">
        <f ca="1">AVERAGE(OFFSET($CX$3,0,0,'Données projet'!$E$13+1,1))-AVERAGE(OFFSET($H$3,0,0,'Données projet'!$E$13+1,1))</f>
        <v>240.57184010337932</v>
      </c>
      <c r="CZ92" s="59">
        <f t="shared" si="96"/>
        <v>236.36473521227072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30.786411697873859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30.786411697873859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670.99999999999977</v>
      </c>
      <c r="DP92" s="17">
        <f>DO92*VLOOKUP('Données projet'!$B$14,Paramètres!$A$1:$I$89,3,0)*VLOOKUP('Données projet'!$B$14,Paramètres!$A$1:$I$89,5,0)</f>
        <v>314.02799999999991</v>
      </c>
      <c r="DQ92" s="13">
        <f t="shared" si="97"/>
        <v>74.109403804428752</v>
      </c>
      <c r="DR92" s="20">
        <f t="shared" si="70"/>
        <v>676.00597829271317</v>
      </c>
      <c r="DS92" s="59">
        <f t="shared" si="71"/>
        <v>969.33931162604654</v>
      </c>
      <c r="DT92" s="59">
        <f ca="1">AVERAGE(OFFSET($DS$3,0,0,'Données projet'!$E$14+1,1))-AVERAGE(OFFSET($H$3,0,0,'Données projet'!$E$14+1,1))</f>
        <v>304.29617570272939</v>
      </c>
      <c r="DU92" s="59">
        <f t="shared" si="98"/>
        <v>246.20695736161576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83.057613987447709</v>
      </c>
      <c r="EB92" s="21">
        <f>EXP(-LN(2)/25)*EB91+(1-EXP(-LN(2)/25))/(LN(2)/25)*Calculateur!DW92*Calculateur!DY92*VLOOKUP('Données projet'!$B$14,Paramètres!$A$1:$I$89,3,0)*0.475*44/12</f>
        <v>7.9717969721957687</v>
      </c>
      <c r="EC92" s="21">
        <f>EXP(-LN(2)/2)*EC91+(1-EXP(-LN(2)/2))/(LN(2)/2)*DW92*DZ92*VLOOKUP('Données projet'!$B$14,Paramètres!$A$1:$I$89,3,0)*0.475*44/12</f>
        <v>5.1816827711137763E-9</v>
      </c>
      <c r="ED92" s="22">
        <f t="shared" si="72"/>
        <v>91.029410964825175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477.9999999999996</v>
      </c>
      <c r="EK92" s="17">
        <f>EJ92*VLOOKUP('Données projet'!$B$15,Paramètres!$A$1:$I$89,3,0)*VLOOKUP('Données projet'!$B$15,Paramètres!$A$1:$I$89,5,0)</f>
        <v>285.84399999999977</v>
      </c>
      <c r="EL92" s="13">
        <f t="shared" si="99"/>
        <v>68.200525419065656</v>
      </c>
      <c r="EM92" s="20">
        <f t="shared" si="73"/>
        <v>616.62754843820551</v>
      </c>
      <c r="EN92" s="59">
        <f t="shared" si="74"/>
        <v>909.96088177153888</v>
      </c>
      <c r="EO92" s="59">
        <f ca="1">AVERAGE(OFFSET($EN$3,0,0,'Données projet'!$E$15+1,1))-AVERAGE(OFFSET($H$3,0,0,'Données projet'!$E$15+1,1))</f>
        <v>288.41846134875794</v>
      </c>
      <c r="EP92" s="59">
        <f t="shared" si="100"/>
        <v>248.93951719818972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60.090151453602729</v>
      </c>
      <c r="EW92" s="21">
        <f>EXP(-LN(2)/25)*EW91+(1-EXP(-LN(2)/25))/(LN(2)/25)*Calculateur!ER92*Calculateur!ET92*VLOOKUP('Données projet'!$B$15,Paramètres!$A$1:$I$89,3,0)*0.475*44/12</f>
        <v>5.4414751338555458</v>
      </c>
      <c r="EX92" s="21">
        <f>EXP(-LN(2)/2)*EX91+(1-EXP(-LN(2)/2))/(LN(2)/2)*ER92*EU92*VLOOKUP('Données projet'!$B$15,Paramètres!$A$1:$I$89,3,0)*0.475*44/12</f>
        <v>6.4095820120468803E-10</v>
      </c>
      <c r="EY92" s="22">
        <f t="shared" si="75"/>
        <v>65.531626588099229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789.00000000000045</v>
      </c>
      <c r="FF92" s="17">
        <f>FE92*VLOOKUP('Données projet'!$B$16,Paramètres!$A$1:$I$89,3,0)*VLOOKUP('Données projet'!$B$16,Paramètres!$A$1:$I$89,5,0)</f>
        <v>358.99500000000023</v>
      </c>
      <c r="FG92" s="13">
        <f t="shared" si="101"/>
        <v>83.411930940690553</v>
      </c>
      <c r="FH92" s="20">
        <f t="shared" si="76"/>
        <v>770.52540472170313</v>
      </c>
      <c r="FI92" s="59">
        <f t="shared" si="77"/>
        <v>1063.8587380550364</v>
      </c>
      <c r="FJ92" s="59">
        <f ca="1">AVERAGE(OFFSET($FI$3,0,0,'Données projet'!$E$16+1,1))-AVERAGE(OFFSET($H$3,0,0,'Données projet'!$E$16+1,1))</f>
        <v>367.36535411813264</v>
      </c>
      <c r="FK92" s="59">
        <f t="shared" si="102"/>
        <v>293.19545174980556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73.422982366114397</v>
      </c>
      <c r="FR92" s="21">
        <f>EXP(-LN(2)/25)*FR91+(1-EXP(-LN(2)/25))/(LN(2)/25)*Calculateur!FM92*Calculateur!FO92*VLOOKUP('Données projet'!$B$16,Paramètres!$A$1:$I$89,3,0)*0.475*44/12</f>
        <v>8.4338483354846403</v>
      </c>
      <c r="FS92" s="21">
        <f>EXP(-LN(2)/2)*FS91+(1-EXP(-LN(2)/2))/(LN(2)/2)*FM92*FP92*VLOOKUP('Données projet'!$B$16,Paramètres!$A$1:$I$89,3,0)*0.475*44/12</f>
        <v>9.5416745453438392E-10</v>
      </c>
      <c r="FT92" s="22">
        <f t="shared" si="78"/>
        <v>81.856830702553211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669.99999999999989</v>
      </c>
      <c r="GA92" s="17">
        <f>FZ92*VLOOKUP('Données projet'!$B$17,Paramètres!$A$1:$I$89,3,0)*VLOOKUP('Données projet'!$B$17,Paramètres!$A$1:$I$89,5,0)</f>
        <v>322.26999999999992</v>
      </c>
      <c r="GB92" s="13">
        <f t="shared" si="103"/>
        <v>75.825476822885776</v>
      </c>
      <c r="GC92" s="20">
        <f t="shared" si="79"/>
        <v>693.34962213319261</v>
      </c>
      <c r="GD92" s="59">
        <f t="shared" si="80"/>
        <v>986.68295546652598</v>
      </c>
      <c r="GE92" s="59">
        <f ca="1">AVERAGE(OFFSET($GD$3,0,0,'Données projet'!$E$17+1,1))-AVERAGE(OFFSET($H$3,0,0,'Données projet'!$E$17+1,1))</f>
        <v>312.64506496298173</v>
      </c>
      <c r="GF92" s="59">
        <f t="shared" si="104"/>
        <v>259.97532509897508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94.782158014615121</v>
      </c>
      <c r="GM92" s="21">
        <f>EXP(-LN(2)/25)*GM91+(1-EXP(-LN(2)/25))/(LN(2)/25)*Calculateur!GH92*Calculateur!GJ92*VLOOKUP('Données projet'!$B$17,Paramètres!$A$1:$I$89,3,0)*0.475*44/12</f>
        <v>3.8131158605509756</v>
      </c>
      <c r="GN92" s="21">
        <f>EXP(-LN(2)/2)*GN91+(1-EXP(-LN(2)/2))/(LN(2)/2)*GH92*GK92*VLOOKUP('Données projet'!$B$17,Paramètres!$A$1:$I$89,3,0)*0.475*44/12</f>
        <v>5.0720175272806553E-9</v>
      </c>
      <c r="GO92" s="21">
        <f t="shared" si="81"/>
        <v>98.595273880238125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5.4</v>
      </c>
      <c r="GU92" s="12">
        <f>IF('Données projet'!$A$270&gt;35,GU91+GT92-HC91,IF(A92&lt;'Données projet'!$A$270,$GR$205^A92,IF(A92='Données projet'!$A$270,'Données projet'!$B$270,GU91+GT92-HC91)))</f>
        <v>269.59999999999985</v>
      </c>
      <c r="GV92" s="17">
        <f>GU92*VLOOKUP('Données projet'!$B$18,Paramètres!$A$1:$I$89,3,0)*VLOOKUP('Données projet'!$B$18,Paramètres!$A$1:$I$89,5,0)</f>
        <v>273.37439999999987</v>
      </c>
      <c r="GW92" s="13">
        <f t="shared" si="105"/>
        <v>65.564883644654373</v>
      </c>
      <c r="GX92" s="20">
        <f t="shared" si="82"/>
        <v>590.3192523477727</v>
      </c>
      <c r="GY92" s="59">
        <f t="shared" si="83"/>
        <v>883.65258568110607</v>
      </c>
      <c r="GZ92" s="59">
        <f ca="1">AVERAGE(OFFSET($GY$3,0,0,'Données projet'!$E$18+1,1))-AVERAGE(OFFSET($H$3,0,0,'Données projet'!$E$18+1,1))</f>
        <v>308.80022073574963</v>
      </c>
      <c r="HA92" s="59">
        <f t="shared" si="106"/>
        <v>183.96267407004115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65.814858578140303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65.814858578140303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344.49457749226184</v>
      </c>
      <c r="T93" s="59">
        <f t="shared" si="88"/>
        <v>207.92972431357452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207</v>
      </c>
      <c r="AG93" s="12">
        <f>VLOOKUP(A93,'Données projet'!$A$61:$I$81,9,0)</f>
        <v>4.2</v>
      </c>
      <c r="AH93" s="12">
        <f t="array" ref="AH93">INDEX(AG:AG,MIN(IF(ISNUMBER(AG93:AG289),ROW(AG93:AG289),"")))</f>
        <v>4.2</v>
      </c>
      <c r="AI93" s="13">
        <f>IF('Données projet'!$A$62&gt;35,AI92+AH93-AQ92,IF(A93&lt;'Données projet'!$A$62,$AF$205^A93,IF(A93='Données projet'!$A$62,'Données projet'!$B$62,AI92+AH93-AQ92)))</f>
        <v>206.99999999999994</v>
      </c>
      <c r="AJ93" s="13">
        <f>AI93*VLOOKUP('Données projet'!$B$10,Paramètres!$A$1:$I$89,3,0)*VLOOKUP('Données projet'!$B$10,Paramètres!$A$1:$I$89,5,0)</f>
        <v>187.29359999999994</v>
      </c>
      <c r="AK93" s="13">
        <f t="shared" si="89"/>
        <v>46.941107550760421</v>
      </c>
      <c r="AL93" s="20">
        <f t="shared" si="58"/>
        <v>407.95878231757433</v>
      </c>
      <c r="AM93" s="59">
        <f t="shared" si="59"/>
        <v>701.29211565090759</v>
      </c>
      <c r="AN93" s="59">
        <f ca="1">AVERAGE(OFFSET($AM$3,0,0,'Données projet'!$E$10+1,1))-AVERAGE(OFFSET($H$3,0,0,'Données projet'!$E$10+1,1))</f>
        <v>183.0147113277086</v>
      </c>
      <c r="AO93" s="59">
        <f t="shared" si="90"/>
        <v>76.413905647258389</v>
      </c>
      <c r="AP93" s="15">
        <f>IF(ISNA(VLOOKUP(A93,'Données projet'!$A$61:$I$81,3,0)),0,VLOOKUP(A93,'Données projet'!$A$61:$I$81,3,0))</f>
        <v>12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44.260332616034056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44.260332616034056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253.79640000000001</v>
      </c>
      <c r="BF93" s="13">
        <f t="shared" si="91"/>
        <v>61.39816832228076</v>
      </c>
      <c r="BG93" s="20">
        <f t="shared" si="61"/>
        <v>548.96387316130563</v>
      </c>
      <c r="BH93" s="59">
        <f t="shared" si="62"/>
        <v>842.29720649463889</v>
      </c>
      <c r="BI93" s="59">
        <f ca="1">AVERAGE(OFFSET($BH$3,0,0,'Données projet'!$E$11+1,1))-AVERAGE(OFFSET($H$3,0,0,'Données projet'!$E$11+1,1))</f>
        <v>279.49721661620544</v>
      </c>
      <c r="BJ93" s="59">
        <f t="shared" si="92"/>
        <v>275.18739333988754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43.615785156659349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43.615785156659349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754.68411025369562</v>
      </c>
      <c r="CD93" s="59">
        <f ca="1">AVERAGE(OFFSET($CC$3,0,0,'Données projet'!$E$12+1,1))-AVERAGE(OFFSET($H$3,0,0,'Données projet'!$E$12+1,1))</f>
        <v>225.2323446080772</v>
      </c>
      <c r="CE93" s="59">
        <f t="shared" si="94"/>
        <v>222.29030402759292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35.591707075834748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35.591707075834748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213.00000000000003</v>
      </c>
      <c r="CU93" s="17">
        <f>CT93*VLOOKUP('Données projet'!$B$13,Paramètres!$A$1:$I$89,3,0)*VLOOKUP('Données projet'!$B$13,Paramètres!$A$1:$I$89,5,0)</f>
        <v>229.2732</v>
      </c>
      <c r="CV93" s="13">
        <f t="shared" si="95"/>
        <v>56.125501442527366</v>
      </c>
      <c r="CW93" s="20">
        <f t="shared" si="67"/>
        <v>497.06940501240177</v>
      </c>
      <c r="CX93" s="59">
        <f t="shared" si="68"/>
        <v>790.40273834573509</v>
      </c>
      <c r="CY93" s="59">
        <f ca="1">AVERAGE(OFFSET($CX$3,0,0,'Données projet'!$E$13+1,1))-AVERAGE(OFFSET($H$3,0,0,'Données projet'!$E$13+1,1))</f>
        <v>240.57184010337932</v>
      </c>
      <c r="CZ93" s="59">
        <f t="shared" si="96"/>
        <v>236.36473521227072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30.18270894233553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30.18270894233553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670.99999999999977</v>
      </c>
      <c r="DP93" s="17">
        <f>DO93*VLOOKUP('Données projet'!$B$14,Paramètres!$A$1:$I$89,3,0)*VLOOKUP('Données projet'!$B$14,Paramètres!$A$1:$I$89,5,0)</f>
        <v>314.02799999999991</v>
      </c>
      <c r="DQ93" s="13">
        <f t="shared" si="97"/>
        <v>74.109403804428752</v>
      </c>
      <c r="DR93" s="20">
        <f t="shared" si="70"/>
        <v>676.00597829271317</v>
      </c>
      <c r="DS93" s="59">
        <f t="shared" si="71"/>
        <v>969.33931162604654</v>
      </c>
      <c r="DT93" s="59">
        <f ca="1">AVERAGE(OFFSET($DS$3,0,0,'Données projet'!$E$14+1,1))-AVERAGE(OFFSET($H$3,0,0,'Données projet'!$E$14+1,1))</f>
        <v>304.29617570272939</v>
      </c>
      <c r="DU93" s="59">
        <f t="shared" si="98"/>
        <v>246.20695736161576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81.428904837296116</v>
      </c>
      <c r="EB93" s="21">
        <f>EXP(-LN(2)/25)*EB92+(1-EXP(-LN(2)/25))/(LN(2)/25)*Calculateur!DW93*Calculateur!DY93*VLOOKUP('Données projet'!$B$14,Paramètres!$A$1:$I$89,3,0)*0.475*44/12</f>
        <v>7.7538077647724926</v>
      </c>
      <c r="EC93" s="21">
        <f>EXP(-LN(2)/2)*EC92+(1-EXP(-LN(2)/2))/(LN(2)/2)*DW93*DZ93*VLOOKUP('Données projet'!$B$14,Paramètres!$A$1:$I$89,3,0)*0.475*44/12</f>
        <v>3.6640030254120525E-9</v>
      </c>
      <c r="ED93" s="22">
        <f t="shared" si="72"/>
        <v>89.182712605732604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477.9999999999996</v>
      </c>
      <c r="EK93" s="17">
        <f>EJ93*VLOOKUP('Données projet'!$B$15,Paramètres!$A$1:$I$89,3,0)*VLOOKUP('Données projet'!$B$15,Paramètres!$A$1:$I$89,5,0)</f>
        <v>285.84399999999977</v>
      </c>
      <c r="EL93" s="13">
        <f t="shared" si="99"/>
        <v>68.200525419065656</v>
      </c>
      <c r="EM93" s="20">
        <f t="shared" si="73"/>
        <v>616.62754843820551</v>
      </c>
      <c r="EN93" s="59">
        <f t="shared" si="74"/>
        <v>909.96088177153888</v>
      </c>
      <c r="EO93" s="59">
        <f ca="1">AVERAGE(OFFSET($EN$3,0,0,'Données projet'!$E$15+1,1))-AVERAGE(OFFSET($H$3,0,0,'Données projet'!$E$15+1,1))</f>
        <v>288.41846134875794</v>
      </c>
      <c r="EP93" s="59">
        <f t="shared" si="100"/>
        <v>248.93951719818972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58.911820234970946</v>
      </c>
      <c r="EW93" s="21">
        <f>EXP(-LN(2)/25)*EW92+(1-EXP(-LN(2)/25))/(LN(2)/25)*Calculateur!ER93*Calculateur!ET93*VLOOKUP('Données projet'!$B$15,Paramètres!$A$1:$I$89,3,0)*0.475*44/12</f>
        <v>5.2926777101655249</v>
      </c>
      <c r="EX93" s="21">
        <f>EXP(-LN(2)/2)*EX92+(1-EXP(-LN(2)/2))/(LN(2)/2)*ER93*EU93*VLOOKUP('Données projet'!$B$15,Paramètres!$A$1:$I$89,3,0)*0.475*44/12</f>
        <v>4.5322589052896648E-10</v>
      </c>
      <c r="EY93" s="22">
        <f t="shared" si="75"/>
        <v>64.204497945589694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789.00000000000045</v>
      </c>
      <c r="FF93" s="17">
        <f>FE93*VLOOKUP('Données projet'!$B$16,Paramètres!$A$1:$I$89,3,0)*VLOOKUP('Données projet'!$B$16,Paramètres!$A$1:$I$89,5,0)</f>
        <v>358.99500000000023</v>
      </c>
      <c r="FG93" s="13">
        <f t="shared" si="101"/>
        <v>83.411930940690553</v>
      </c>
      <c r="FH93" s="20">
        <f t="shared" si="76"/>
        <v>770.52540472170313</v>
      </c>
      <c r="FI93" s="59">
        <f t="shared" si="77"/>
        <v>1063.8587380550364</v>
      </c>
      <c r="FJ93" s="59">
        <f ca="1">AVERAGE(OFFSET($FI$3,0,0,'Données projet'!$E$16+1,1))-AVERAGE(OFFSET($H$3,0,0,'Données projet'!$E$16+1,1))</f>
        <v>367.36535411813264</v>
      </c>
      <c r="FK93" s="59">
        <f t="shared" si="102"/>
        <v>293.19545174980556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71.983202465512122</v>
      </c>
      <c r="FR93" s="21">
        <f>EXP(-LN(2)/25)*FR92+(1-EXP(-LN(2)/25))/(LN(2)/25)*Calculateur!FM93*Calculateur!FO93*VLOOKUP('Données projet'!$B$16,Paramètres!$A$1:$I$89,3,0)*0.475*44/12</f>
        <v>8.2032243092340043</v>
      </c>
      <c r="FS93" s="21">
        <f>EXP(-LN(2)/2)*FS92+(1-EXP(-LN(2)/2))/(LN(2)/2)*FM93*FP93*VLOOKUP('Données projet'!$B$16,Paramètres!$A$1:$I$89,3,0)*0.475*44/12</f>
        <v>6.7469827748876966E-10</v>
      </c>
      <c r="FT93" s="22">
        <f t="shared" si="78"/>
        <v>80.186426775420827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669.99999999999989</v>
      </c>
      <c r="GA93" s="17">
        <f>FZ93*VLOOKUP('Données projet'!$B$17,Paramètres!$A$1:$I$89,3,0)*VLOOKUP('Données projet'!$B$17,Paramètres!$A$1:$I$89,5,0)</f>
        <v>322.26999999999992</v>
      </c>
      <c r="GB93" s="13">
        <f t="shared" si="103"/>
        <v>75.825476822885776</v>
      </c>
      <c r="GC93" s="20">
        <f t="shared" si="79"/>
        <v>693.34962213319261</v>
      </c>
      <c r="GD93" s="59">
        <f t="shared" si="80"/>
        <v>986.68295546652598</v>
      </c>
      <c r="GE93" s="59">
        <f ca="1">AVERAGE(OFFSET($GD$3,0,0,'Données projet'!$E$17+1,1))-AVERAGE(OFFSET($H$3,0,0,'Données projet'!$E$17+1,1))</f>
        <v>312.64506496298173</v>
      </c>
      <c r="GF93" s="59">
        <f t="shared" si="104"/>
        <v>259.97532509897508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92.923537707356502</v>
      </c>
      <c r="GM93" s="21">
        <f>EXP(-LN(2)/25)*GM92+(1-EXP(-LN(2)/25))/(LN(2)/25)*Calculateur!GH93*Calculateur!GJ93*VLOOKUP('Données projet'!$B$17,Paramètres!$A$1:$I$89,3,0)*0.475*44/12</f>
        <v>3.7088460068211613</v>
      </c>
      <c r="GN93" s="21">
        <f>EXP(-LN(2)/2)*GN92+(1-EXP(-LN(2)/2))/(LN(2)/2)*GH93*GK93*VLOOKUP('Données projet'!$B$17,Paramètres!$A$1:$I$89,3,0)*0.475*44/12</f>
        <v>3.5864579878371762E-9</v>
      </c>
      <c r="GO93" s="21">
        <f t="shared" si="81"/>
        <v>96.632383717764128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275</v>
      </c>
      <c r="GS93" s="12">
        <f>VLOOKUP(A93,'Données projet'!$A$269:$I$289,9,0)</f>
        <v>5.4</v>
      </c>
      <c r="GT93" s="12">
        <f t="array" ref="GT93">INDEX(GS:GS,MIN(IF(ISNUMBER(GS93:GS289),ROW(GS93:GS289),"")))</f>
        <v>5.4</v>
      </c>
      <c r="GU93" s="12">
        <f>IF('Données projet'!$A$270&gt;35,GU92+GT93-HC92,IF(A93&lt;'Données projet'!$A$270,$GR$205^A93,IF(A93='Données projet'!$A$270,'Données projet'!$B$270,GU92+GT93-HC92)))</f>
        <v>274.99999999999983</v>
      </c>
      <c r="GV93" s="17">
        <f>GU93*VLOOKUP('Données projet'!$B$18,Paramètres!$A$1:$I$89,3,0)*VLOOKUP('Données projet'!$B$18,Paramètres!$A$1:$I$89,5,0)</f>
        <v>278.84999999999985</v>
      </c>
      <c r="GW93" s="13">
        <f t="shared" si="105"/>
        <v>66.723922641152967</v>
      </c>
      <c r="GX93" s="20">
        <f t="shared" si="82"/>
        <v>601.87458193334112</v>
      </c>
      <c r="GY93" s="59">
        <f t="shared" si="83"/>
        <v>895.20791526667449</v>
      </c>
      <c r="GZ93" s="59">
        <f ca="1">AVERAGE(OFFSET($GY$3,0,0,'Données projet'!$E$18+1,1))-AVERAGE(OFFSET($H$3,0,0,'Données projet'!$E$18+1,1))</f>
        <v>308.80022073574963</v>
      </c>
      <c r="HA93" s="59">
        <f t="shared" si="106"/>
        <v>183.96267407004115</v>
      </c>
      <c r="HB93" s="15">
        <f>IF(ISNA(VLOOKUP(A93,'Données projet'!$A$269:$I$289,3,0)),0,VLOOKUP(A93,'Données projet'!$A$269:$I$289,3,0))</f>
        <v>14</v>
      </c>
      <c r="HC93" s="15">
        <f>IF(ISNA(VLOOKUP(A93,'Données projet'!$A$269:$I$289,4,0)),0,VLOOKUP(A93,'Données projet'!$A$269:$I$289,4,0))</f>
        <v>21</v>
      </c>
      <c r="HD93" s="16">
        <f>IF(ISNA(VLOOKUP(A93,'Données projet'!$A$269:$I$289,5,0)),0%,VLOOKUP(A93,'Données projet'!$A$269:$I$289,5,0)*VLOOKUP('Données projet'!$B$18,Paramètres!$A$1:$I$89,7,0))</f>
        <v>0.43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74.646420437086007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74.646420437086007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344.49457749226184</v>
      </c>
      <c r="T94" s="59">
        <f t="shared" si="88"/>
        <v>207.92972431357452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3.8</v>
      </c>
      <c r="AI94" s="13">
        <f>IF('Données projet'!$A$62&gt;35,AI93+AH94-AQ93,IF(A94&lt;'Données projet'!$A$62,$AF$205^A94,IF(A94='Données projet'!$A$62,'Données projet'!$B$62,AI93+AH94-AQ93)))</f>
        <v>196.79999999999995</v>
      </c>
      <c r="AJ94" s="13">
        <f>AI94*VLOOKUP('Données projet'!$B$10,Paramètres!$A$1:$I$89,3,0)*VLOOKUP('Données projet'!$B$10,Paramètres!$A$1:$I$89,5,0)</f>
        <v>178.06463999999994</v>
      </c>
      <c r="AK94" s="13">
        <f t="shared" si="89"/>
        <v>44.891333695477108</v>
      </c>
      <c r="AL94" s="20">
        <f t="shared" si="58"/>
        <v>388.31498751962249</v>
      </c>
      <c r="AM94" s="59">
        <f t="shared" si="59"/>
        <v>681.64832085295575</v>
      </c>
      <c r="AN94" s="59">
        <f ca="1">AVERAGE(OFFSET($AM$3,0,0,'Données projet'!$E$10+1,1))-AVERAGE(OFFSET($H$3,0,0,'Données projet'!$E$10+1,1))</f>
        <v>183.0147113277086</v>
      </c>
      <c r="AO94" s="59">
        <f t="shared" si="90"/>
        <v>76.413905647258389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43.392414489570875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43.392414489570875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253.79640000000001</v>
      </c>
      <c r="BF94" s="13">
        <f t="shared" si="91"/>
        <v>61.39816832228076</v>
      </c>
      <c r="BG94" s="20">
        <f t="shared" si="61"/>
        <v>548.96387316130563</v>
      </c>
      <c r="BH94" s="59">
        <f t="shared" si="62"/>
        <v>842.29720649463889</v>
      </c>
      <c r="BI94" s="59">
        <f ca="1">AVERAGE(OFFSET($BH$3,0,0,'Données projet'!$E$11+1,1))-AVERAGE(OFFSET($H$3,0,0,'Données projet'!$E$11+1,1))</f>
        <v>279.49721661620544</v>
      </c>
      <c r="BJ94" s="59">
        <f t="shared" si="92"/>
        <v>275.18739333988754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42.760506212739379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42.760506212739379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754.68411025369562</v>
      </c>
      <c r="CD94" s="59">
        <f ca="1">AVERAGE(OFFSET($CC$3,0,0,'Données projet'!$E$12+1,1))-AVERAGE(OFFSET($H$3,0,0,'Données projet'!$E$12+1,1))</f>
        <v>225.2323446080772</v>
      </c>
      <c r="CE94" s="59">
        <f t="shared" si="94"/>
        <v>222.29030402759292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34.893775408875378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34.893775408875378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213.00000000000003</v>
      </c>
      <c r="CU94" s="17">
        <f>CT94*VLOOKUP('Données projet'!$B$13,Paramètres!$A$1:$I$89,3,0)*VLOOKUP('Données projet'!$B$13,Paramètres!$A$1:$I$89,5,0)</f>
        <v>229.2732</v>
      </c>
      <c r="CV94" s="13">
        <f t="shared" si="95"/>
        <v>56.125501442527366</v>
      </c>
      <c r="CW94" s="20">
        <f t="shared" si="67"/>
        <v>497.06940501240177</v>
      </c>
      <c r="CX94" s="59">
        <f t="shared" si="68"/>
        <v>790.40273834573509</v>
      </c>
      <c r="CY94" s="59">
        <f ca="1">AVERAGE(OFFSET($CX$3,0,0,'Données projet'!$E$13+1,1))-AVERAGE(OFFSET($H$3,0,0,'Données projet'!$E$13+1,1))</f>
        <v>240.57184010337932</v>
      </c>
      <c r="CZ94" s="59">
        <f t="shared" si="96"/>
        <v>236.36473521227072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29.590844429610986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29.590844429610986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670.99999999999977</v>
      </c>
      <c r="DP94" s="17">
        <f>DO94*VLOOKUP('Données projet'!$B$14,Paramètres!$A$1:$I$89,3,0)*VLOOKUP('Données projet'!$B$14,Paramètres!$A$1:$I$89,5,0)</f>
        <v>314.02799999999991</v>
      </c>
      <c r="DQ94" s="13">
        <f t="shared" si="97"/>
        <v>74.109403804428752</v>
      </c>
      <c r="DR94" s="20">
        <f t="shared" si="70"/>
        <v>676.00597829271317</v>
      </c>
      <c r="DS94" s="59">
        <f t="shared" si="71"/>
        <v>969.33931162604654</v>
      </c>
      <c r="DT94" s="59">
        <f ca="1">AVERAGE(OFFSET($DS$3,0,0,'Données projet'!$E$14+1,1))-AVERAGE(OFFSET($H$3,0,0,'Données projet'!$E$14+1,1))</f>
        <v>304.29617570272939</v>
      </c>
      <c r="DU94" s="59">
        <f t="shared" si="98"/>
        <v>246.20695736161576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79.832133680164503</v>
      </c>
      <c r="EB94" s="21">
        <f>EXP(-LN(2)/25)*EB93+(1-EXP(-LN(2)/25))/(LN(2)/25)*Calculateur!DW94*Calculateur!DY94*VLOOKUP('Données projet'!$B$14,Paramètres!$A$1:$I$89,3,0)*0.475*44/12</f>
        <v>7.5417794836897603</v>
      </c>
      <c r="EC94" s="21">
        <f>EXP(-LN(2)/2)*EC93+(1-EXP(-LN(2)/2))/(LN(2)/2)*DW94*DZ94*VLOOKUP('Données projet'!$B$14,Paramètres!$A$1:$I$89,3,0)*0.475*44/12</f>
        <v>2.5908413855568886E-9</v>
      </c>
      <c r="ED94" s="22">
        <f t="shared" si="72"/>
        <v>87.373913166445107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477.9999999999996</v>
      </c>
      <c r="EK94" s="17">
        <f>EJ94*VLOOKUP('Données projet'!$B$15,Paramètres!$A$1:$I$89,3,0)*VLOOKUP('Données projet'!$B$15,Paramètres!$A$1:$I$89,5,0)</f>
        <v>285.84399999999977</v>
      </c>
      <c r="EL94" s="13">
        <f t="shared" si="99"/>
        <v>68.200525419065656</v>
      </c>
      <c r="EM94" s="20">
        <f t="shared" si="73"/>
        <v>616.62754843820551</v>
      </c>
      <c r="EN94" s="59">
        <f t="shared" si="74"/>
        <v>909.96088177153888</v>
      </c>
      <c r="EO94" s="59">
        <f ca="1">AVERAGE(OFFSET($EN$3,0,0,'Données projet'!$E$15+1,1))-AVERAGE(OFFSET($H$3,0,0,'Données projet'!$E$15+1,1))</f>
        <v>288.41846134875794</v>
      </c>
      <c r="EP94" s="59">
        <f t="shared" si="100"/>
        <v>248.93951719818972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57.756595372825451</v>
      </c>
      <c r="EW94" s="21">
        <f>EXP(-LN(2)/25)*EW93+(1-EXP(-LN(2)/25))/(LN(2)/25)*Calculateur!ER94*Calculateur!ET94*VLOOKUP('Données projet'!$B$15,Paramètres!$A$1:$I$89,3,0)*0.475*44/12</f>
        <v>5.1479491598512244</v>
      </c>
      <c r="EX94" s="21">
        <f>EXP(-LN(2)/2)*EX93+(1-EXP(-LN(2)/2))/(LN(2)/2)*ER94*EU94*VLOOKUP('Données projet'!$B$15,Paramètres!$A$1:$I$89,3,0)*0.475*44/12</f>
        <v>3.2047910060234407E-10</v>
      </c>
      <c r="EY94" s="22">
        <f t="shared" si="75"/>
        <v>62.90454453299715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789.00000000000045</v>
      </c>
      <c r="FF94" s="17">
        <f>FE94*VLOOKUP('Données projet'!$B$16,Paramètres!$A$1:$I$89,3,0)*VLOOKUP('Données projet'!$B$16,Paramètres!$A$1:$I$89,5,0)</f>
        <v>358.99500000000023</v>
      </c>
      <c r="FG94" s="13">
        <f t="shared" si="101"/>
        <v>83.411930940690553</v>
      </c>
      <c r="FH94" s="20">
        <f t="shared" si="76"/>
        <v>770.52540472170313</v>
      </c>
      <c r="FI94" s="59">
        <f t="shared" si="77"/>
        <v>1063.8587380550364</v>
      </c>
      <c r="FJ94" s="59">
        <f ca="1">AVERAGE(OFFSET($FI$3,0,0,'Données projet'!$E$16+1,1))-AVERAGE(OFFSET($H$3,0,0,'Données projet'!$E$16+1,1))</f>
        <v>367.36535411813264</v>
      </c>
      <c r="FK94" s="59">
        <f t="shared" si="102"/>
        <v>293.19545174980556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70.571655770581629</v>
      </c>
      <c r="FR94" s="21">
        <f>EXP(-LN(2)/25)*FR93+(1-EXP(-LN(2)/25))/(LN(2)/25)*Calculateur!FM94*Calculateur!FO94*VLOOKUP('Données projet'!$B$16,Paramètres!$A$1:$I$89,3,0)*0.475*44/12</f>
        <v>7.9789067091091823</v>
      </c>
      <c r="FS94" s="21">
        <f>EXP(-LN(2)/2)*FS93+(1-EXP(-LN(2)/2))/(LN(2)/2)*FM94*FP94*VLOOKUP('Données projet'!$B$16,Paramètres!$A$1:$I$89,3,0)*0.475*44/12</f>
        <v>4.7708372726719196E-10</v>
      </c>
      <c r="FT94" s="22">
        <f t="shared" si="78"/>
        <v>78.550562480167898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669.99999999999989</v>
      </c>
      <c r="GA94" s="17">
        <f>FZ94*VLOOKUP('Données projet'!$B$17,Paramètres!$A$1:$I$89,3,0)*VLOOKUP('Données projet'!$B$17,Paramètres!$A$1:$I$89,5,0)</f>
        <v>322.26999999999992</v>
      </c>
      <c r="GB94" s="13">
        <f t="shared" si="103"/>
        <v>75.825476822885776</v>
      </c>
      <c r="GC94" s="20">
        <f t="shared" si="79"/>
        <v>693.34962213319261</v>
      </c>
      <c r="GD94" s="59">
        <f t="shared" si="80"/>
        <v>986.68295546652598</v>
      </c>
      <c r="GE94" s="59">
        <f ca="1">AVERAGE(OFFSET($GD$3,0,0,'Données projet'!$E$17+1,1))-AVERAGE(OFFSET($H$3,0,0,'Données projet'!$E$17+1,1))</f>
        <v>312.64506496298173</v>
      </c>
      <c r="GF94" s="59">
        <f t="shared" si="104"/>
        <v>259.97532509897508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91.101363810676773</v>
      </c>
      <c r="GM94" s="21">
        <f>EXP(-LN(2)/25)*GM93+(1-EXP(-LN(2)/25))/(LN(2)/25)*Calculateur!GH94*Calculateur!GJ94*VLOOKUP('Données projet'!$B$17,Paramètres!$A$1:$I$89,3,0)*0.475*44/12</f>
        <v>3.6074274177249017</v>
      </c>
      <c r="GN94" s="21">
        <f>EXP(-LN(2)/2)*GN93+(1-EXP(-LN(2)/2))/(LN(2)/2)*GH94*GK94*VLOOKUP('Données projet'!$B$17,Paramètres!$A$1:$I$89,3,0)*0.475*44/12</f>
        <v>2.5360087636403277E-9</v>
      </c>
      <c r="GO94" s="21">
        <f t="shared" si="81"/>
        <v>94.708791230937692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5</v>
      </c>
      <c r="GU94" s="12">
        <f>IF('Données projet'!$A$270&gt;35,GU93+GT94-HC93,IF(A94&lt;'Données projet'!$A$270,$GR$205^A94,IF(A94='Données projet'!$A$270,'Données projet'!$B$270,GU93+GT94-HC93)))</f>
        <v>258.99999999999983</v>
      </c>
      <c r="GV94" s="17">
        <f>GU94*VLOOKUP('Données projet'!$B$18,Paramètres!$A$1:$I$89,3,0)*VLOOKUP('Données projet'!$B$18,Paramètres!$A$1:$I$89,5,0)</f>
        <v>262.62599999999986</v>
      </c>
      <c r="GW94" s="13">
        <f t="shared" si="105"/>
        <v>63.281807230823397</v>
      </c>
      <c r="GX94" s="20">
        <f t="shared" si="82"/>
        <v>567.62276426035044</v>
      </c>
      <c r="GY94" s="59">
        <f t="shared" si="83"/>
        <v>860.95609759368381</v>
      </c>
      <c r="GZ94" s="59">
        <f ca="1">AVERAGE(OFFSET($GY$3,0,0,'Données projet'!$E$18+1,1))-AVERAGE(OFFSET($H$3,0,0,'Données projet'!$E$18+1,1))</f>
        <v>308.80022073574963</v>
      </c>
      <c r="HA94" s="59">
        <f t="shared" si="106"/>
        <v>183.96267407004115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73.182649662135518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73.182649662135518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344.49457749226184</v>
      </c>
      <c r="T95" s="59">
        <f t="shared" si="88"/>
        <v>207.92972431357452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3.8</v>
      </c>
      <c r="AI95" s="13">
        <f>IF('Données projet'!$A$62&gt;35,AI94+AH95-AQ94,IF(A95&lt;'Données projet'!$A$62,$AF$205^A95,IF(A95='Données projet'!$A$62,'Données projet'!$B$62,AI94+AH95-AQ94)))</f>
        <v>200.59999999999997</v>
      </c>
      <c r="AJ95" s="13">
        <f>AI95*VLOOKUP('Données projet'!$B$10,Paramètres!$A$1:$I$89,3,0)*VLOOKUP('Données projet'!$B$10,Paramètres!$A$1:$I$89,5,0)</f>
        <v>181.50287999999995</v>
      </c>
      <c r="AK95" s="13">
        <f t="shared" si="89"/>
        <v>45.656387302784658</v>
      </c>
      <c r="AL95" s="20">
        <f t="shared" si="58"/>
        <v>395.63572388568315</v>
      </c>
      <c r="AM95" s="59">
        <f t="shared" si="59"/>
        <v>688.96905721901646</v>
      </c>
      <c r="AN95" s="59">
        <f ca="1">AVERAGE(OFFSET($AM$3,0,0,'Données projet'!$E$10+1,1))-AVERAGE(OFFSET($H$3,0,0,'Données projet'!$E$10+1,1))</f>
        <v>183.0147113277086</v>
      </c>
      <c r="AO95" s="59">
        <f t="shared" si="90"/>
        <v>76.413905647258389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42.541515708189856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42.541515708189856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253.79640000000001</v>
      </c>
      <c r="BF95" s="13">
        <f t="shared" si="91"/>
        <v>61.39816832228076</v>
      </c>
      <c r="BG95" s="20">
        <f t="shared" si="61"/>
        <v>548.96387316130563</v>
      </c>
      <c r="BH95" s="59">
        <f t="shared" si="62"/>
        <v>842.29720649463889</v>
      </c>
      <c r="BI95" s="59">
        <f ca="1">AVERAGE(OFFSET($BH$3,0,0,'Données projet'!$E$11+1,1))-AVERAGE(OFFSET($H$3,0,0,'Données projet'!$E$11+1,1))</f>
        <v>279.49721661620544</v>
      </c>
      <c r="BJ95" s="59">
        <f t="shared" si="92"/>
        <v>275.18739333988754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41.921998767241035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41.921998767241035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754.68411025369562</v>
      </c>
      <c r="CD95" s="59">
        <f ca="1">AVERAGE(OFFSET($CC$3,0,0,'Données projet'!$E$12+1,1))-AVERAGE(OFFSET($H$3,0,0,'Données projet'!$E$12+1,1))</f>
        <v>225.2323446080772</v>
      </c>
      <c r="CE95" s="59">
        <f t="shared" si="94"/>
        <v>222.29030402759292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34.209529756208802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34.209529756208802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213.00000000000003</v>
      </c>
      <c r="CU95" s="17">
        <f>CT95*VLOOKUP('Données projet'!$B$13,Paramètres!$A$1:$I$89,3,0)*VLOOKUP('Données projet'!$B$13,Paramètres!$A$1:$I$89,5,0)</f>
        <v>229.2732</v>
      </c>
      <c r="CV95" s="13">
        <f t="shared" si="95"/>
        <v>56.125501442527366</v>
      </c>
      <c r="CW95" s="20">
        <f t="shared" si="67"/>
        <v>497.06940501240177</v>
      </c>
      <c r="CX95" s="59">
        <f t="shared" si="68"/>
        <v>790.40273834573509</v>
      </c>
      <c r="CY95" s="59">
        <f ca="1">AVERAGE(OFFSET($CX$3,0,0,'Données projet'!$E$13+1,1))-AVERAGE(OFFSET($H$3,0,0,'Données projet'!$E$13+1,1))</f>
        <v>240.57184010337932</v>
      </c>
      <c r="CZ95" s="59">
        <f t="shared" si="96"/>
        <v>236.36473521227072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29.010586018979261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29.010586018979261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670.99999999999977</v>
      </c>
      <c r="DP95" s="17">
        <f>DO95*VLOOKUP('Données projet'!$B$14,Paramètres!$A$1:$I$89,3,0)*VLOOKUP('Données projet'!$B$14,Paramètres!$A$1:$I$89,5,0)</f>
        <v>314.02799999999991</v>
      </c>
      <c r="DQ95" s="13">
        <f t="shared" si="97"/>
        <v>74.109403804428752</v>
      </c>
      <c r="DR95" s="20">
        <f t="shared" si="70"/>
        <v>676.00597829271317</v>
      </c>
      <c r="DS95" s="59">
        <f t="shared" si="71"/>
        <v>969.33931162604654</v>
      </c>
      <c r="DT95" s="59">
        <f ca="1">AVERAGE(OFFSET($DS$3,0,0,'Données projet'!$E$14+1,1))-AVERAGE(OFFSET($H$3,0,0,'Données projet'!$E$14+1,1))</f>
        <v>304.29617570272939</v>
      </c>
      <c r="DU95" s="59">
        <f t="shared" si="98"/>
        <v>246.20695736161576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78.266674231490015</v>
      </c>
      <c r="EB95" s="21">
        <f>EXP(-LN(2)/25)*EB94+(1-EXP(-LN(2)/25))/(LN(2)/25)*Calculateur!DW95*Calculateur!DY95*VLOOKUP('Données projet'!$B$14,Paramètres!$A$1:$I$89,3,0)*0.475*44/12</f>
        <v>7.3355491271033175</v>
      </c>
      <c r="EC95" s="21">
        <f>EXP(-LN(2)/2)*EC94+(1-EXP(-LN(2)/2))/(LN(2)/2)*DW95*DZ95*VLOOKUP('Données projet'!$B$14,Paramètres!$A$1:$I$89,3,0)*0.475*44/12</f>
        <v>1.8320015127060266E-9</v>
      </c>
      <c r="ED95" s="22">
        <f t="shared" si="72"/>
        <v>85.602223360425342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477.9999999999996</v>
      </c>
      <c r="EK95" s="17">
        <f>EJ95*VLOOKUP('Données projet'!$B$15,Paramètres!$A$1:$I$89,3,0)*VLOOKUP('Données projet'!$B$15,Paramètres!$A$1:$I$89,5,0)</f>
        <v>285.84399999999977</v>
      </c>
      <c r="EL95" s="13">
        <f t="shared" si="99"/>
        <v>68.200525419065656</v>
      </c>
      <c r="EM95" s="20">
        <f t="shared" si="73"/>
        <v>616.62754843820551</v>
      </c>
      <c r="EN95" s="59">
        <f t="shared" si="74"/>
        <v>909.96088177153888</v>
      </c>
      <c r="EO95" s="59">
        <f ca="1">AVERAGE(OFFSET($EN$3,0,0,'Données projet'!$E$15+1,1))-AVERAGE(OFFSET($H$3,0,0,'Données projet'!$E$15+1,1))</f>
        <v>288.41846134875794</v>
      </c>
      <c r="EP95" s="59">
        <f t="shared" si="100"/>
        <v>248.93951719818972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56.624023765609039</v>
      </c>
      <c r="EW95" s="21">
        <f>EXP(-LN(2)/25)*EW94+(1-EXP(-LN(2)/25))/(LN(2)/25)*Calculateur!ER95*Calculateur!ET95*VLOOKUP('Données projet'!$B$15,Paramètres!$A$1:$I$89,3,0)*0.475*44/12</f>
        <v>5.007178219356212</v>
      </c>
      <c r="EX95" s="21">
        <f>EXP(-LN(2)/2)*EX94+(1-EXP(-LN(2)/2))/(LN(2)/2)*ER95*EU95*VLOOKUP('Données projet'!$B$15,Paramètres!$A$1:$I$89,3,0)*0.475*44/12</f>
        <v>2.2661294526448327E-10</v>
      </c>
      <c r="EY95" s="22">
        <f t="shared" si="75"/>
        <v>61.631201985191865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789.00000000000045</v>
      </c>
      <c r="FF95" s="17">
        <f>FE95*VLOOKUP('Données projet'!$B$16,Paramètres!$A$1:$I$89,3,0)*VLOOKUP('Données projet'!$B$16,Paramètres!$A$1:$I$89,5,0)</f>
        <v>358.99500000000023</v>
      </c>
      <c r="FG95" s="13">
        <f t="shared" si="101"/>
        <v>83.411930940690553</v>
      </c>
      <c r="FH95" s="20">
        <f t="shared" si="76"/>
        <v>770.52540472170313</v>
      </c>
      <c r="FI95" s="59">
        <f t="shared" si="77"/>
        <v>1063.8587380550364</v>
      </c>
      <c r="FJ95" s="59">
        <f ca="1">AVERAGE(OFFSET($FI$3,0,0,'Données projet'!$E$16+1,1))-AVERAGE(OFFSET($H$3,0,0,'Données projet'!$E$16+1,1))</f>
        <v>367.36535411813264</v>
      </c>
      <c r="FK95" s="59">
        <f t="shared" si="102"/>
        <v>293.19545174980556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69.187788645380252</v>
      </c>
      <c r="FR95" s="21">
        <f>EXP(-LN(2)/25)*FR94+(1-EXP(-LN(2)/25))/(LN(2)/25)*Calculateur!FM95*Calculateur!FO95*VLOOKUP('Données projet'!$B$16,Paramètres!$A$1:$I$89,3,0)*0.475*44/12</f>
        <v>7.7607230855561236</v>
      </c>
      <c r="FS95" s="21">
        <f>EXP(-LN(2)/2)*FS94+(1-EXP(-LN(2)/2))/(LN(2)/2)*FM95*FP95*VLOOKUP('Données projet'!$B$16,Paramètres!$A$1:$I$89,3,0)*0.475*44/12</f>
        <v>3.3734913874438483E-10</v>
      </c>
      <c r="FT95" s="22">
        <f t="shared" si="78"/>
        <v>76.948511731273726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669.99999999999989</v>
      </c>
      <c r="GA95" s="17">
        <f>FZ95*VLOOKUP('Données projet'!$B$17,Paramètres!$A$1:$I$89,3,0)*VLOOKUP('Données projet'!$B$17,Paramètres!$A$1:$I$89,5,0)</f>
        <v>322.26999999999992</v>
      </c>
      <c r="GB95" s="13">
        <f t="shared" si="103"/>
        <v>75.825476822885776</v>
      </c>
      <c r="GC95" s="20">
        <f t="shared" si="79"/>
        <v>693.34962213319261</v>
      </c>
      <c r="GD95" s="59">
        <f t="shared" si="80"/>
        <v>986.68295546652598</v>
      </c>
      <c r="GE95" s="59">
        <f ca="1">AVERAGE(OFFSET($GD$3,0,0,'Données projet'!$E$17+1,1))-AVERAGE(OFFSET($H$3,0,0,'Données projet'!$E$17+1,1))</f>
        <v>312.64506496298173</v>
      </c>
      <c r="GF95" s="59">
        <f t="shared" si="104"/>
        <v>259.97532509897508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89.314921632694606</v>
      </c>
      <c r="GM95" s="21">
        <f>EXP(-LN(2)/25)*GM94+(1-EXP(-LN(2)/25))/(LN(2)/25)*Calculateur!GH95*Calculateur!GJ95*VLOOKUP('Données projet'!$B$17,Paramètres!$A$1:$I$89,3,0)*0.475*44/12</f>
        <v>3.5087821252808511</v>
      </c>
      <c r="GN95" s="21">
        <f>EXP(-LN(2)/2)*GN94+(1-EXP(-LN(2)/2))/(LN(2)/2)*GH95*GK95*VLOOKUP('Données projet'!$B$17,Paramètres!$A$1:$I$89,3,0)*0.475*44/12</f>
        <v>1.7932289939185881E-9</v>
      </c>
      <c r="GO95" s="21">
        <f t="shared" si="81"/>
        <v>92.823703759768676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5</v>
      </c>
      <c r="GU95" s="12">
        <f>IF('Données projet'!$A$270&gt;35,GU94+GT95-HC94,IF(A95&lt;'Données projet'!$A$270,$GR$205^A95,IF(A95='Données projet'!$A$270,'Données projet'!$B$270,GU94+GT95-HC94)))</f>
        <v>263.99999999999983</v>
      </c>
      <c r="GV95" s="17">
        <f>GU95*VLOOKUP('Données projet'!$B$18,Paramètres!$A$1:$I$89,3,0)*VLOOKUP('Données projet'!$B$18,Paramètres!$A$1:$I$89,5,0)</f>
        <v>267.69599999999986</v>
      </c>
      <c r="GW95" s="13">
        <f t="shared" si="105"/>
        <v>64.360058723585439</v>
      </c>
      <c r="GX95" s="20">
        <f t="shared" si="82"/>
        <v>578.33096894357766</v>
      </c>
      <c r="GY95" s="59">
        <f t="shared" si="83"/>
        <v>871.66430227691103</v>
      </c>
      <c r="GZ95" s="59">
        <f ca="1">AVERAGE(OFFSET($GY$3,0,0,'Données projet'!$E$18+1,1))-AVERAGE(OFFSET($H$3,0,0,'Données projet'!$E$18+1,1))</f>
        <v>308.80022073574963</v>
      </c>
      <c r="HA95" s="59">
        <f t="shared" si="106"/>
        <v>183.96267407004115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71.7475825392698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71.7475825392698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344.49457749226184</v>
      </c>
      <c r="T96" s="59">
        <f t="shared" si="88"/>
        <v>207.92972431357452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3.8</v>
      </c>
      <c r="AI96" s="13">
        <f>IF('Données projet'!$A$62&gt;35,AI95+AH96-AQ95,IF(A96&lt;'Données projet'!$A$62,$AF$205^A96,IF(A96='Données projet'!$A$62,'Données projet'!$B$62,AI95+AH96-AQ95)))</f>
        <v>204.39999999999998</v>
      </c>
      <c r="AJ96" s="13">
        <f>AI96*VLOOKUP('Données projet'!$B$10,Paramètres!$A$1:$I$89,3,0)*VLOOKUP('Données projet'!$B$10,Paramètres!$A$1:$I$89,5,0)</f>
        <v>184.94111999999998</v>
      </c>
      <c r="AK96" s="13">
        <f t="shared" si="89"/>
        <v>46.419755730249435</v>
      </c>
      <c r="AL96" s="20">
        <f t="shared" si="58"/>
        <v>402.95352523018437</v>
      </c>
      <c r="AM96" s="59">
        <f t="shared" si="59"/>
        <v>696.28685856351763</v>
      </c>
      <c r="AN96" s="59">
        <f ca="1">AVERAGE(OFFSET($AM$3,0,0,'Données projet'!$E$10+1,1))-AVERAGE(OFFSET($H$3,0,0,'Données projet'!$E$10+1,1))</f>
        <v>183.0147113277086</v>
      </c>
      <c r="AO96" s="59">
        <f t="shared" si="90"/>
        <v>76.413905647258389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41.707302532914703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41.707302532914703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253.79640000000001</v>
      </c>
      <c r="BF96" s="13">
        <f t="shared" si="91"/>
        <v>61.39816832228076</v>
      </c>
      <c r="BG96" s="20">
        <f t="shared" si="61"/>
        <v>548.96387316130563</v>
      </c>
      <c r="BH96" s="59">
        <f t="shared" si="62"/>
        <v>842.29720649463889</v>
      </c>
      <c r="BI96" s="59">
        <f ca="1">AVERAGE(OFFSET($BH$3,0,0,'Données projet'!$E$11+1,1))-AVERAGE(OFFSET($H$3,0,0,'Données projet'!$E$11+1,1))</f>
        <v>279.49721661620544</v>
      </c>
      <c r="BJ96" s="59">
        <f t="shared" si="92"/>
        <v>275.18739333988754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41.099933941309871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41.099933941309871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754.68411025369562</v>
      </c>
      <c r="CD96" s="59">
        <f ca="1">AVERAGE(OFFSET($CC$3,0,0,'Données projet'!$E$12+1,1))-AVERAGE(OFFSET($H$3,0,0,'Données projet'!$E$12+1,1))</f>
        <v>225.2323446080772</v>
      </c>
      <c r="CE96" s="59">
        <f t="shared" si="94"/>
        <v>222.29030402759292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33.538701743442374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33.538701743442374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213.00000000000003</v>
      </c>
      <c r="CU96" s="17">
        <f>CT96*VLOOKUP('Données projet'!$B$13,Paramètres!$A$1:$I$89,3,0)*VLOOKUP('Données projet'!$B$13,Paramètres!$A$1:$I$89,5,0)</f>
        <v>229.2732</v>
      </c>
      <c r="CV96" s="13">
        <f t="shared" si="95"/>
        <v>56.125501442527366</v>
      </c>
      <c r="CW96" s="20">
        <f t="shared" si="67"/>
        <v>497.06940501240177</v>
      </c>
      <c r="CX96" s="59">
        <f t="shared" si="68"/>
        <v>790.40273834573509</v>
      </c>
      <c r="CY96" s="59">
        <f ca="1">AVERAGE(OFFSET($CX$3,0,0,'Données projet'!$E$13+1,1))-AVERAGE(OFFSET($H$3,0,0,'Données projet'!$E$13+1,1))</f>
        <v>240.57184010337932</v>
      </c>
      <c r="CZ96" s="59">
        <f t="shared" si="96"/>
        <v>236.36473521227072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28.44170612185734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28.44170612185734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670.99999999999977</v>
      </c>
      <c r="DP96" s="17">
        <f>DO96*VLOOKUP('Données projet'!$B$14,Paramètres!$A$1:$I$89,3,0)*VLOOKUP('Données projet'!$B$14,Paramètres!$A$1:$I$89,5,0)</f>
        <v>314.02799999999991</v>
      </c>
      <c r="DQ96" s="13">
        <f t="shared" si="97"/>
        <v>74.109403804428752</v>
      </c>
      <c r="DR96" s="20">
        <f t="shared" si="70"/>
        <v>676.00597829271317</v>
      </c>
      <c r="DS96" s="59">
        <f t="shared" si="71"/>
        <v>969.33931162604654</v>
      </c>
      <c r="DT96" s="59">
        <f ca="1">AVERAGE(OFFSET($DS$3,0,0,'Données projet'!$E$14+1,1))-AVERAGE(OFFSET($H$3,0,0,'Données projet'!$E$14+1,1))</f>
        <v>304.29617570272939</v>
      </c>
      <c r="DU96" s="59">
        <f t="shared" si="98"/>
        <v>246.20695736161576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76.731912487768042</v>
      </c>
      <c r="EB96" s="21">
        <f>EXP(-LN(2)/25)*EB95+(1-EXP(-LN(2)/25))/(LN(2)/25)*Calculateur!DW96*Calculateur!DY96*VLOOKUP('Données projet'!$B$14,Paramètres!$A$1:$I$89,3,0)*0.475*44/12</f>
        <v>7.1349581504629143</v>
      </c>
      <c r="EC96" s="21">
        <f>EXP(-LN(2)/2)*EC95+(1-EXP(-LN(2)/2))/(LN(2)/2)*DW96*DZ96*VLOOKUP('Données projet'!$B$14,Paramètres!$A$1:$I$89,3,0)*0.475*44/12</f>
        <v>1.2954206927784445E-9</v>
      </c>
      <c r="ED96" s="22">
        <f t="shared" si="72"/>
        <v>83.866870639526368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477.9999999999996</v>
      </c>
      <c r="EK96" s="17">
        <f>EJ96*VLOOKUP('Données projet'!$B$15,Paramètres!$A$1:$I$89,3,0)*VLOOKUP('Données projet'!$B$15,Paramètres!$A$1:$I$89,5,0)</f>
        <v>285.84399999999977</v>
      </c>
      <c r="EL96" s="13">
        <f t="shared" si="99"/>
        <v>68.200525419065656</v>
      </c>
      <c r="EM96" s="20">
        <f t="shared" si="73"/>
        <v>616.62754843820551</v>
      </c>
      <c r="EN96" s="59">
        <f t="shared" si="74"/>
        <v>909.96088177153888</v>
      </c>
      <c r="EO96" s="59">
        <f ca="1">AVERAGE(OFFSET($EN$3,0,0,'Données projet'!$E$15+1,1))-AVERAGE(OFFSET($H$3,0,0,'Données projet'!$E$15+1,1))</f>
        <v>288.41846134875794</v>
      </c>
      <c r="EP96" s="59">
        <f t="shared" si="100"/>
        <v>248.93951719818972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55.513661196809672</v>
      </c>
      <c r="EW96" s="21">
        <f>EXP(-LN(2)/25)*EW95+(1-EXP(-LN(2)/25))/(LN(2)/25)*Calculateur!ER96*Calculateur!ET96*VLOOKUP('Données projet'!$B$15,Paramètres!$A$1:$I$89,3,0)*0.475*44/12</f>
        <v>4.8702566676318577</v>
      </c>
      <c r="EX96" s="21">
        <f>EXP(-LN(2)/2)*EX95+(1-EXP(-LN(2)/2))/(LN(2)/2)*ER96*EU96*VLOOKUP('Données projet'!$B$15,Paramètres!$A$1:$I$89,3,0)*0.475*44/12</f>
        <v>1.6023955030117206E-10</v>
      </c>
      <c r="EY96" s="22">
        <f t="shared" si="75"/>
        <v>60.38391786460177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789.00000000000045</v>
      </c>
      <c r="FF96" s="17">
        <f>FE96*VLOOKUP('Données projet'!$B$16,Paramètres!$A$1:$I$89,3,0)*VLOOKUP('Données projet'!$B$16,Paramètres!$A$1:$I$89,5,0)</f>
        <v>358.99500000000023</v>
      </c>
      <c r="FG96" s="13">
        <f t="shared" si="101"/>
        <v>83.411930940690553</v>
      </c>
      <c r="FH96" s="20">
        <f t="shared" si="76"/>
        <v>770.52540472170313</v>
      </c>
      <c r="FI96" s="59">
        <f t="shared" si="77"/>
        <v>1063.8587380550364</v>
      </c>
      <c r="FJ96" s="59">
        <f ca="1">AVERAGE(OFFSET($FI$3,0,0,'Données projet'!$E$16+1,1))-AVERAGE(OFFSET($H$3,0,0,'Données projet'!$E$16+1,1))</f>
        <v>367.36535411813264</v>
      </c>
      <c r="FK96" s="59">
        <f t="shared" si="102"/>
        <v>293.19545174980556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67.831058310428475</v>
      </c>
      <c r="FR96" s="21">
        <f>EXP(-LN(2)/25)*FR95+(1-EXP(-LN(2)/25))/(LN(2)/25)*Calculateur!FM96*Calculateur!FO96*VLOOKUP('Données projet'!$B$16,Paramètres!$A$1:$I$89,3,0)*0.475*44/12</f>
        <v>7.5485057046629018</v>
      </c>
      <c r="FS96" s="21">
        <f>EXP(-LN(2)/2)*FS95+(1-EXP(-LN(2)/2))/(LN(2)/2)*FM96*FP96*VLOOKUP('Données projet'!$B$16,Paramètres!$A$1:$I$89,3,0)*0.475*44/12</f>
        <v>2.3854186363359598E-10</v>
      </c>
      <c r="FT96" s="22">
        <f t="shared" si="78"/>
        <v>75.379564015329919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669.99999999999989</v>
      </c>
      <c r="GA96" s="17">
        <f>FZ96*VLOOKUP('Données projet'!$B$17,Paramètres!$A$1:$I$89,3,0)*VLOOKUP('Données projet'!$B$17,Paramètres!$A$1:$I$89,5,0)</f>
        <v>322.26999999999992</v>
      </c>
      <c r="GB96" s="13">
        <f t="shared" si="103"/>
        <v>75.825476822885776</v>
      </c>
      <c r="GC96" s="20">
        <f t="shared" si="79"/>
        <v>693.34962213319261</v>
      </c>
      <c r="GD96" s="59">
        <f t="shared" si="80"/>
        <v>986.68295546652598</v>
      </c>
      <c r="GE96" s="59">
        <f ca="1">AVERAGE(OFFSET($GD$3,0,0,'Données projet'!$E$17+1,1))-AVERAGE(OFFSET($H$3,0,0,'Données projet'!$E$17+1,1))</f>
        <v>312.64506496298173</v>
      </c>
      <c r="GF96" s="59">
        <f t="shared" si="104"/>
        <v>259.97532509897508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87.563510496200536</v>
      </c>
      <c r="GM96" s="21">
        <f>EXP(-LN(2)/25)*GM95+(1-EXP(-LN(2)/25))/(LN(2)/25)*Calculateur!GH96*Calculateur!GJ96*VLOOKUP('Données projet'!$B$17,Paramètres!$A$1:$I$89,3,0)*0.475*44/12</f>
        <v>3.4128342935462137</v>
      </c>
      <c r="GN96" s="21">
        <f>EXP(-LN(2)/2)*GN95+(1-EXP(-LN(2)/2))/(LN(2)/2)*GH96*GK96*VLOOKUP('Données projet'!$B$17,Paramètres!$A$1:$I$89,3,0)*0.475*44/12</f>
        <v>1.2680043818201638E-9</v>
      </c>
      <c r="GO96" s="21">
        <f t="shared" si="81"/>
        <v>90.976344791014753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5</v>
      </c>
      <c r="GU96" s="12">
        <f>IF('Données projet'!$A$270&gt;35,GU95+GT96-HC95,IF(A96&lt;'Données projet'!$A$270,$GR$205^A96,IF(A96='Données projet'!$A$270,'Données projet'!$B$270,GU95+GT96-HC95)))</f>
        <v>268.99999999999983</v>
      </c>
      <c r="GV96" s="17">
        <f>GU96*VLOOKUP('Données projet'!$B$18,Paramètres!$A$1:$I$89,3,0)*VLOOKUP('Données projet'!$B$18,Paramètres!$A$1:$I$89,5,0)</f>
        <v>272.76599999999985</v>
      </c>
      <c r="GW96" s="13">
        <f t="shared" si="105"/>
        <v>65.43593563008757</v>
      </c>
      <c r="GX96" s="20">
        <f t="shared" si="82"/>
        <v>589.03503788906892</v>
      </c>
      <c r="GY96" s="59">
        <f t="shared" si="83"/>
        <v>882.36837122240217</v>
      </c>
      <c r="GZ96" s="59">
        <f ca="1">AVERAGE(OFFSET($GY$3,0,0,'Données projet'!$E$18+1,1))-AVERAGE(OFFSET($H$3,0,0,'Données projet'!$E$18+1,1))</f>
        <v>308.80022073574963</v>
      </c>
      <c r="HA96" s="59">
        <f t="shared" si="106"/>
        <v>183.96267407004115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70.340656207378956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70.340656207378956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344.49457749226184</v>
      </c>
      <c r="T97" s="59">
        <f t="shared" si="88"/>
        <v>207.92972431357452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3.8</v>
      </c>
      <c r="AI97" s="13">
        <f>IF('Données projet'!$A$62&gt;35,AI96+AH97-AQ96,IF(A97&lt;'Données projet'!$A$62,$AF$205^A97,IF(A97='Données projet'!$A$62,'Données projet'!$B$62,AI96+AH97-AQ96)))</f>
        <v>208.2</v>
      </c>
      <c r="AJ97" s="13">
        <f>AI97*VLOOKUP('Données projet'!$B$10,Paramètres!$A$1:$I$89,3,0)*VLOOKUP('Données projet'!$B$10,Paramètres!$A$1:$I$89,5,0)</f>
        <v>188.37935999999999</v>
      </c>
      <c r="AK97" s="13">
        <f t="shared" si="89"/>
        <v>47.181473920005914</v>
      </c>
      <c r="AL97" s="20">
        <f t="shared" si="58"/>
        <v>410.2684524106769</v>
      </c>
      <c r="AM97" s="59">
        <f t="shared" si="59"/>
        <v>703.60178574401016</v>
      </c>
      <c r="AN97" s="59">
        <f ca="1">AVERAGE(OFFSET($AM$3,0,0,'Données projet'!$E$10+1,1))-AVERAGE(OFFSET($H$3,0,0,'Données projet'!$E$10+1,1))</f>
        <v>183.0147113277086</v>
      </c>
      <c r="AO97" s="59">
        <f t="shared" si="90"/>
        <v>76.413905647258389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40.889447769186901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40.889447769186901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253.79640000000001</v>
      </c>
      <c r="BF97" s="13">
        <f t="shared" si="91"/>
        <v>61.39816832228076</v>
      </c>
      <c r="BG97" s="20">
        <f t="shared" si="61"/>
        <v>548.96387316130563</v>
      </c>
      <c r="BH97" s="59">
        <f t="shared" si="62"/>
        <v>842.29720649463889</v>
      </c>
      <c r="BI97" s="59">
        <f ca="1">AVERAGE(OFFSET($BH$3,0,0,'Données projet'!$E$11+1,1))-AVERAGE(OFFSET($H$3,0,0,'Données projet'!$E$11+1,1))</f>
        <v>279.49721661620544</v>
      </c>
      <c r="BJ97" s="59">
        <f t="shared" si="92"/>
        <v>275.18739333988754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40.29398930520518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40.29398930520518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754.68411025369562</v>
      </c>
      <c r="CD97" s="59">
        <f ca="1">AVERAGE(OFFSET($CC$3,0,0,'Données projet'!$E$12+1,1))-AVERAGE(OFFSET($H$3,0,0,'Données projet'!$E$12+1,1))</f>
        <v>225.2323446080772</v>
      </c>
      <c r="CE97" s="59">
        <f t="shared" si="94"/>
        <v>222.29030402759292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32.88102825884161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32.88102825884161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213.00000000000003</v>
      </c>
      <c r="CU97" s="17">
        <f>CT97*VLOOKUP('Données projet'!$B$13,Paramètres!$A$1:$I$89,3,0)*VLOOKUP('Données projet'!$B$13,Paramètres!$A$1:$I$89,5,0)</f>
        <v>229.2732</v>
      </c>
      <c r="CV97" s="13">
        <f t="shared" si="95"/>
        <v>56.125501442527366</v>
      </c>
      <c r="CW97" s="20">
        <f t="shared" si="67"/>
        <v>497.06940501240177</v>
      </c>
      <c r="CX97" s="59">
        <f t="shared" si="68"/>
        <v>790.40273834573509</v>
      </c>
      <c r="CY97" s="59">
        <f ca="1">AVERAGE(OFFSET($CX$3,0,0,'Données projet'!$E$13+1,1))-AVERAGE(OFFSET($H$3,0,0,'Données projet'!$E$13+1,1))</f>
        <v>240.57184010337932</v>
      </c>
      <c r="CZ97" s="59">
        <f t="shared" si="96"/>
        <v>236.36473521227072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27.883981612535507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27.883981612535507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670.99999999999977</v>
      </c>
      <c r="DP97" s="17">
        <f>DO97*VLOOKUP('Données projet'!$B$14,Paramètres!$A$1:$I$89,3,0)*VLOOKUP('Données projet'!$B$14,Paramètres!$A$1:$I$89,5,0)</f>
        <v>314.02799999999991</v>
      </c>
      <c r="DQ97" s="13">
        <f t="shared" si="97"/>
        <v>74.109403804428752</v>
      </c>
      <c r="DR97" s="20">
        <f t="shared" si="70"/>
        <v>676.00597829271317</v>
      </c>
      <c r="DS97" s="59">
        <f t="shared" si="71"/>
        <v>969.33931162604654</v>
      </c>
      <c r="DT97" s="59">
        <f ca="1">AVERAGE(OFFSET($DS$3,0,0,'Données projet'!$E$14+1,1))-AVERAGE(OFFSET($H$3,0,0,'Données projet'!$E$14+1,1))</f>
        <v>304.29617570272939</v>
      </c>
      <c r="DU97" s="59">
        <f t="shared" si="98"/>
        <v>246.20695736161576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75.22724648572823</v>
      </c>
      <c r="EB97" s="21">
        <f>EXP(-LN(2)/25)*EB96+(1-EXP(-LN(2)/25))/(LN(2)/25)*Calculateur!DW97*Calculateur!DY97*VLOOKUP('Données projet'!$B$14,Paramètres!$A$1:$I$89,3,0)*0.475*44/12</f>
        <v>6.9398523446273641</v>
      </c>
      <c r="EC97" s="21">
        <f>EXP(-LN(2)/2)*EC96+(1-EXP(-LN(2)/2))/(LN(2)/2)*DW97*DZ97*VLOOKUP('Données projet'!$B$14,Paramètres!$A$1:$I$89,3,0)*0.475*44/12</f>
        <v>9.1600075635301343E-10</v>
      </c>
      <c r="ED97" s="22">
        <f t="shared" si="72"/>
        <v>82.167098831271602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477.9999999999996</v>
      </c>
      <c r="EK97" s="17">
        <f>EJ97*VLOOKUP('Données projet'!$B$15,Paramètres!$A$1:$I$89,3,0)*VLOOKUP('Données projet'!$B$15,Paramètres!$A$1:$I$89,5,0)</f>
        <v>285.84399999999977</v>
      </c>
      <c r="EL97" s="13">
        <f t="shared" si="99"/>
        <v>68.200525419065656</v>
      </c>
      <c r="EM97" s="20">
        <f t="shared" si="73"/>
        <v>616.62754843820551</v>
      </c>
      <c r="EN97" s="59">
        <f t="shared" si="74"/>
        <v>909.96088177153888</v>
      </c>
      <c r="EO97" s="59">
        <f ca="1">AVERAGE(OFFSET($EN$3,0,0,'Données projet'!$E$15+1,1))-AVERAGE(OFFSET($H$3,0,0,'Données projet'!$E$15+1,1))</f>
        <v>288.41846134875794</v>
      </c>
      <c r="EP97" s="59">
        <f t="shared" si="100"/>
        <v>248.93951719818972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54.425072160730167</v>
      </c>
      <c r="EW97" s="21">
        <f>EXP(-LN(2)/25)*EW96+(1-EXP(-LN(2)/25))/(LN(2)/25)*Calculateur!ER97*Calculateur!ET97*VLOOKUP('Données projet'!$B$15,Paramètres!$A$1:$I$89,3,0)*0.475*44/12</f>
        <v>4.7370792429397977</v>
      </c>
      <c r="EX97" s="21">
        <f>EXP(-LN(2)/2)*EX96+(1-EXP(-LN(2)/2))/(LN(2)/2)*ER97*EU97*VLOOKUP('Données projet'!$B$15,Paramètres!$A$1:$I$89,3,0)*0.475*44/12</f>
        <v>1.1330647263224166E-10</v>
      </c>
      <c r="EY97" s="22">
        <f t="shared" si="75"/>
        <v>59.16215140378327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789.00000000000045</v>
      </c>
      <c r="FF97" s="17">
        <f>FE97*VLOOKUP('Données projet'!$B$16,Paramètres!$A$1:$I$89,3,0)*VLOOKUP('Données projet'!$B$16,Paramètres!$A$1:$I$89,5,0)</f>
        <v>358.99500000000023</v>
      </c>
      <c r="FG97" s="13">
        <f t="shared" si="101"/>
        <v>83.411930940690553</v>
      </c>
      <c r="FH97" s="20">
        <f t="shared" si="76"/>
        <v>770.52540472170313</v>
      </c>
      <c r="FI97" s="59">
        <f t="shared" si="77"/>
        <v>1063.8587380550364</v>
      </c>
      <c r="FJ97" s="59">
        <f ca="1">AVERAGE(OFFSET($FI$3,0,0,'Données projet'!$E$16+1,1))-AVERAGE(OFFSET($H$3,0,0,'Données projet'!$E$16+1,1))</f>
        <v>367.36535411813264</v>
      </c>
      <c r="FK97" s="59">
        <f t="shared" si="102"/>
        <v>293.19545174980556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66.500932629821307</v>
      </c>
      <c r="FR97" s="21">
        <f>EXP(-LN(2)/25)*FR96+(1-EXP(-LN(2)/25))/(LN(2)/25)*Calculateur!FM97*Calculateur!FO97*VLOOKUP('Données projet'!$B$16,Paramètres!$A$1:$I$89,3,0)*0.475*44/12</f>
        <v>7.3420914192102318</v>
      </c>
      <c r="FS97" s="21">
        <f>EXP(-LN(2)/2)*FS96+(1-EXP(-LN(2)/2))/(LN(2)/2)*FM97*FP97*VLOOKUP('Données projet'!$B$16,Paramètres!$A$1:$I$89,3,0)*0.475*44/12</f>
        <v>1.6867456937219242E-10</v>
      </c>
      <c r="FT97" s="22">
        <f t="shared" si="78"/>
        <v>73.84302404920021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669.99999999999989</v>
      </c>
      <c r="GA97" s="17">
        <f>FZ97*VLOOKUP('Données projet'!$B$17,Paramètres!$A$1:$I$89,3,0)*VLOOKUP('Données projet'!$B$17,Paramètres!$A$1:$I$89,5,0)</f>
        <v>322.26999999999992</v>
      </c>
      <c r="GB97" s="13">
        <f t="shared" si="103"/>
        <v>75.825476822885776</v>
      </c>
      <c r="GC97" s="20">
        <f t="shared" si="79"/>
        <v>693.34962213319261</v>
      </c>
      <c r="GD97" s="59">
        <f t="shared" si="80"/>
        <v>986.68295546652598</v>
      </c>
      <c r="GE97" s="59">
        <f ca="1">AVERAGE(OFFSET($GD$3,0,0,'Données projet'!$E$17+1,1))-AVERAGE(OFFSET($H$3,0,0,'Données projet'!$E$17+1,1))</f>
        <v>312.64506496298173</v>
      </c>
      <c r="GF97" s="59">
        <f t="shared" si="104"/>
        <v>259.97532509897508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85.846443463837801</v>
      </c>
      <c r="GM97" s="21">
        <f>EXP(-LN(2)/25)*GM96+(1-EXP(-LN(2)/25))/(LN(2)/25)*Calculateur!GH97*Calculateur!GJ97*VLOOKUP('Données projet'!$B$17,Paramètres!$A$1:$I$89,3,0)*0.475*44/12</f>
        <v>3.3195101603160371</v>
      </c>
      <c r="GN97" s="21">
        <f>EXP(-LN(2)/2)*GN96+(1-EXP(-LN(2)/2))/(LN(2)/2)*GH97*GK97*VLOOKUP('Données projet'!$B$17,Paramètres!$A$1:$I$89,3,0)*0.475*44/12</f>
        <v>8.9661449695929405E-10</v>
      </c>
      <c r="GO97" s="21">
        <f t="shared" si="81"/>
        <v>89.165953625050463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5</v>
      </c>
      <c r="GU97" s="12">
        <f>IF('Données projet'!$A$270&gt;35,GU96+GT97-HC96,IF(A97&lt;'Données projet'!$A$270,$GR$205^A97,IF(A97='Données projet'!$A$270,'Données projet'!$B$270,GU96+GT97-HC96)))</f>
        <v>273.99999999999983</v>
      </c>
      <c r="GV97" s="17">
        <f>GU97*VLOOKUP('Données projet'!$B$18,Paramètres!$A$1:$I$89,3,0)*VLOOKUP('Données projet'!$B$18,Paramètres!$A$1:$I$89,5,0)</f>
        <v>277.83599999999984</v>
      </c>
      <c r="GW97" s="13">
        <f t="shared" si="105"/>
        <v>66.509487177652261</v>
      </c>
      <c r="GX97" s="20">
        <f t="shared" si="82"/>
        <v>599.73505683441078</v>
      </c>
      <c r="GY97" s="59">
        <f t="shared" si="83"/>
        <v>893.06839016774416</v>
      </c>
      <c r="GZ97" s="59">
        <f ca="1">AVERAGE(OFFSET($GY$3,0,0,'Données projet'!$E$18+1,1))-AVERAGE(OFFSET($H$3,0,0,'Données projet'!$E$18+1,1))</f>
        <v>308.80022073574963</v>
      </c>
      <c r="HA97" s="59">
        <f t="shared" si="106"/>
        <v>183.96267407004115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68.961318842716167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68.961318842716167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344.49457749226184</v>
      </c>
      <c r="T98" s="59">
        <f t="shared" si="88"/>
        <v>207.92972431357452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212</v>
      </c>
      <c r="AG98" s="12">
        <f>VLOOKUP(A98,'Données projet'!$A$61:$I$81,9,0)</f>
        <v>3.8</v>
      </c>
      <c r="AH98" s="12">
        <f t="array" ref="AH98">INDEX(AG:AG,MIN(IF(ISNUMBER(AG98:AG294),ROW(AG98:AG294),"")))</f>
        <v>3.8</v>
      </c>
      <c r="AI98" s="13">
        <f>IF('Données projet'!$A$62&gt;35,AI97+AH98-AQ97,IF(A98&lt;'Données projet'!$A$62,$AF$205^A98,IF(A98='Données projet'!$A$62,'Données projet'!$B$62,AI97+AH98-AQ97)))</f>
        <v>212</v>
      </c>
      <c r="AJ98" s="13">
        <f>AI98*VLOOKUP('Données projet'!$B$10,Paramètres!$A$1:$I$89,3,0)*VLOOKUP('Données projet'!$B$10,Paramètres!$A$1:$I$89,5,0)</f>
        <v>191.8176</v>
      </c>
      <c r="AK98" s="13">
        <f t="shared" si="89"/>
        <v>47.941575465657095</v>
      </c>
      <c r="AL98" s="20">
        <f t="shared" si="58"/>
        <v>417.58056393601947</v>
      </c>
      <c r="AM98" s="59">
        <f t="shared" si="59"/>
        <v>710.91389726935279</v>
      </c>
      <c r="AN98" s="59">
        <f ca="1">AVERAGE(OFFSET($AM$3,0,0,'Données projet'!$E$10+1,1))-AVERAGE(OFFSET($H$3,0,0,'Données projet'!$E$10+1,1))</f>
        <v>183.0147113277086</v>
      </c>
      <c r="AO98" s="59">
        <f t="shared" si="90"/>
        <v>76.413905647258389</v>
      </c>
      <c r="AP98" s="15">
        <f>IF(ISNA(VLOOKUP(A98,'Données projet'!$A$61:$I$81,3,0)),0,VLOOKUP(A98,'Données projet'!$A$61:$I$81,3,0))</f>
        <v>13</v>
      </c>
      <c r="AQ98" s="15">
        <f>IF(ISNA(VLOOKUP(A98,'Données projet'!$A$61:$I$81,4,0)),0,VLOOKUP(A98,'Données projet'!$A$61:$I$81,4,0))</f>
        <v>14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46.109012826930162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46.109012826930162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253.79640000000001</v>
      </c>
      <c r="BF98" s="13">
        <f t="shared" si="91"/>
        <v>61.39816832228076</v>
      </c>
      <c r="BG98" s="20">
        <f t="shared" si="61"/>
        <v>548.96387316130563</v>
      </c>
      <c r="BH98" s="59">
        <f t="shared" si="62"/>
        <v>842.29720649463889</v>
      </c>
      <c r="BI98" s="59">
        <f ca="1">AVERAGE(OFFSET($BH$3,0,0,'Données projet'!$E$11+1,1))-AVERAGE(OFFSET($H$3,0,0,'Données projet'!$E$11+1,1))</f>
        <v>279.49721661620544</v>
      </c>
      <c r="BJ98" s="59">
        <f t="shared" si="92"/>
        <v>275.18739333988754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39.503848751836813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39.503848751836813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754.68411025369562</v>
      </c>
      <c r="CD98" s="59">
        <f ca="1">AVERAGE(OFFSET($CC$3,0,0,'Données projet'!$E$12+1,1))-AVERAGE(OFFSET($H$3,0,0,'Données projet'!$E$12+1,1))</f>
        <v>225.2323446080772</v>
      </c>
      <c r="CE98" s="59">
        <f t="shared" si="94"/>
        <v>222.29030402759292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32.236251350132655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32.236251350132655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213.00000000000003</v>
      </c>
      <c r="CU98" s="17">
        <f>CT98*VLOOKUP('Données projet'!$B$13,Paramètres!$A$1:$I$89,3,0)*VLOOKUP('Données projet'!$B$13,Paramètres!$A$1:$I$89,5,0)</f>
        <v>229.2732</v>
      </c>
      <c r="CV98" s="13">
        <f t="shared" si="95"/>
        <v>56.125501442527366</v>
      </c>
      <c r="CW98" s="20">
        <f t="shared" si="67"/>
        <v>497.06940501240177</v>
      </c>
      <c r="CX98" s="59">
        <f t="shared" si="68"/>
        <v>790.40273834573509</v>
      </c>
      <c r="CY98" s="59">
        <f ca="1">AVERAGE(OFFSET($CX$3,0,0,'Données projet'!$E$13+1,1))-AVERAGE(OFFSET($H$3,0,0,'Données projet'!$E$13+1,1))</f>
        <v>240.57184010337932</v>
      </c>
      <c r="CZ98" s="59">
        <f t="shared" si="96"/>
        <v>236.36473521227072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27.337193740663114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27.337193740663114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670.99999999999977</v>
      </c>
      <c r="DP98" s="17">
        <f>DO98*VLOOKUP('Données projet'!$B$14,Paramètres!$A$1:$I$89,3,0)*VLOOKUP('Données projet'!$B$14,Paramètres!$A$1:$I$89,5,0)</f>
        <v>314.02799999999991</v>
      </c>
      <c r="DQ98" s="13">
        <f t="shared" si="97"/>
        <v>74.109403804428752</v>
      </c>
      <c r="DR98" s="20">
        <f t="shared" si="70"/>
        <v>676.00597829271317</v>
      </c>
      <c r="DS98" s="59">
        <f t="shared" si="71"/>
        <v>969.33931162604654</v>
      </c>
      <c r="DT98" s="59">
        <f ca="1">AVERAGE(OFFSET($DS$3,0,0,'Données projet'!$E$14+1,1))-AVERAGE(OFFSET($H$3,0,0,'Données projet'!$E$14+1,1))</f>
        <v>304.29617570272939</v>
      </c>
      <c r="DU98" s="59">
        <f t="shared" si="98"/>
        <v>246.20695736161576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73.752086066232778</v>
      </c>
      <c r="EB98" s="21">
        <f>EXP(-LN(2)/25)*EB97+(1-EXP(-LN(2)/25))/(LN(2)/25)*Calculateur!DW98*Calculateur!DY98*VLOOKUP('Données projet'!$B$14,Paramètres!$A$1:$I$89,3,0)*0.475*44/12</f>
        <v>6.7500817173125549</v>
      </c>
      <c r="EC98" s="21">
        <f>EXP(-LN(2)/2)*EC97+(1-EXP(-LN(2)/2))/(LN(2)/2)*DW98*DZ98*VLOOKUP('Données projet'!$B$14,Paramètres!$A$1:$I$89,3,0)*0.475*44/12</f>
        <v>6.4771034638922235E-10</v>
      </c>
      <c r="ED98" s="22">
        <f t="shared" si="72"/>
        <v>80.502167784193048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477.9999999999996</v>
      </c>
      <c r="EK98" s="17">
        <f>EJ98*VLOOKUP('Données projet'!$B$15,Paramètres!$A$1:$I$89,3,0)*VLOOKUP('Données projet'!$B$15,Paramètres!$A$1:$I$89,5,0)</f>
        <v>285.84399999999977</v>
      </c>
      <c r="EL98" s="13">
        <f t="shared" si="99"/>
        <v>68.200525419065656</v>
      </c>
      <c r="EM98" s="20">
        <f t="shared" si="73"/>
        <v>616.62754843820551</v>
      </c>
      <c r="EN98" s="59">
        <f t="shared" si="74"/>
        <v>909.96088177153888</v>
      </c>
      <c r="EO98" s="59">
        <f ca="1">AVERAGE(OFFSET($EN$3,0,0,'Données projet'!$E$15+1,1))-AVERAGE(OFFSET($H$3,0,0,'Données projet'!$E$15+1,1))</f>
        <v>288.41846134875794</v>
      </c>
      <c r="EP98" s="59">
        <f t="shared" si="100"/>
        <v>248.93951719818972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53.357829691674432</v>
      </c>
      <c r="EW98" s="21">
        <f>EXP(-LN(2)/25)*EW97+(1-EXP(-LN(2)/25))/(LN(2)/25)*Calculateur!ER98*Calculateur!ET98*VLOOKUP('Données projet'!$B$15,Paramètres!$A$1:$I$89,3,0)*0.475*44/12</f>
        <v>4.6075435619294378</v>
      </c>
      <c r="EX98" s="21">
        <f>EXP(-LN(2)/2)*EX97+(1-EXP(-LN(2)/2))/(LN(2)/2)*ER98*EU98*VLOOKUP('Données projet'!$B$15,Paramètres!$A$1:$I$89,3,0)*0.475*44/12</f>
        <v>8.0119775150586043E-11</v>
      </c>
      <c r="EY98" s="22">
        <f t="shared" si="75"/>
        <v>57.965373253683993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789.00000000000045</v>
      </c>
      <c r="FF98" s="17">
        <f>FE98*VLOOKUP('Données projet'!$B$16,Paramètres!$A$1:$I$89,3,0)*VLOOKUP('Données projet'!$B$16,Paramètres!$A$1:$I$89,5,0)</f>
        <v>358.99500000000023</v>
      </c>
      <c r="FG98" s="13">
        <f t="shared" si="101"/>
        <v>83.411930940690553</v>
      </c>
      <c r="FH98" s="20">
        <f t="shared" si="76"/>
        <v>770.52540472170313</v>
      </c>
      <c r="FI98" s="59">
        <f t="shared" si="77"/>
        <v>1063.8587380550364</v>
      </c>
      <c r="FJ98" s="59">
        <f ca="1">AVERAGE(OFFSET($FI$3,0,0,'Données projet'!$E$16+1,1))-AVERAGE(OFFSET($H$3,0,0,'Données projet'!$E$16+1,1))</f>
        <v>367.36535411813264</v>
      </c>
      <c r="FK98" s="59">
        <f t="shared" si="102"/>
        <v>293.19545174980556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65.1968899025143</v>
      </c>
      <c r="FR98" s="21">
        <f>EXP(-LN(2)/25)*FR97+(1-EXP(-LN(2)/25))/(LN(2)/25)*Calculateur!FM98*Calculateur!FO98*VLOOKUP('Données projet'!$B$16,Paramètres!$A$1:$I$89,3,0)*0.475*44/12</f>
        <v>7.1413215432481207</v>
      </c>
      <c r="FS98" s="21">
        <f>EXP(-LN(2)/2)*FS97+(1-EXP(-LN(2)/2))/(LN(2)/2)*FM98*FP98*VLOOKUP('Données projet'!$B$16,Paramètres!$A$1:$I$89,3,0)*0.475*44/12</f>
        <v>1.1927093181679799E-10</v>
      </c>
      <c r="FT98" s="22">
        <f t="shared" si="78"/>
        <v>72.338211445881697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669.99999999999989</v>
      </c>
      <c r="GA98" s="17">
        <f>FZ98*VLOOKUP('Données projet'!$B$17,Paramètres!$A$1:$I$89,3,0)*VLOOKUP('Données projet'!$B$17,Paramètres!$A$1:$I$89,5,0)</f>
        <v>322.26999999999992</v>
      </c>
      <c r="GB98" s="13">
        <f t="shared" si="103"/>
        <v>75.825476822885776</v>
      </c>
      <c r="GC98" s="20">
        <f t="shared" si="79"/>
        <v>693.34962213319261</v>
      </c>
      <c r="GD98" s="59">
        <f t="shared" si="80"/>
        <v>986.68295546652598</v>
      </c>
      <c r="GE98" s="59">
        <f ca="1">AVERAGE(OFFSET($GD$3,0,0,'Données projet'!$E$17+1,1))-AVERAGE(OFFSET($H$3,0,0,'Données projet'!$E$17+1,1))</f>
        <v>312.64506496298173</v>
      </c>
      <c r="GF98" s="59">
        <f t="shared" si="104"/>
        <v>259.97532509897508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84.163047068672213</v>
      </c>
      <c r="GM98" s="21">
        <f>EXP(-LN(2)/25)*GM97+(1-EXP(-LN(2)/25))/(LN(2)/25)*Calculateur!GH98*Calculateur!GJ98*VLOOKUP('Données projet'!$B$17,Paramètres!$A$1:$I$89,3,0)*0.475*44/12</f>
        <v>3.2287379804167426</v>
      </c>
      <c r="GN98" s="21">
        <f>EXP(-LN(2)/2)*GN97+(1-EXP(-LN(2)/2))/(LN(2)/2)*GH98*GK98*VLOOKUP('Données projet'!$B$17,Paramètres!$A$1:$I$89,3,0)*0.475*44/12</f>
        <v>6.3400219091008191E-10</v>
      </c>
      <c r="GO98" s="21">
        <f t="shared" si="81"/>
        <v>87.391785049722955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>
        <f>VLOOKUP(A98,'Données projet'!$A$269:$I$289,2,0)</f>
        <v>279</v>
      </c>
      <c r="GS98" s="12">
        <f>VLOOKUP(A98,'Données projet'!$A$269:$I$289,9,0)</f>
        <v>5</v>
      </c>
      <c r="GT98" s="12">
        <f t="array" ref="GT98">INDEX(GS:GS,MIN(IF(ISNUMBER(GS98:GS294),ROW(GS98:GS294),"")))</f>
        <v>5</v>
      </c>
      <c r="GU98" s="12">
        <f>IF('Données projet'!$A$270&gt;35,GU97+GT98-HC97,IF(A98&lt;'Données projet'!$A$270,$GR$205^A98,IF(A98='Données projet'!$A$270,'Données projet'!$B$270,GU97+GT98-HC97)))</f>
        <v>278.99999999999983</v>
      </c>
      <c r="GV98" s="17">
        <f>GU98*VLOOKUP('Données projet'!$B$18,Paramètres!$A$1:$I$89,3,0)*VLOOKUP('Données projet'!$B$18,Paramètres!$A$1:$I$89,5,0)</f>
        <v>282.90599999999989</v>
      </c>
      <c r="GW98" s="13">
        <f t="shared" si="105"/>
        <v>67.580760694123455</v>
      </c>
      <c r="GX98" s="20">
        <f t="shared" si="82"/>
        <v>610.43110820893151</v>
      </c>
      <c r="GY98" s="59">
        <f t="shared" si="83"/>
        <v>903.76444154226488</v>
      </c>
      <c r="GZ98" s="59">
        <f ca="1">AVERAGE(OFFSET($GY$3,0,0,'Données projet'!$E$18+1,1))-AVERAGE(OFFSET($H$3,0,0,'Données projet'!$E$18+1,1))</f>
        <v>308.80022073574963</v>
      </c>
      <c r="HA98" s="59">
        <f t="shared" si="106"/>
        <v>183.96267407004115</v>
      </c>
      <c r="HB98" s="15">
        <f>IF(ISNA(VLOOKUP(A98,'Données projet'!$A$269:$I$289,3,0)),0,VLOOKUP(A98,'Données projet'!$A$269:$I$289,3,0))</f>
        <v>15</v>
      </c>
      <c r="HC98" s="15">
        <f>IF(ISNA(VLOOKUP(A98,'Données projet'!$A$269:$I$289,4,0)),0,VLOOKUP(A98,'Données projet'!$A$269:$I$289,4,0))</f>
        <v>21</v>
      </c>
      <c r="HD98" s="16">
        <f>IF(ISNA(VLOOKUP(A98,'Données projet'!$A$269:$I$289,5,0)),0%,VLOOKUP(A98,'Données projet'!$A$269:$I$289,5,0)*VLOOKUP('Données projet'!$B$18,Paramètres!$A$1:$I$89,7,0))</f>
        <v>0.43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77.731180535024791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77.731180535024791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344.49457749226184</v>
      </c>
      <c r="T99" s="59">
        <f t="shared" si="88"/>
        <v>207.92972431357452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3.6</v>
      </c>
      <c r="AI99" s="13">
        <f>IF('Données projet'!$A$62&gt;35,AI98+AH99-AQ98,IF(A99&lt;'Données projet'!$A$62,$AF$205^A99,IF(A99='Données projet'!$A$62,'Données projet'!$B$62,AI98+AH99-AQ98)))</f>
        <v>201.6</v>
      </c>
      <c r="AJ99" s="13">
        <f>AI99*VLOOKUP('Données projet'!$B$10,Paramètres!$A$1:$I$89,3,0)*VLOOKUP('Données projet'!$B$10,Paramètres!$A$1:$I$89,5,0)</f>
        <v>182.40767999999997</v>
      </c>
      <c r="AK99" s="13">
        <f t="shared" si="89"/>
        <v>45.857435663065921</v>
      </c>
      <c r="AL99" s="20">
        <f t="shared" si="58"/>
        <v>397.56174311317301</v>
      </c>
      <c r="AM99" s="59">
        <f t="shared" si="59"/>
        <v>690.89507644650632</v>
      </c>
      <c r="AN99" s="59">
        <f ca="1">AVERAGE(OFFSET($AM$3,0,0,'Données projet'!$E$10+1,1))-AVERAGE(OFFSET($H$3,0,0,'Données projet'!$E$10+1,1))</f>
        <v>183.0147113277086</v>
      </c>
      <c r="AO99" s="59">
        <f t="shared" si="90"/>
        <v>76.413905647258389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45.204843209114898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45.204843209114898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253.79640000000001</v>
      </c>
      <c r="BF99" s="13">
        <f t="shared" si="91"/>
        <v>61.39816832228076</v>
      </c>
      <c r="BG99" s="20">
        <f t="shared" si="61"/>
        <v>548.96387316130563</v>
      </c>
      <c r="BH99" s="59">
        <f t="shared" si="62"/>
        <v>842.29720649463889</v>
      </c>
      <c r="BI99" s="59">
        <f ca="1">AVERAGE(OFFSET($BH$3,0,0,'Données projet'!$E$11+1,1))-AVERAGE(OFFSET($H$3,0,0,'Données projet'!$E$11+1,1))</f>
        <v>279.49721661620544</v>
      </c>
      <c r="BJ99" s="59">
        <f t="shared" si="92"/>
        <v>275.18739333988754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38.729202372781849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38.729202372781849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754.68411025369562</v>
      </c>
      <c r="CD99" s="59">
        <f ca="1">AVERAGE(OFFSET($CC$3,0,0,'Données projet'!$E$12+1,1))-AVERAGE(OFFSET($H$3,0,0,'Données projet'!$E$12+1,1))</f>
        <v>225.2323446080772</v>
      </c>
      <c r="CE99" s="59">
        <f t="shared" si="94"/>
        <v>222.29030402759292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31.604118123328398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31.604118123328398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213.00000000000003</v>
      </c>
      <c r="CU99" s="17">
        <f>CT99*VLOOKUP('Données projet'!$B$13,Paramètres!$A$1:$I$89,3,0)*VLOOKUP('Données projet'!$B$13,Paramètres!$A$1:$I$89,5,0)</f>
        <v>229.2732</v>
      </c>
      <c r="CV99" s="13">
        <f t="shared" si="95"/>
        <v>56.125501442527366</v>
      </c>
      <c r="CW99" s="20">
        <f t="shared" si="67"/>
        <v>497.06940501240177</v>
      </c>
      <c r="CX99" s="59">
        <f t="shared" si="68"/>
        <v>790.40273834573509</v>
      </c>
      <c r="CY99" s="59">
        <f ca="1">AVERAGE(OFFSET($CX$3,0,0,'Données projet'!$E$13+1,1))-AVERAGE(OFFSET($H$3,0,0,'Données projet'!$E$13+1,1))</f>
        <v>240.57184010337932</v>
      </c>
      <c r="CZ99" s="59">
        <f t="shared" si="96"/>
        <v>236.36473521227072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26.801128045450469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26.801128045450469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670.99999999999977</v>
      </c>
      <c r="DP99" s="17">
        <f>DO99*VLOOKUP('Données projet'!$B$14,Paramètres!$A$1:$I$89,3,0)*VLOOKUP('Données projet'!$B$14,Paramètres!$A$1:$I$89,5,0)</f>
        <v>314.02799999999991</v>
      </c>
      <c r="DQ99" s="13">
        <f t="shared" si="97"/>
        <v>74.109403804428752</v>
      </c>
      <c r="DR99" s="20">
        <f t="shared" si="70"/>
        <v>676.00597829271317</v>
      </c>
      <c r="DS99" s="59">
        <f t="shared" si="71"/>
        <v>969.33931162604654</v>
      </c>
      <c r="DT99" s="59">
        <f ca="1">AVERAGE(OFFSET($DS$3,0,0,'Données projet'!$E$14+1,1))-AVERAGE(OFFSET($H$3,0,0,'Données projet'!$E$14+1,1))</f>
        <v>304.29617570272939</v>
      </c>
      <c r="DU99" s="59">
        <f t="shared" si="98"/>
        <v>246.20695736161576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72.305852642804624</v>
      </c>
      <c r="EB99" s="21">
        <f>EXP(-LN(2)/25)*EB98+(1-EXP(-LN(2)/25))/(LN(2)/25)*Calculateur!DW99*Calculateur!DY99*VLOOKUP('Données projet'!$B$14,Paramètres!$A$1:$I$89,3,0)*0.475*44/12</f>
        <v>6.565500377781273</v>
      </c>
      <c r="EC99" s="21">
        <f>EXP(-LN(2)/2)*EC98+(1-EXP(-LN(2)/2))/(LN(2)/2)*DW99*DZ99*VLOOKUP('Données projet'!$B$14,Paramètres!$A$1:$I$89,3,0)*0.475*44/12</f>
        <v>4.5800037817650677E-10</v>
      </c>
      <c r="ED99" s="22">
        <f t="shared" si="72"/>
        <v>78.871353021043902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477.9999999999996</v>
      </c>
      <c r="EK99" s="17">
        <f>EJ99*VLOOKUP('Données projet'!$B$15,Paramètres!$A$1:$I$89,3,0)*VLOOKUP('Données projet'!$B$15,Paramètres!$A$1:$I$89,5,0)</f>
        <v>285.84399999999977</v>
      </c>
      <c r="EL99" s="13">
        <f t="shared" si="99"/>
        <v>68.200525419065656</v>
      </c>
      <c r="EM99" s="20">
        <f t="shared" si="73"/>
        <v>616.62754843820551</v>
      </c>
      <c r="EN99" s="59">
        <f t="shared" si="74"/>
        <v>909.96088177153888</v>
      </c>
      <c r="EO99" s="59">
        <f ca="1">AVERAGE(OFFSET($EN$3,0,0,'Données projet'!$E$15+1,1))-AVERAGE(OFFSET($H$3,0,0,'Données projet'!$E$15+1,1))</f>
        <v>288.41846134875794</v>
      </c>
      <c r="EP99" s="59">
        <f t="shared" si="100"/>
        <v>248.93951719818972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52.311515196483249</v>
      </c>
      <c r="EW99" s="21">
        <f>EXP(-LN(2)/25)*EW98+(1-EXP(-LN(2)/25))/(LN(2)/25)*Calculateur!ER99*Calculateur!ET99*VLOOKUP('Données projet'!$B$15,Paramètres!$A$1:$I$89,3,0)*0.475*44/12</f>
        <v>4.4815500409282922</v>
      </c>
      <c r="EX99" s="21">
        <f>EXP(-LN(2)/2)*EX98+(1-EXP(-LN(2)/2))/(LN(2)/2)*ER99*EU99*VLOOKUP('Données projet'!$B$15,Paramètres!$A$1:$I$89,3,0)*0.475*44/12</f>
        <v>5.6653236316120836E-11</v>
      </c>
      <c r="EY99" s="22">
        <f t="shared" si="75"/>
        <v>56.793065237468191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789.00000000000045</v>
      </c>
      <c r="FF99" s="17">
        <f>FE99*VLOOKUP('Données projet'!$B$16,Paramètres!$A$1:$I$89,3,0)*VLOOKUP('Données projet'!$B$16,Paramètres!$A$1:$I$89,5,0)</f>
        <v>358.99500000000023</v>
      </c>
      <c r="FG99" s="13">
        <f t="shared" si="101"/>
        <v>83.411930940690553</v>
      </c>
      <c r="FH99" s="20">
        <f t="shared" si="76"/>
        <v>770.52540472170313</v>
      </c>
      <c r="FI99" s="59">
        <f t="shared" si="77"/>
        <v>1063.8587380550364</v>
      </c>
      <c r="FJ99" s="59">
        <f ca="1">AVERAGE(OFFSET($FI$3,0,0,'Données projet'!$E$16+1,1))-AVERAGE(OFFSET($H$3,0,0,'Données projet'!$E$16+1,1))</f>
        <v>367.36535411813264</v>
      </c>
      <c r="FK99" s="59">
        <f t="shared" si="102"/>
        <v>293.19545174980556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63.918418657702254</v>
      </c>
      <c r="FR99" s="21">
        <f>EXP(-LN(2)/25)*FR98+(1-EXP(-LN(2)/25))/(LN(2)/25)*Calculateur!FM99*Calculateur!FO99*VLOOKUP('Données projet'!$B$16,Paramètres!$A$1:$I$89,3,0)*0.475*44/12</f>
        <v>6.9460417301022224</v>
      </c>
      <c r="FS99" s="21">
        <f>EXP(-LN(2)/2)*FS98+(1-EXP(-LN(2)/2))/(LN(2)/2)*FM99*FP99*VLOOKUP('Données projet'!$B$16,Paramètres!$A$1:$I$89,3,0)*0.475*44/12</f>
        <v>8.4337284686096208E-11</v>
      </c>
      <c r="FT99" s="22">
        <f t="shared" si="78"/>
        <v>70.864460387888812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669.99999999999989</v>
      </c>
      <c r="GA99" s="17">
        <f>FZ99*VLOOKUP('Données projet'!$B$17,Paramètres!$A$1:$I$89,3,0)*VLOOKUP('Données projet'!$B$17,Paramètres!$A$1:$I$89,5,0)</f>
        <v>322.26999999999992</v>
      </c>
      <c r="GB99" s="13">
        <f t="shared" si="103"/>
        <v>75.825476822885776</v>
      </c>
      <c r="GC99" s="20">
        <f t="shared" si="79"/>
        <v>693.34962213319261</v>
      </c>
      <c r="GD99" s="59">
        <f t="shared" si="80"/>
        <v>986.68295546652598</v>
      </c>
      <c r="GE99" s="59">
        <f ca="1">AVERAGE(OFFSET($GD$3,0,0,'Données projet'!$E$17+1,1))-AVERAGE(OFFSET($H$3,0,0,'Données projet'!$E$17+1,1))</f>
        <v>312.64506496298173</v>
      </c>
      <c r="GF99" s="59">
        <f t="shared" si="104"/>
        <v>259.97532509897508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82.512661050045409</v>
      </c>
      <c r="GM99" s="21">
        <f>EXP(-LN(2)/25)*GM98+(1-EXP(-LN(2)/25))/(LN(2)/25)*Calculateur!GH99*Calculateur!GJ99*VLOOKUP('Données projet'!$B$17,Paramètres!$A$1:$I$89,3,0)*0.475*44/12</f>
        <v>3.1404479705502957</v>
      </c>
      <c r="GN99" s="21">
        <f>EXP(-LN(2)/2)*GN98+(1-EXP(-LN(2)/2))/(LN(2)/2)*GH99*GK99*VLOOKUP('Données projet'!$B$17,Paramètres!$A$1:$I$89,3,0)*0.475*44/12</f>
        <v>4.4830724847964703E-10</v>
      </c>
      <c r="GO99" s="21">
        <f t="shared" si="81"/>
        <v>85.653109021044017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4.8</v>
      </c>
      <c r="GU99" s="12">
        <f>IF('Données projet'!$A$270&gt;35,GU98+GT99-HC98,IF(A99&lt;'Données projet'!$A$270,$GR$205^A99,IF(A99='Données projet'!$A$270,'Données projet'!$B$270,GU98+GT99-HC98)))</f>
        <v>262.79999999999984</v>
      </c>
      <c r="GV99" s="17">
        <f>GU99*VLOOKUP('Données projet'!$B$18,Paramètres!$A$1:$I$89,3,0)*VLOOKUP('Données projet'!$B$18,Paramètres!$A$1:$I$89,5,0)</f>
        <v>266.47919999999988</v>
      </c>
      <c r="GW99" s="13">
        <f t="shared" si="105"/>
        <v>64.101496824889622</v>
      </c>
      <c r="GX99" s="20">
        <f t="shared" si="82"/>
        <v>575.76138030334926</v>
      </c>
      <c r="GY99" s="59">
        <f t="shared" si="83"/>
        <v>869.09471363668263</v>
      </c>
      <c r="GZ99" s="59">
        <f ca="1">AVERAGE(OFFSET($GY$3,0,0,'Données projet'!$E$18+1,1))-AVERAGE(OFFSET($H$3,0,0,'Données projet'!$E$18+1,1))</f>
        <v>308.80022073574963</v>
      </c>
      <c r="HA99" s="59">
        <f t="shared" si="106"/>
        <v>183.96267407004115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76.206919496071606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76.206919496071606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344.49457749226184</v>
      </c>
      <c r="T100" s="59">
        <f t="shared" si="88"/>
        <v>207.92972431357452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3.6</v>
      </c>
      <c r="AI100" s="13">
        <f>IF('Données projet'!$A$62&gt;35,AI99+AH100-AQ99,IF(A100&lt;'Données projet'!$A$62,$AF$205^A100,IF(A100='Données projet'!$A$62,'Données projet'!$B$62,AI99+AH100-AQ99)))</f>
        <v>205.2</v>
      </c>
      <c r="AJ100" s="13">
        <f>AI100*VLOOKUP('Données projet'!$B$10,Paramètres!$A$1:$I$89,3,0)*VLOOKUP('Données projet'!$B$10,Paramètres!$A$1:$I$89,5,0)</f>
        <v>185.66495999999998</v>
      </c>
      <c r="AK100" s="13">
        <f t="shared" si="89"/>
        <v>46.580253447083031</v>
      </c>
      <c r="AL100" s="20">
        <f t="shared" si="58"/>
        <v>404.49374675366954</v>
      </c>
      <c r="AM100" s="59">
        <f t="shared" si="59"/>
        <v>697.82708008700286</v>
      </c>
      <c r="AN100" s="59">
        <f ca="1">AVERAGE(OFFSET($AM$3,0,0,'Données projet'!$E$10+1,1))-AVERAGE(OFFSET($H$3,0,0,'Données projet'!$E$10+1,1))</f>
        <v>183.0147113277086</v>
      </c>
      <c r="AO100" s="59">
        <f t="shared" si="90"/>
        <v>76.413905647258389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44.318403806015979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44.318403806015979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253.79640000000001</v>
      </c>
      <c r="BF100" s="13">
        <f t="shared" si="91"/>
        <v>61.39816832228076</v>
      </c>
      <c r="BG100" s="20">
        <f t="shared" si="61"/>
        <v>548.96387316130563</v>
      </c>
      <c r="BH100" s="59">
        <f t="shared" si="62"/>
        <v>842.29720649463889</v>
      </c>
      <c r="BI100" s="59">
        <f ca="1">AVERAGE(OFFSET($BH$3,0,0,'Données projet'!$E$11+1,1))-AVERAGE(OFFSET($H$3,0,0,'Données projet'!$E$11+1,1))</f>
        <v>279.49721661620544</v>
      </c>
      <c r="BJ100" s="59">
        <f t="shared" si="92"/>
        <v>275.18739333988754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37.96974633673252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37.96974633673252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754.68411025369562</v>
      </c>
      <c r="CD100" s="59">
        <f ca="1">AVERAGE(OFFSET($CC$3,0,0,'Données projet'!$E$12+1,1))-AVERAGE(OFFSET($H$3,0,0,'Données projet'!$E$12+1,1))</f>
        <v>225.2323446080772</v>
      </c>
      <c r="CE100" s="59">
        <f t="shared" si="94"/>
        <v>222.29030402759292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30.984380643538575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30.984380643538575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213.00000000000003</v>
      </c>
      <c r="CU100" s="17">
        <f>CT100*VLOOKUP('Données projet'!$B$13,Paramètres!$A$1:$I$89,3,0)*VLOOKUP('Données projet'!$B$13,Paramètres!$A$1:$I$89,5,0)</f>
        <v>229.2732</v>
      </c>
      <c r="CV100" s="13">
        <f t="shared" si="95"/>
        <v>56.125501442527366</v>
      </c>
      <c r="CW100" s="20">
        <f t="shared" si="67"/>
        <v>497.06940501240177</v>
      </c>
      <c r="CX100" s="59">
        <f t="shared" si="68"/>
        <v>790.40273834573509</v>
      </c>
      <c r="CY100" s="59">
        <f ca="1">AVERAGE(OFFSET($CX$3,0,0,'Données projet'!$E$13+1,1))-AVERAGE(OFFSET($H$3,0,0,'Données projet'!$E$13+1,1))</f>
        <v>240.57184010337932</v>
      </c>
      <c r="CZ100" s="59">
        <f t="shared" si="96"/>
        <v>236.36473521227072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26.275574271553154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26.275574271553154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670.99999999999977</v>
      </c>
      <c r="DP100" s="17">
        <f>DO100*VLOOKUP('Données projet'!$B$14,Paramètres!$A$1:$I$89,3,0)*VLOOKUP('Données projet'!$B$14,Paramètres!$A$1:$I$89,5,0)</f>
        <v>314.02799999999991</v>
      </c>
      <c r="DQ100" s="13">
        <f t="shared" si="97"/>
        <v>74.109403804428752</v>
      </c>
      <c r="DR100" s="20">
        <f t="shared" si="70"/>
        <v>676.00597829271317</v>
      </c>
      <c r="DS100" s="59">
        <f t="shared" si="71"/>
        <v>969.33931162604654</v>
      </c>
      <c r="DT100" s="59">
        <f ca="1">AVERAGE(OFFSET($DS$3,0,0,'Données projet'!$E$14+1,1))-AVERAGE(OFFSET($H$3,0,0,'Données projet'!$E$14+1,1))</f>
        <v>304.29617570272939</v>
      </c>
      <c r="DU100" s="59">
        <f t="shared" si="98"/>
        <v>246.20695736161576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70.887978974694605</v>
      </c>
      <c r="EB100" s="21">
        <f>EXP(-LN(2)/25)*EB99+(1-EXP(-LN(2)/25))/(LN(2)/25)*Calculateur!DW100*Calculateur!DY100*VLOOKUP('Données projet'!$B$14,Paramètres!$A$1:$I$89,3,0)*0.475*44/12</f>
        <v>6.3859664246861847</v>
      </c>
      <c r="EC100" s="21">
        <f>EXP(-LN(2)/2)*EC99+(1-EXP(-LN(2)/2))/(LN(2)/2)*DW100*DZ100*VLOOKUP('Données projet'!$B$14,Paramètres!$A$1:$I$89,3,0)*0.475*44/12</f>
        <v>3.2385517319461123E-10</v>
      </c>
      <c r="ED100" s="22">
        <f t="shared" si="72"/>
        <v>77.273945399704644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477.9999999999996</v>
      </c>
      <c r="EK100" s="17">
        <f>EJ100*VLOOKUP('Données projet'!$B$15,Paramètres!$A$1:$I$89,3,0)*VLOOKUP('Données projet'!$B$15,Paramètres!$A$1:$I$89,5,0)</f>
        <v>285.84399999999977</v>
      </c>
      <c r="EL100" s="13">
        <f t="shared" si="99"/>
        <v>68.200525419065656</v>
      </c>
      <c r="EM100" s="20">
        <f t="shared" si="73"/>
        <v>616.62754843820551</v>
      </c>
      <c r="EN100" s="59">
        <f t="shared" si="74"/>
        <v>909.96088177153888</v>
      </c>
      <c r="EO100" s="59">
        <f ca="1">AVERAGE(OFFSET($EN$3,0,0,'Données projet'!$E$15+1,1))-AVERAGE(OFFSET($H$3,0,0,'Données projet'!$E$15+1,1))</f>
        <v>288.41846134875794</v>
      </c>
      <c r="EP100" s="59">
        <f t="shared" si="100"/>
        <v>248.93951719818972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51.285718290353941</v>
      </c>
      <c r="EW100" s="21">
        <f>EXP(-LN(2)/25)*EW99+(1-EXP(-LN(2)/25))/(LN(2)/25)*Calculateur!ER100*Calculateur!ET100*VLOOKUP('Données projet'!$B$15,Paramètres!$A$1:$I$89,3,0)*0.475*44/12</f>
        <v>4.359001819384634</v>
      </c>
      <c r="EX100" s="21">
        <f>EXP(-LN(2)/2)*EX99+(1-EXP(-LN(2)/2))/(LN(2)/2)*ER100*EU100*VLOOKUP('Données projet'!$B$15,Paramètres!$A$1:$I$89,3,0)*0.475*44/12</f>
        <v>4.0059887575293028E-11</v>
      </c>
      <c r="EY100" s="22">
        <f t="shared" si="75"/>
        <v>55.644720109778632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789.00000000000045</v>
      </c>
      <c r="FF100" s="17">
        <f>FE100*VLOOKUP('Données projet'!$B$16,Paramètres!$A$1:$I$89,3,0)*VLOOKUP('Données projet'!$B$16,Paramètres!$A$1:$I$89,5,0)</f>
        <v>358.99500000000023</v>
      </c>
      <c r="FG100" s="13">
        <f t="shared" si="101"/>
        <v>83.411930940690553</v>
      </c>
      <c r="FH100" s="20">
        <f t="shared" si="76"/>
        <v>770.52540472170313</v>
      </c>
      <c r="FI100" s="59">
        <f t="shared" si="77"/>
        <v>1063.8587380550364</v>
      </c>
      <c r="FJ100" s="59">
        <f ca="1">AVERAGE(OFFSET($FI$3,0,0,'Données projet'!$E$16+1,1))-AVERAGE(OFFSET($H$3,0,0,'Données projet'!$E$16+1,1))</f>
        <v>367.36535411813264</v>
      </c>
      <c r="FK100" s="59">
        <f t="shared" si="102"/>
        <v>293.19545174980556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62.665017454210506</v>
      </c>
      <c r="FR100" s="21">
        <f>EXP(-LN(2)/25)*FR99+(1-EXP(-LN(2)/25))/(LN(2)/25)*Calculateur!FM100*Calculateur!FO100*VLOOKUP('Données projet'!$B$16,Paramètres!$A$1:$I$89,3,0)*0.475*44/12</f>
        <v>6.7561018537161175</v>
      </c>
      <c r="FS100" s="21">
        <f>EXP(-LN(2)/2)*FS99+(1-EXP(-LN(2)/2))/(LN(2)/2)*FM100*FP100*VLOOKUP('Données projet'!$B$16,Paramètres!$A$1:$I$89,3,0)*0.475*44/12</f>
        <v>5.9635465908398995E-11</v>
      </c>
      <c r="FT100" s="22">
        <f t="shared" si="78"/>
        <v>69.42111930798626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669.99999999999989</v>
      </c>
      <c r="GA100" s="17">
        <f>FZ100*VLOOKUP('Données projet'!$B$17,Paramètres!$A$1:$I$89,3,0)*VLOOKUP('Données projet'!$B$17,Paramètres!$A$1:$I$89,5,0)</f>
        <v>322.26999999999992</v>
      </c>
      <c r="GB100" s="13">
        <f t="shared" si="103"/>
        <v>75.825476822885776</v>
      </c>
      <c r="GC100" s="20">
        <f t="shared" si="79"/>
        <v>693.34962213319261</v>
      </c>
      <c r="GD100" s="59">
        <f t="shared" si="80"/>
        <v>986.68295546652598</v>
      </c>
      <c r="GE100" s="59">
        <f ca="1">AVERAGE(OFFSET($GD$3,0,0,'Données projet'!$E$17+1,1))-AVERAGE(OFFSET($H$3,0,0,'Données projet'!$E$17+1,1))</f>
        <v>312.64506496298173</v>
      </c>
      <c r="GF100" s="59">
        <f t="shared" si="104"/>
        <v>259.97532509897508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80.894638094607799</v>
      </c>
      <c r="GM100" s="21">
        <f>EXP(-LN(2)/25)*GM99+(1-EXP(-LN(2)/25))/(LN(2)/25)*Calculateur!GH100*Calculateur!GJ100*VLOOKUP('Données projet'!$B$17,Paramètres!$A$1:$I$89,3,0)*0.475*44/12</f>
        <v>3.0545722556466166</v>
      </c>
      <c r="GN100" s="21">
        <f>EXP(-LN(2)/2)*GN99+(1-EXP(-LN(2)/2))/(LN(2)/2)*GH100*GK100*VLOOKUP('Données projet'!$B$17,Paramètres!$A$1:$I$89,3,0)*0.475*44/12</f>
        <v>3.1700109545504096E-10</v>
      </c>
      <c r="GO100" s="21">
        <f t="shared" si="81"/>
        <v>83.94921035057142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4.8</v>
      </c>
      <c r="GU100" s="12">
        <f>IF('Données projet'!$A$270&gt;35,GU99+GT100-HC99,IF(A100&lt;'Données projet'!$A$270,$GR$205^A100,IF(A100='Données projet'!$A$270,'Données projet'!$B$270,GU99+GT100-HC99)))</f>
        <v>267.59999999999985</v>
      </c>
      <c r="GV100" s="17">
        <f>GU100*VLOOKUP('Données projet'!$B$18,Paramètres!$A$1:$I$89,3,0)*VLOOKUP('Données projet'!$B$18,Paramètres!$A$1:$I$89,5,0)</f>
        <v>271.34639999999985</v>
      </c>
      <c r="GW100" s="13">
        <f t="shared" si="105"/>
        <v>65.134926573557308</v>
      </c>
      <c r="GX100" s="20">
        <f t="shared" si="82"/>
        <v>586.03831044894537</v>
      </c>
      <c r="GY100" s="59">
        <f t="shared" si="83"/>
        <v>879.37164378227862</v>
      </c>
      <c r="GZ100" s="59">
        <f ca="1">AVERAGE(OFFSET($GY$3,0,0,'Données projet'!$E$18+1,1))-AVERAGE(OFFSET($H$3,0,0,'Données projet'!$E$18+1,1))</f>
        <v>308.80022073574963</v>
      </c>
      <c r="HA100" s="59">
        <f t="shared" si="106"/>
        <v>183.96267407004115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74.712548286384859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74.712548286384859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344.49457749226184</v>
      </c>
      <c r="T101" s="59">
        <f t="shared" si="88"/>
        <v>207.92972431357452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3.6</v>
      </c>
      <c r="AI101" s="13">
        <f>IF('Données projet'!$A$62&gt;35,AI100+AH101-AQ100,IF(A101&lt;'Données projet'!$A$62,$AF$205^A101,IF(A101='Données projet'!$A$62,'Données projet'!$B$62,AI100+AH101-AQ100)))</f>
        <v>208.79999999999998</v>
      </c>
      <c r="AJ101" s="13">
        <f>AI101*VLOOKUP('Données projet'!$B$10,Paramètres!$A$1:$I$89,3,0)*VLOOKUP('Données projet'!$B$10,Paramètres!$A$1:$I$89,5,0)</f>
        <v>188.92223999999999</v>
      </c>
      <c r="AK101" s="13">
        <f t="shared" si="89"/>
        <v>47.301596587246017</v>
      </c>
      <c r="AL101" s="20">
        <f t="shared" si="58"/>
        <v>411.42318205612014</v>
      </c>
      <c r="AM101" s="59">
        <f t="shared" si="59"/>
        <v>704.7565153894534</v>
      </c>
      <c r="AN101" s="59">
        <f ca="1">AVERAGE(OFFSET($AM$3,0,0,'Données projet'!$E$10+1,1))-AVERAGE(OFFSET($H$3,0,0,'Données projet'!$E$10+1,1))</f>
        <v>183.0147113277086</v>
      </c>
      <c r="AO101" s="59">
        <f t="shared" si="90"/>
        <v>76.413905647258389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43.449346938937182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43.449346938937182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253.79640000000001</v>
      </c>
      <c r="BF101" s="13">
        <f t="shared" si="91"/>
        <v>61.39816832228076</v>
      </c>
      <c r="BG101" s="20">
        <f t="shared" si="61"/>
        <v>548.96387316130563</v>
      </c>
      <c r="BH101" s="59">
        <f t="shared" si="62"/>
        <v>842.29720649463889</v>
      </c>
      <c r="BI101" s="59">
        <f ca="1">AVERAGE(OFFSET($BH$3,0,0,'Données projet'!$E$11+1,1))-AVERAGE(OFFSET($H$3,0,0,'Données projet'!$E$11+1,1))</f>
        <v>279.49721661620544</v>
      </c>
      <c r="BJ101" s="59">
        <f t="shared" si="92"/>
        <v>275.18739333988754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37.22518277032767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37.22518277032767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754.68411025369562</v>
      </c>
      <c r="CD101" s="59">
        <f ca="1">AVERAGE(OFFSET($CC$3,0,0,'Données projet'!$E$12+1,1))-AVERAGE(OFFSET($H$3,0,0,'Données projet'!$E$12+1,1))</f>
        <v>225.2323446080772</v>
      </c>
      <c r="CE101" s="59">
        <f t="shared" si="94"/>
        <v>222.29030402759292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30.376795837724895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30.376795837724895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213.00000000000003</v>
      </c>
      <c r="CU101" s="17">
        <f>CT101*VLOOKUP('Données projet'!$B$13,Paramètres!$A$1:$I$89,3,0)*VLOOKUP('Données projet'!$B$13,Paramètres!$A$1:$I$89,5,0)</f>
        <v>229.2732</v>
      </c>
      <c r="CV101" s="13">
        <f t="shared" si="95"/>
        <v>56.125501442527366</v>
      </c>
      <c r="CW101" s="20">
        <f t="shared" si="67"/>
        <v>497.06940501240177</v>
      </c>
      <c r="CX101" s="59">
        <f t="shared" si="68"/>
        <v>790.40273834573509</v>
      </c>
      <c r="CY101" s="59">
        <f ca="1">AVERAGE(OFFSET($CX$3,0,0,'Données projet'!$E$13+1,1))-AVERAGE(OFFSET($H$3,0,0,'Données projet'!$E$13+1,1))</f>
        <v>240.57184010337932</v>
      </c>
      <c r="CZ101" s="59">
        <f t="shared" si="96"/>
        <v>236.36473521227072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25.760326286605814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25.760326286605814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670.99999999999977</v>
      </c>
      <c r="DP101" s="17">
        <f>DO101*VLOOKUP('Données projet'!$B$14,Paramètres!$A$1:$I$89,3,0)*VLOOKUP('Données projet'!$B$14,Paramètres!$A$1:$I$89,5,0)</f>
        <v>314.02799999999991</v>
      </c>
      <c r="DQ101" s="13">
        <f t="shared" si="97"/>
        <v>74.109403804428752</v>
      </c>
      <c r="DR101" s="20">
        <f t="shared" si="70"/>
        <v>676.00597829271317</v>
      </c>
      <c r="DS101" s="59">
        <f t="shared" si="71"/>
        <v>969.33931162604654</v>
      </c>
      <c r="DT101" s="59">
        <f ca="1">AVERAGE(OFFSET($DS$3,0,0,'Données projet'!$E$14+1,1))-AVERAGE(OFFSET($H$3,0,0,'Données projet'!$E$14+1,1))</f>
        <v>304.29617570272939</v>
      </c>
      <c r="DU101" s="59">
        <f t="shared" si="98"/>
        <v>246.20695736161576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69.497908944398674</v>
      </c>
      <c r="EB101" s="21">
        <f>EXP(-LN(2)/25)*EB100+(1-EXP(-LN(2)/25))/(LN(2)/25)*Calculateur!DW101*Calculateur!DY101*VLOOKUP('Données projet'!$B$14,Paramètres!$A$1:$I$89,3,0)*0.475*44/12</f>
        <v>6.2113418369797619</v>
      </c>
      <c r="EC101" s="21">
        <f>EXP(-LN(2)/2)*EC100+(1-EXP(-LN(2)/2))/(LN(2)/2)*DW101*DZ101*VLOOKUP('Données projet'!$B$14,Paramètres!$A$1:$I$89,3,0)*0.475*44/12</f>
        <v>2.2900018908825343E-10</v>
      </c>
      <c r="ED101" s="22">
        <f t="shared" si="72"/>
        <v>75.709250781607423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477.9999999999996</v>
      </c>
      <c r="EK101" s="17">
        <f>EJ101*VLOOKUP('Données projet'!$B$15,Paramètres!$A$1:$I$89,3,0)*VLOOKUP('Données projet'!$B$15,Paramètres!$A$1:$I$89,5,0)</f>
        <v>285.84399999999977</v>
      </c>
      <c r="EL101" s="13">
        <f t="shared" si="99"/>
        <v>68.200525419065656</v>
      </c>
      <c r="EM101" s="20">
        <f t="shared" si="73"/>
        <v>616.62754843820551</v>
      </c>
      <c r="EN101" s="59">
        <f t="shared" si="74"/>
        <v>909.96088177153888</v>
      </c>
      <c r="EO101" s="59">
        <f ca="1">AVERAGE(OFFSET($EN$3,0,0,'Données projet'!$E$15+1,1))-AVERAGE(OFFSET($H$3,0,0,'Données projet'!$E$15+1,1))</f>
        <v>288.41846134875794</v>
      </c>
      <c r="EP101" s="59">
        <f t="shared" si="100"/>
        <v>248.93951719818972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50.280036635879497</v>
      </c>
      <c r="EW101" s="21">
        <f>EXP(-LN(2)/25)*EW100+(1-EXP(-LN(2)/25))/(LN(2)/25)*Calculateur!ER101*Calculateur!ET101*VLOOKUP('Données projet'!$B$15,Paramètres!$A$1:$I$89,3,0)*0.475*44/12</f>
        <v>4.2398046854036178</v>
      </c>
      <c r="EX101" s="21">
        <f>EXP(-LN(2)/2)*EX100+(1-EXP(-LN(2)/2))/(LN(2)/2)*ER101*EU101*VLOOKUP('Données projet'!$B$15,Paramètres!$A$1:$I$89,3,0)*0.475*44/12</f>
        <v>2.8326618158060424E-11</v>
      </c>
      <c r="EY101" s="22">
        <f t="shared" si="75"/>
        <v>54.519841321311446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789.00000000000045</v>
      </c>
      <c r="FF101" s="17">
        <f>FE101*VLOOKUP('Données projet'!$B$16,Paramètres!$A$1:$I$89,3,0)*VLOOKUP('Données projet'!$B$16,Paramètres!$A$1:$I$89,5,0)</f>
        <v>358.99500000000023</v>
      </c>
      <c r="FG101" s="13">
        <f t="shared" si="101"/>
        <v>83.411930940690553</v>
      </c>
      <c r="FH101" s="20">
        <f t="shared" si="76"/>
        <v>770.52540472170313</v>
      </c>
      <c r="FI101" s="59">
        <f t="shared" si="77"/>
        <v>1063.8587380550364</v>
      </c>
      <c r="FJ101" s="59">
        <f ca="1">AVERAGE(OFFSET($FI$3,0,0,'Données projet'!$E$16+1,1))-AVERAGE(OFFSET($H$3,0,0,'Données projet'!$E$16+1,1))</f>
        <v>367.36535411813264</v>
      </c>
      <c r="FK101" s="59">
        <f t="shared" si="102"/>
        <v>293.19545174980556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61.436194683819984</v>
      </c>
      <c r="FR101" s="21">
        <f>EXP(-LN(2)/25)*FR100+(1-EXP(-LN(2)/25))/(LN(2)/25)*Calculateur!FM101*Calculateur!FO101*VLOOKUP('Données projet'!$B$16,Paramètres!$A$1:$I$89,3,0)*0.475*44/12</f>
        <v>6.5713558932382954</v>
      </c>
      <c r="FS101" s="21">
        <f>EXP(-LN(2)/2)*FS100+(1-EXP(-LN(2)/2))/(LN(2)/2)*FM101*FP101*VLOOKUP('Données projet'!$B$16,Paramètres!$A$1:$I$89,3,0)*0.475*44/12</f>
        <v>4.2168642343048104E-11</v>
      </c>
      <c r="FT101" s="22">
        <f t="shared" si="78"/>
        <v>68.007550577100446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669.99999999999989</v>
      </c>
      <c r="GA101" s="17">
        <f>FZ101*VLOOKUP('Données projet'!$B$17,Paramètres!$A$1:$I$89,3,0)*VLOOKUP('Données projet'!$B$17,Paramètres!$A$1:$I$89,5,0)</f>
        <v>322.26999999999992</v>
      </c>
      <c r="GB101" s="13">
        <f t="shared" si="103"/>
        <v>75.825476822885776</v>
      </c>
      <c r="GC101" s="20">
        <f t="shared" si="79"/>
        <v>693.34962213319261</v>
      </c>
      <c r="GD101" s="59">
        <f t="shared" si="80"/>
        <v>986.68295546652598</v>
      </c>
      <c r="GE101" s="59">
        <f ca="1">AVERAGE(OFFSET($GD$3,0,0,'Données projet'!$E$17+1,1))-AVERAGE(OFFSET($H$3,0,0,'Données projet'!$E$17+1,1))</f>
        <v>312.64506496298173</v>
      </c>
      <c r="GF101" s="59">
        <f t="shared" si="104"/>
        <v>259.97532509897508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79.308343582429771</v>
      </c>
      <c r="GM101" s="21">
        <f>EXP(-LN(2)/25)*GM100+(1-EXP(-LN(2)/25))/(LN(2)/25)*Calculateur!GH101*Calculateur!GJ101*VLOOKUP('Données projet'!$B$17,Paramètres!$A$1:$I$89,3,0)*0.475*44/12</f>
        <v>2.9710448166829861</v>
      </c>
      <c r="GN101" s="21">
        <f>EXP(-LN(2)/2)*GN100+(1-EXP(-LN(2)/2))/(LN(2)/2)*GH101*GK101*VLOOKUP('Données projet'!$B$17,Paramètres!$A$1:$I$89,3,0)*0.475*44/12</f>
        <v>2.2415362423982351E-10</v>
      </c>
      <c r="GO101" s="21">
        <f t="shared" si="81"/>
        <v>82.279388399336909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4.8</v>
      </c>
      <c r="GU101" s="12">
        <f>IF('Données projet'!$A$270&gt;35,GU100+GT101-HC100,IF(A101&lt;'Données projet'!$A$270,$GR$205^A101,IF(A101='Données projet'!$A$270,'Données projet'!$B$270,GU100+GT101-HC100)))</f>
        <v>272.39999999999986</v>
      </c>
      <c r="GV101" s="17">
        <f>GU101*VLOOKUP('Données projet'!$B$18,Paramètres!$A$1:$I$89,3,0)*VLOOKUP('Données projet'!$B$18,Paramètres!$A$1:$I$89,5,0)</f>
        <v>276.21359999999987</v>
      </c>
      <c r="GW101" s="13">
        <f t="shared" si="105"/>
        <v>66.166200760877416</v>
      </c>
      <c r="GX101" s="20">
        <f t="shared" si="82"/>
        <v>596.31148632519455</v>
      </c>
      <c r="GY101" s="59">
        <f t="shared" si="83"/>
        <v>889.64481965852792</v>
      </c>
      <c r="GZ101" s="59">
        <f ca="1">AVERAGE(OFFSET($GY$3,0,0,'Données projet'!$E$18+1,1))-AVERAGE(OFFSET($H$3,0,0,'Données projet'!$E$18+1,1))</f>
        <v>308.80022073574963</v>
      </c>
      <c r="HA101" s="59">
        <f t="shared" si="106"/>
        <v>183.96267407004115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73.247480784643628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73.247480784643628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344.49457749226184</v>
      </c>
      <c r="T102" s="59">
        <f t="shared" si="88"/>
        <v>207.92972431357452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3.6</v>
      </c>
      <c r="AI102" s="13">
        <f>IF('Données projet'!$A$62&gt;35,AI101+AH102-AQ101,IF(A102&lt;'Données projet'!$A$62,$AF$205^A102,IF(A102='Données projet'!$A$62,'Données projet'!$B$62,AI101+AH102-AQ101)))</f>
        <v>212.39999999999998</v>
      </c>
      <c r="AJ102" s="13">
        <f>AI102*VLOOKUP('Données projet'!$B$10,Paramètres!$A$1:$I$89,3,0)*VLOOKUP('Données projet'!$B$10,Paramètres!$A$1:$I$89,5,0)</f>
        <v>192.17951999999997</v>
      </c>
      <c r="AK102" s="13">
        <f t="shared" si="89"/>
        <v>48.021493442275315</v>
      </c>
      <c r="AL102" s="20">
        <f t="shared" si="58"/>
        <v>418.35009841196273</v>
      </c>
      <c r="AM102" s="59">
        <f t="shared" si="59"/>
        <v>711.68343174529605</v>
      </c>
      <c r="AN102" s="59">
        <f ca="1">AVERAGE(OFFSET($AM$3,0,0,'Données projet'!$E$10+1,1))-AVERAGE(OFFSET($H$3,0,0,'Données projet'!$E$10+1,1))</f>
        <v>183.0147113277086</v>
      </c>
      <c r="AO102" s="59">
        <f t="shared" si="90"/>
        <v>76.413905647258389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42.59733174694945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42.59733174694945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253.79640000000001</v>
      </c>
      <c r="BF102" s="13">
        <f t="shared" si="91"/>
        <v>61.39816832228076</v>
      </c>
      <c r="BG102" s="20">
        <f t="shared" si="61"/>
        <v>548.96387316130563</v>
      </c>
      <c r="BH102" s="59">
        <f t="shared" si="62"/>
        <v>842.29720649463889</v>
      </c>
      <c r="BI102" s="59">
        <f ca="1">AVERAGE(OFFSET($BH$3,0,0,'Données projet'!$E$11+1,1))-AVERAGE(OFFSET($H$3,0,0,'Données projet'!$E$11+1,1))</f>
        <v>279.49721661620544</v>
      </c>
      <c r="BJ102" s="59">
        <f t="shared" si="92"/>
        <v>275.18739333988754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36.495219641321093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36.495219641321093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754.68411025369562</v>
      </c>
      <c r="CD102" s="59">
        <f ca="1">AVERAGE(OFFSET($CC$3,0,0,'Données projet'!$E$12+1,1))-AVERAGE(OFFSET($H$3,0,0,'Données projet'!$E$12+1,1))</f>
        <v>225.2323446080772</v>
      </c>
      <c r="CE102" s="59">
        <f t="shared" si="94"/>
        <v>222.29030402759292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29.781125399363081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29.781125399363081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213.00000000000003</v>
      </c>
      <c r="CU102" s="17">
        <f>CT102*VLOOKUP('Données projet'!$B$13,Paramètres!$A$1:$I$89,3,0)*VLOOKUP('Données projet'!$B$13,Paramètres!$A$1:$I$89,5,0)</f>
        <v>229.2732</v>
      </c>
      <c r="CV102" s="13">
        <f t="shared" si="95"/>
        <v>56.125501442527366</v>
      </c>
      <c r="CW102" s="20">
        <f t="shared" si="67"/>
        <v>497.06940501240177</v>
      </c>
      <c r="CX102" s="59">
        <f t="shared" si="68"/>
        <v>790.40273834573509</v>
      </c>
      <c r="CY102" s="59">
        <f ca="1">AVERAGE(OFFSET($CX$3,0,0,'Données projet'!$E$13+1,1))-AVERAGE(OFFSET($H$3,0,0,'Données projet'!$E$13+1,1))</f>
        <v>240.57184010337932</v>
      </c>
      <c r="CZ102" s="59">
        <f t="shared" si="96"/>
        <v>236.36473521227072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25.255182000373054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25.255182000373054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670.99999999999977</v>
      </c>
      <c r="DP102" s="17">
        <f>DO102*VLOOKUP('Données projet'!$B$14,Paramètres!$A$1:$I$89,3,0)*VLOOKUP('Données projet'!$B$14,Paramètres!$A$1:$I$89,5,0)</f>
        <v>314.02799999999991</v>
      </c>
      <c r="DQ102" s="13">
        <f t="shared" si="97"/>
        <v>74.109403804428752</v>
      </c>
      <c r="DR102" s="20">
        <f t="shared" si="70"/>
        <v>676.00597829271317</v>
      </c>
      <c r="DS102" s="59">
        <f t="shared" si="71"/>
        <v>969.33931162604654</v>
      </c>
      <c r="DT102" s="59">
        <f ca="1">AVERAGE(OFFSET($DS$3,0,0,'Données projet'!$E$14+1,1))-AVERAGE(OFFSET($H$3,0,0,'Données projet'!$E$14+1,1))</f>
        <v>304.29617570272939</v>
      </c>
      <c r="DU102" s="59">
        <f t="shared" si="98"/>
        <v>246.20695736161576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68.13509733953785</v>
      </c>
      <c r="EB102" s="21">
        <f>EXP(-LN(2)/25)*EB101+(1-EXP(-LN(2)/25))/(LN(2)/25)*Calculateur!DW102*Calculateur!DY102*VLOOKUP('Données projet'!$B$14,Paramètres!$A$1:$I$89,3,0)*0.475*44/12</f>
        <v>6.0414923678072796</v>
      </c>
      <c r="EC102" s="21">
        <f>EXP(-LN(2)/2)*EC101+(1-EXP(-LN(2)/2))/(LN(2)/2)*DW102*DZ102*VLOOKUP('Données projet'!$B$14,Paramètres!$A$1:$I$89,3,0)*0.475*44/12</f>
        <v>1.6192758659730564E-10</v>
      </c>
      <c r="ED102" s="22">
        <f t="shared" si="72"/>
        <v>74.176589707507063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477.9999999999996</v>
      </c>
      <c r="EK102" s="17">
        <f>EJ102*VLOOKUP('Données projet'!$B$15,Paramètres!$A$1:$I$89,3,0)*VLOOKUP('Données projet'!$B$15,Paramètres!$A$1:$I$89,5,0)</f>
        <v>285.84399999999977</v>
      </c>
      <c r="EL102" s="13">
        <f t="shared" si="99"/>
        <v>68.200525419065656</v>
      </c>
      <c r="EM102" s="20">
        <f t="shared" si="73"/>
        <v>616.62754843820551</v>
      </c>
      <c r="EN102" s="59">
        <f t="shared" si="74"/>
        <v>909.96088177153888</v>
      </c>
      <c r="EO102" s="59">
        <f ca="1">AVERAGE(OFFSET($EN$3,0,0,'Données projet'!$E$15+1,1))-AVERAGE(OFFSET($H$3,0,0,'Données projet'!$E$15+1,1))</f>
        <v>288.41846134875794</v>
      </c>
      <c r="EP102" s="59">
        <f t="shared" si="100"/>
        <v>248.93951719818972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49.294075785244054</v>
      </c>
      <c r="EW102" s="21">
        <f>EXP(-LN(2)/25)*EW101+(1-EXP(-LN(2)/25))/(LN(2)/25)*Calculateur!ER102*Calculateur!ET102*VLOOKUP('Données projet'!$B$15,Paramètres!$A$1:$I$89,3,0)*0.475*44/12</f>
        <v>4.1238670033196172</v>
      </c>
      <c r="EX102" s="21">
        <f>EXP(-LN(2)/2)*EX101+(1-EXP(-LN(2)/2))/(LN(2)/2)*ER102*EU102*VLOOKUP('Données projet'!$B$15,Paramètres!$A$1:$I$89,3,0)*0.475*44/12</f>
        <v>2.0029943787646517E-11</v>
      </c>
      <c r="EY102" s="22">
        <f t="shared" si="75"/>
        <v>53.417942788583701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789.00000000000045</v>
      </c>
      <c r="FF102" s="17">
        <f>FE102*VLOOKUP('Données projet'!$B$16,Paramètres!$A$1:$I$89,3,0)*VLOOKUP('Données projet'!$B$16,Paramètres!$A$1:$I$89,5,0)</f>
        <v>358.99500000000023</v>
      </c>
      <c r="FG102" s="13">
        <f t="shared" si="101"/>
        <v>83.411930940690553</v>
      </c>
      <c r="FH102" s="20">
        <f t="shared" si="76"/>
        <v>770.52540472170313</v>
      </c>
      <c r="FI102" s="59">
        <f t="shared" si="77"/>
        <v>1063.8587380550364</v>
      </c>
      <c r="FJ102" s="59">
        <f ca="1">AVERAGE(OFFSET($FI$3,0,0,'Données projet'!$E$16+1,1))-AVERAGE(OFFSET($H$3,0,0,'Données projet'!$E$16+1,1))</f>
        <v>367.36535411813264</v>
      </c>
      <c r="FK102" s="59">
        <f t="shared" si="102"/>
        <v>293.19545174980556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60.231468378448945</v>
      </c>
      <c r="FR102" s="21">
        <f>EXP(-LN(2)/25)*FR101+(1-EXP(-LN(2)/25))/(LN(2)/25)*Calculateur!FM102*Calculateur!FO102*VLOOKUP('Données projet'!$B$16,Paramètres!$A$1:$I$89,3,0)*0.475*44/12</f>
        <v>6.3916618207651066</v>
      </c>
      <c r="FS102" s="21">
        <f>EXP(-LN(2)/2)*FS101+(1-EXP(-LN(2)/2))/(LN(2)/2)*FM102*FP102*VLOOKUP('Données projet'!$B$16,Paramètres!$A$1:$I$89,3,0)*0.475*44/12</f>
        <v>2.9817732954199498E-11</v>
      </c>
      <c r="FT102" s="22">
        <f t="shared" si="78"/>
        <v>66.62313019924386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669.99999999999989</v>
      </c>
      <c r="GA102" s="17">
        <f>FZ102*VLOOKUP('Données projet'!$B$17,Paramètres!$A$1:$I$89,3,0)*VLOOKUP('Données projet'!$B$17,Paramètres!$A$1:$I$89,5,0)</f>
        <v>322.26999999999992</v>
      </c>
      <c r="GB102" s="13">
        <f t="shared" si="103"/>
        <v>75.825476822885776</v>
      </c>
      <c r="GC102" s="20">
        <f t="shared" si="79"/>
        <v>693.34962213319261</v>
      </c>
      <c r="GD102" s="59">
        <f t="shared" si="80"/>
        <v>986.68295546652598</v>
      </c>
      <c r="GE102" s="59">
        <f ca="1">AVERAGE(OFFSET($GD$3,0,0,'Données projet'!$E$17+1,1))-AVERAGE(OFFSET($H$3,0,0,'Données projet'!$E$17+1,1))</f>
        <v>312.64506496298173</v>
      </c>
      <c r="GF102" s="59">
        <f t="shared" si="104"/>
        <v>259.97532509897508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77.753155338091446</v>
      </c>
      <c r="GM102" s="21">
        <f>EXP(-LN(2)/25)*GM101+(1-EXP(-LN(2)/25))/(LN(2)/25)*Calculateur!GH102*Calculateur!GJ102*VLOOKUP('Données projet'!$B$17,Paramètres!$A$1:$I$89,3,0)*0.475*44/12</f>
        <v>2.8898014399303333</v>
      </c>
      <c r="GN102" s="21">
        <f>EXP(-LN(2)/2)*GN101+(1-EXP(-LN(2)/2))/(LN(2)/2)*GH102*GK102*VLOOKUP('Données projet'!$B$17,Paramètres!$A$1:$I$89,3,0)*0.475*44/12</f>
        <v>1.5850054772752048E-10</v>
      </c>
      <c r="GO102" s="21">
        <f t="shared" si="81"/>
        <v>80.642956778180277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4.8</v>
      </c>
      <c r="GU102" s="12">
        <f>IF('Données projet'!$A$270&gt;35,GU101+GT102-HC101,IF(A102&lt;'Données projet'!$A$270,$GR$205^A102,IF(A102='Données projet'!$A$270,'Données projet'!$B$270,GU101+GT102-HC101)))</f>
        <v>277.19999999999987</v>
      </c>
      <c r="GV102" s="17">
        <f>GU102*VLOOKUP('Données projet'!$B$18,Paramètres!$A$1:$I$89,3,0)*VLOOKUP('Données projet'!$B$18,Paramètres!$A$1:$I$89,5,0)</f>
        <v>281.0807999999999</v>
      </c>
      <c r="GW102" s="13">
        <f t="shared" si="105"/>
        <v>67.19536175254612</v>
      </c>
      <c r="GX102" s="20">
        <f t="shared" si="82"/>
        <v>606.58098171901759</v>
      </c>
      <c r="GY102" s="59">
        <f t="shared" si="83"/>
        <v>899.91431505235096</v>
      </c>
      <c r="GZ102" s="59">
        <f ca="1">AVERAGE(OFFSET($GY$3,0,0,'Données projet'!$E$18+1,1))-AVERAGE(OFFSET($H$3,0,0,'Données projet'!$E$18+1,1))</f>
        <v>308.80022073574963</v>
      </c>
      <c r="HA102" s="59">
        <f t="shared" si="106"/>
        <v>183.96267407004115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71.811142363008599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71.811142363008599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344.49457749226184</v>
      </c>
      <c r="T103" s="59">
        <f t="shared" si="88"/>
        <v>207.92972431357452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216</v>
      </c>
      <c r="AG103" s="12">
        <f>VLOOKUP(A103,'Données projet'!$A$61:$I$81,9,0)</f>
        <v>3.6</v>
      </c>
      <c r="AH103" s="12">
        <f t="array" ref="AH103">INDEX(AG:AG,MIN(IF(ISNUMBER(AG103:AG299),ROW(AG103:AG299),"")))</f>
        <v>3.6</v>
      </c>
      <c r="AI103" s="13">
        <f>IF('Données projet'!$A$62&gt;35,AI102+AH103-AQ102,IF(A103&lt;'Données projet'!$A$62,$AF$205^A103,IF(A103='Données projet'!$A$62,'Données projet'!$B$62,AI102+AH103-AQ102)))</f>
        <v>215.99999999999997</v>
      </c>
      <c r="AJ103" s="13">
        <f>AI103*VLOOKUP('Données projet'!$B$10,Paramètres!$A$1:$I$89,3,0)*VLOOKUP('Données projet'!$B$10,Paramètres!$A$1:$I$89,5,0)</f>
        <v>195.43679999999998</v>
      </c>
      <c r="AK103" s="13">
        <f t="shared" si="89"/>
        <v>48.739971354487849</v>
      </c>
      <c r="AL103" s="20">
        <f t="shared" si="58"/>
        <v>425.27454344239959</v>
      </c>
      <c r="AM103" s="59">
        <f t="shared" si="59"/>
        <v>718.60787677573285</v>
      </c>
      <c r="AN103" s="59">
        <f ca="1">AVERAGE(OFFSET($AM$3,0,0,'Données projet'!$E$10+1,1))-AVERAGE(OFFSET($H$3,0,0,'Données projet'!$E$10+1,1))</f>
        <v>183.0147113277086</v>
      </c>
      <c r="AO103" s="59">
        <f t="shared" si="90"/>
        <v>76.413905647258389</v>
      </c>
      <c r="AP103" s="15">
        <f>IF(ISNA(VLOOKUP(A103,'Données projet'!$A$61:$I$81,3,0)),0,VLOOKUP(A103,'Données projet'!$A$61:$I$81,3,0))</f>
        <v>14</v>
      </c>
      <c r="AQ103" s="15">
        <f>IF(ISNA(VLOOKUP(A103,'Données projet'!$A$61:$I$81,4,0)),0,VLOOKUP(A103,'Données projet'!$A$61:$I$81,4,0))</f>
        <v>14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47.783406241595152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47.783406241595152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253.79640000000001</v>
      </c>
      <c r="BF103" s="13">
        <f t="shared" si="91"/>
        <v>61.39816832228076</v>
      </c>
      <c r="BG103" s="20">
        <f t="shared" si="61"/>
        <v>548.96387316130563</v>
      </c>
      <c r="BH103" s="59">
        <f t="shared" si="62"/>
        <v>842.29720649463889</v>
      </c>
      <c r="BI103" s="59">
        <f ca="1">AVERAGE(OFFSET($BH$3,0,0,'Données projet'!$E$11+1,1))-AVERAGE(OFFSET($H$3,0,0,'Données projet'!$E$11+1,1))</f>
        <v>279.49721661620544</v>
      </c>
      <c r="BJ103" s="59">
        <f t="shared" si="92"/>
        <v>275.18739333988754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35.779570644040788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35.779570644040788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754.68411025369562</v>
      </c>
      <c r="CD103" s="59">
        <f ca="1">AVERAGE(OFFSET($CC$3,0,0,'Données projet'!$E$12+1,1))-AVERAGE(OFFSET($H$3,0,0,'Données projet'!$E$12+1,1))</f>
        <v>225.2323446080772</v>
      </c>
      <c r="CE103" s="59">
        <f t="shared" si="94"/>
        <v>222.29030402759292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29.197135694974449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29.197135694974449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213.00000000000003</v>
      </c>
      <c r="CU103" s="17">
        <f>CT103*VLOOKUP('Données projet'!$B$13,Paramètres!$A$1:$I$89,3,0)*VLOOKUP('Données projet'!$B$13,Paramètres!$A$1:$I$89,5,0)</f>
        <v>229.2732</v>
      </c>
      <c r="CV103" s="13">
        <f t="shared" si="95"/>
        <v>56.125501442527366</v>
      </c>
      <c r="CW103" s="20">
        <f t="shared" si="67"/>
        <v>497.06940501240177</v>
      </c>
      <c r="CX103" s="59">
        <f t="shared" si="68"/>
        <v>790.40273834573509</v>
      </c>
      <c r="CY103" s="59">
        <f ca="1">AVERAGE(OFFSET($CX$3,0,0,'Données projet'!$E$13+1,1))-AVERAGE(OFFSET($H$3,0,0,'Données projet'!$E$13+1,1))</f>
        <v>240.57184010337932</v>
      </c>
      <c r="CZ103" s="59">
        <f t="shared" si="96"/>
        <v>236.36473521227072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24.759943285485726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24.759943285485726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670.99999999999977</v>
      </c>
      <c r="DP103" s="17">
        <f>DO103*VLOOKUP('Données projet'!$B$14,Paramètres!$A$1:$I$89,3,0)*VLOOKUP('Données projet'!$B$14,Paramètres!$A$1:$I$89,5,0)</f>
        <v>314.02799999999991</v>
      </c>
      <c r="DQ103" s="13">
        <f t="shared" si="97"/>
        <v>74.109403804428752</v>
      </c>
      <c r="DR103" s="20">
        <f t="shared" si="70"/>
        <v>676.00597829271317</v>
      </c>
      <c r="DS103" s="59">
        <f t="shared" si="71"/>
        <v>969.33931162604654</v>
      </c>
      <c r="DT103" s="59">
        <f ca="1">AVERAGE(OFFSET($DS$3,0,0,'Données projet'!$E$14+1,1))-AVERAGE(OFFSET($H$3,0,0,'Données projet'!$E$14+1,1))</f>
        <v>304.29617570272939</v>
      </c>
      <c r="DU103" s="59">
        <f t="shared" si="98"/>
        <v>246.20695736161576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66.799009639015352</v>
      </c>
      <c r="EB103" s="21">
        <f>EXP(-LN(2)/25)*EB102+(1-EXP(-LN(2)/25))/(LN(2)/25)*Calculateur!DW103*Calculateur!DY103*VLOOKUP('Données projet'!$B$14,Paramètres!$A$1:$I$89,3,0)*0.475*44/12</f>
        <v>5.8762874413013142</v>
      </c>
      <c r="EC103" s="21">
        <f>EXP(-LN(2)/2)*EC102+(1-EXP(-LN(2)/2))/(LN(2)/2)*DW103*DZ103*VLOOKUP('Données projet'!$B$14,Paramètres!$A$1:$I$89,3,0)*0.475*44/12</f>
        <v>1.1450009454412673E-10</v>
      </c>
      <c r="ED103" s="22">
        <f t="shared" si="72"/>
        <v>72.675297080431164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477.9999999999996</v>
      </c>
      <c r="EK103" s="17">
        <f>EJ103*VLOOKUP('Données projet'!$B$15,Paramètres!$A$1:$I$89,3,0)*VLOOKUP('Données projet'!$B$15,Paramètres!$A$1:$I$89,5,0)</f>
        <v>285.84399999999977</v>
      </c>
      <c r="EL103" s="13">
        <f t="shared" si="99"/>
        <v>68.200525419065656</v>
      </c>
      <c r="EM103" s="20">
        <f t="shared" si="73"/>
        <v>616.62754843820551</v>
      </c>
      <c r="EN103" s="59">
        <f t="shared" si="74"/>
        <v>909.96088177153888</v>
      </c>
      <c r="EO103" s="59">
        <f ca="1">AVERAGE(OFFSET($EN$3,0,0,'Données projet'!$E$15+1,1))-AVERAGE(OFFSET($H$3,0,0,'Données projet'!$E$15+1,1))</f>
        <v>288.41846134875794</v>
      </c>
      <c r="EP103" s="59">
        <f t="shared" si="100"/>
        <v>248.93951719818972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48.327449025512834</v>
      </c>
      <c r="EW103" s="21">
        <f>EXP(-LN(2)/25)*EW102+(1-EXP(-LN(2)/25))/(LN(2)/25)*Calculateur!ER103*Calculateur!ET103*VLOOKUP('Données projet'!$B$15,Paramètres!$A$1:$I$89,3,0)*0.475*44/12</f>
        <v>4.0110996432491017</v>
      </c>
      <c r="EX103" s="21">
        <f>EXP(-LN(2)/2)*EX102+(1-EXP(-LN(2)/2))/(LN(2)/2)*ER103*EU103*VLOOKUP('Données projet'!$B$15,Paramètres!$A$1:$I$89,3,0)*0.475*44/12</f>
        <v>1.4163309079030214E-11</v>
      </c>
      <c r="EY103" s="22">
        <f t="shared" si="75"/>
        <v>52.338548668776099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789.00000000000045</v>
      </c>
      <c r="FF103" s="17">
        <f>FE103*VLOOKUP('Données projet'!$B$16,Paramètres!$A$1:$I$89,3,0)*VLOOKUP('Données projet'!$B$16,Paramètres!$A$1:$I$89,5,0)</f>
        <v>358.99500000000023</v>
      </c>
      <c r="FG103" s="13">
        <f t="shared" si="101"/>
        <v>83.411930940690553</v>
      </c>
      <c r="FH103" s="20">
        <f t="shared" si="76"/>
        <v>770.52540472170313</v>
      </c>
      <c r="FI103" s="59">
        <f t="shared" si="77"/>
        <v>1063.8587380550364</v>
      </c>
      <c r="FJ103" s="59">
        <f ca="1">AVERAGE(OFFSET($FI$3,0,0,'Données projet'!$E$16+1,1))-AVERAGE(OFFSET($H$3,0,0,'Données projet'!$E$16+1,1))</f>
        <v>367.36535411813264</v>
      </c>
      <c r="FK103" s="59">
        <f t="shared" si="102"/>
        <v>293.19545174980556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59.050366021115735</v>
      </c>
      <c r="FR103" s="21">
        <f>EXP(-LN(2)/25)*FR102+(1-EXP(-LN(2)/25))/(LN(2)/25)*Calculateur!FM103*Calculateur!FO103*VLOOKUP('Données projet'!$B$16,Paramètres!$A$1:$I$89,3,0)*0.475*44/12</f>
        <v>6.2168814921533979</v>
      </c>
      <c r="FS103" s="21">
        <f>EXP(-LN(2)/2)*FS102+(1-EXP(-LN(2)/2))/(LN(2)/2)*FM103*FP103*VLOOKUP('Données projet'!$B$16,Paramètres!$A$1:$I$89,3,0)*0.475*44/12</f>
        <v>2.1084321171524052E-11</v>
      </c>
      <c r="FT103" s="22">
        <f t="shared" si="78"/>
        <v>65.267247513290215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669.99999999999989</v>
      </c>
      <c r="GA103" s="17">
        <f>FZ103*VLOOKUP('Données projet'!$B$17,Paramètres!$A$1:$I$89,3,0)*VLOOKUP('Données projet'!$B$17,Paramètres!$A$1:$I$89,5,0)</f>
        <v>322.26999999999992</v>
      </c>
      <c r="GB103" s="13">
        <f t="shared" si="103"/>
        <v>75.825476822885776</v>
      </c>
      <c r="GC103" s="20">
        <f t="shared" si="79"/>
        <v>693.34962213319261</v>
      </c>
      <c r="GD103" s="59">
        <f t="shared" si="80"/>
        <v>986.68295546652598</v>
      </c>
      <c r="GE103" s="59">
        <f ca="1">AVERAGE(OFFSET($GD$3,0,0,'Données projet'!$E$17+1,1))-AVERAGE(OFFSET($H$3,0,0,'Données projet'!$E$17+1,1))</f>
        <v>312.64506496298173</v>
      </c>
      <c r="GF103" s="59">
        <f t="shared" si="104"/>
        <v>259.97532509897508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76.228463386653431</v>
      </c>
      <c r="GM103" s="21">
        <f>EXP(-LN(2)/25)*GM102+(1-EXP(-LN(2)/25))/(LN(2)/25)*Calculateur!GH103*Calculateur!GJ103*VLOOKUP('Données projet'!$B$17,Paramètres!$A$1:$I$89,3,0)*0.475*44/12</f>
        <v>2.8107796675873855</v>
      </c>
      <c r="GN103" s="21">
        <f>EXP(-LN(2)/2)*GN102+(1-EXP(-LN(2)/2))/(LN(2)/2)*GH103*GK103*VLOOKUP('Données projet'!$B$17,Paramètres!$A$1:$I$89,3,0)*0.475*44/12</f>
        <v>1.1207681211991176E-10</v>
      </c>
      <c r="GO103" s="21">
        <f t="shared" si="81"/>
        <v>79.039243054352895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282</v>
      </c>
      <c r="GS103" s="12">
        <f>VLOOKUP(A103,'Données projet'!$A$269:$I$289,9,0)</f>
        <v>4.8</v>
      </c>
      <c r="GT103" s="12">
        <f t="array" ref="GT103">INDEX(GS:GS,MIN(IF(ISNUMBER(GS103:GS299),ROW(GS103:GS299),"")))</f>
        <v>4.8</v>
      </c>
      <c r="GU103" s="12">
        <f>IF('Données projet'!$A$270&gt;35,GU102+GT103-HC102,IF(A103&lt;'Données projet'!$A$270,$GR$205^A103,IF(A103='Données projet'!$A$270,'Données projet'!$B$270,GU102+GT103-HC102)))</f>
        <v>281.99999999999989</v>
      </c>
      <c r="GV103" s="17">
        <f>GU103*VLOOKUP('Données projet'!$B$18,Paramètres!$A$1:$I$89,3,0)*VLOOKUP('Données projet'!$B$18,Paramètres!$A$1:$I$89,5,0)</f>
        <v>285.94799999999992</v>
      </c>
      <c r="GW103" s="13">
        <f t="shared" si="105"/>
        <v>68.222450362989363</v>
      </c>
      <c r="GX103" s="20">
        <f t="shared" si="82"/>
        <v>616.84686771553959</v>
      </c>
      <c r="GY103" s="59">
        <f t="shared" si="83"/>
        <v>910.18020104887296</v>
      </c>
      <c r="GZ103" s="59">
        <f ca="1">AVERAGE(OFFSET($GY$3,0,0,'Données projet'!$E$18+1,1))-AVERAGE(OFFSET($H$3,0,0,'Données projet'!$E$18+1,1))</f>
        <v>308.80022073574963</v>
      </c>
      <c r="HA103" s="59">
        <f t="shared" si="106"/>
        <v>183.96267407004115</v>
      </c>
      <c r="HB103" s="15">
        <f>IF(ISNA(VLOOKUP(A103,'Données projet'!$A$269:$I$289,3,0)),0,VLOOKUP(A103,'Données projet'!$A$269:$I$289,3,0))</f>
        <v>16</v>
      </c>
      <c r="HC103" s="15">
        <f>IF(ISNA(VLOOKUP(A103,'Données projet'!$A$269:$I$289,4,0)),0,VLOOKUP(A103,'Données projet'!$A$269:$I$289,4,0))</f>
        <v>21</v>
      </c>
      <c r="HD103" s="16">
        <f>IF(ISNA(VLOOKUP(A103,'Données projet'!$A$269:$I$289,5,0)),0%,VLOOKUP(A103,'Données projet'!$A$269:$I$289,5,0)*VLOOKUP('Données projet'!$B$18,Paramètres!$A$1:$I$89,7,0))</f>
        <v>0.43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80.525120754305007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80.525120754305007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344.49457749226184</v>
      </c>
      <c r="T104" s="59">
        <f t="shared" si="88"/>
        <v>207.92972431357452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3.2</v>
      </c>
      <c r="AI104" s="13">
        <f>IF('Données projet'!$A$62&gt;35,AI103+AH104-AQ103,IF(A104&lt;'Données projet'!$A$62,$AF$205^A104,IF(A104='Données projet'!$A$62,'Données projet'!$B$62,AI103+AH104-AQ103)))</f>
        <v>205.19999999999996</v>
      </c>
      <c r="AJ104" s="13">
        <f>AI104*VLOOKUP('Données projet'!$B$10,Paramètres!$A$1:$I$89,3,0)*VLOOKUP('Données projet'!$B$10,Paramètres!$A$1:$I$89,5,0)</f>
        <v>185.66495999999995</v>
      </c>
      <c r="AK104" s="13">
        <f t="shared" si="89"/>
        <v>46.580253447083031</v>
      </c>
      <c r="AL104" s="20">
        <f t="shared" si="58"/>
        <v>404.49374675366954</v>
      </c>
      <c r="AM104" s="59">
        <f t="shared" si="59"/>
        <v>697.82708008700286</v>
      </c>
      <c r="AN104" s="59">
        <f ca="1">AVERAGE(OFFSET($AM$3,0,0,'Données projet'!$E$10+1,1))-AVERAGE(OFFSET($H$3,0,0,'Données projet'!$E$10+1,1))</f>
        <v>183.0147113277086</v>
      </c>
      <c r="AO104" s="59">
        <f t="shared" si="90"/>
        <v>76.413905647258389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46.846402790197452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46.846402790197452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253.79640000000001</v>
      </c>
      <c r="BF104" s="13">
        <f t="shared" si="91"/>
        <v>61.39816832228076</v>
      </c>
      <c r="BG104" s="20">
        <f t="shared" si="61"/>
        <v>548.96387316130563</v>
      </c>
      <c r="BH104" s="59">
        <f t="shared" si="62"/>
        <v>842.29720649463889</v>
      </c>
      <c r="BI104" s="59">
        <f ca="1">AVERAGE(OFFSET($BH$3,0,0,'Données projet'!$E$11+1,1))-AVERAGE(OFFSET($H$3,0,0,'Données projet'!$E$11+1,1))</f>
        <v>279.49721661620544</v>
      </c>
      <c r="BJ104" s="59">
        <f t="shared" si="92"/>
        <v>275.18739333988754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35.077955087094359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35.077955087094359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754.68411025369562</v>
      </c>
      <c r="CD104" s="59">
        <f ca="1">AVERAGE(OFFSET($CC$3,0,0,'Données projet'!$E$12+1,1))-AVERAGE(OFFSET($H$3,0,0,'Données projet'!$E$12+1,1))</f>
        <v>225.2323446080772</v>
      </c>
      <c r="CE104" s="59">
        <f t="shared" si="94"/>
        <v>222.29030402759292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28.624597672490331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28.624597672490331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213.00000000000003</v>
      </c>
      <c r="CU104" s="17">
        <f>CT104*VLOOKUP('Données projet'!$B$13,Paramètres!$A$1:$I$89,3,0)*VLOOKUP('Données projet'!$B$13,Paramètres!$A$1:$I$89,5,0)</f>
        <v>229.2732</v>
      </c>
      <c r="CV104" s="13">
        <f t="shared" si="95"/>
        <v>56.125501442527366</v>
      </c>
      <c r="CW104" s="20">
        <f t="shared" si="67"/>
        <v>497.06940501240177</v>
      </c>
      <c r="CX104" s="59">
        <f t="shared" si="68"/>
        <v>790.40273834573509</v>
      </c>
      <c r="CY104" s="59">
        <f ca="1">AVERAGE(OFFSET($CX$3,0,0,'Données projet'!$E$13+1,1))-AVERAGE(OFFSET($H$3,0,0,'Données projet'!$E$13+1,1))</f>
        <v>240.57184010337932</v>
      </c>
      <c r="CZ104" s="59">
        <f t="shared" si="96"/>
        <v>236.36473521227072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24.274415899731547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24.274415899731547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670.99999999999977</v>
      </c>
      <c r="DP104" s="17">
        <f>DO104*VLOOKUP('Données projet'!$B$14,Paramètres!$A$1:$I$89,3,0)*VLOOKUP('Données projet'!$B$14,Paramètres!$A$1:$I$89,5,0)</f>
        <v>314.02799999999991</v>
      </c>
      <c r="DQ104" s="13">
        <f t="shared" si="97"/>
        <v>74.109403804428752</v>
      </c>
      <c r="DR104" s="20">
        <f t="shared" si="70"/>
        <v>676.00597829271317</v>
      </c>
      <c r="DS104" s="59">
        <f t="shared" si="71"/>
        <v>969.33931162604654</v>
      </c>
      <c r="DT104" s="59">
        <f ca="1">AVERAGE(OFFSET($DS$3,0,0,'Données projet'!$E$14+1,1))-AVERAGE(OFFSET($H$3,0,0,'Données projet'!$E$14+1,1))</f>
        <v>304.29617570272939</v>
      </c>
      <c r="DU104" s="59">
        <f t="shared" si="98"/>
        <v>246.20695736161576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65.48912180336707</v>
      </c>
      <c r="EB104" s="21">
        <f>EXP(-LN(2)/25)*EB103+(1-EXP(-LN(2)/25))/(LN(2)/25)*Calculateur!DW104*Calculateur!DY104*VLOOKUP('Données projet'!$B$14,Paramètres!$A$1:$I$89,3,0)*0.475*44/12</f>
        <v>5.7156000521984041</v>
      </c>
      <c r="EC104" s="21">
        <f>EXP(-LN(2)/2)*EC103+(1-EXP(-LN(2)/2))/(LN(2)/2)*DW104*DZ104*VLOOKUP('Données projet'!$B$14,Paramètres!$A$1:$I$89,3,0)*0.475*44/12</f>
        <v>8.0963793298652833E-11</v>
      </c>
      <c r="ED104" s="22">
        <f t="shared" si="72"/>
        <v>71.20472185564644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477.9999999999996</v>
      </c>
      <c r="EK104" s="17">
        <f>EJ104*VLOOKUP('Données projet'!$B$15,Paramètres!$A$1:$I$89,3,0)*VLOOKUP('Données projet'!$B$15,Paramètres!$A$1:$I$89,5,0)</f>
        <v>285.84399999999977</v>
      </c>
      <c r="EL104" s="13">
        <f t="shared" si="99"/>
        <v>68.200525419065656</v>
      </c>
      <c r="EM104" s="20">
        <f t="shared" si="73"/>
        <v>616.62754843820551</v>
      </c>
      <c r="EN104" s="59">
        <f t="shared" si="74"/>
        <v>909.96088177153888</v>
      </c>
      <c r="EO104" s="59">
        <f ca="1">AVERAGE(OFFSET($EN$3,0,0,'Données projet'!$E$15+1,1))-AVERAGE(OFFSET($H$3,0,0,'Données projet'!$E$15+1,1))</f>
        <v>288.41846134875794</v>
      </c>
      <c r="EP104" s="59">
        <f t="shared" si="100"/>
        <v>248.93951719818972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47.379777226955838</v>
      </c>
      <c r="EW104" s="21">
        <f>EXP(-LN(2)/25)*EW103+(1-EXP(-LN(2)/25))/(LN(2)/25)*Calculateur!ER104*Calculateur!ET104*VLOOKUP('Données projet'!$B$15,Paramètres!$A$1:$I$89,3,0)*0.475*44/12</f>
        <v>3.9014159125698922</v>
      </c>
      <c r="EX104" s="21">
        <f>EXP(-LN(2)/2)*EX103+(1-EXP(-LN(2)/2))/(LN(2)/2)*ER104*EU104*VLOOKUP('Données projet'!$B$15,Paramètres!$A$1:$I$89,3,0)*0.475*44/12</f>
        <v>1.001497189382326E-11</v>
      </c>
      <c r="EY104" s="22">
        <f t="shared" si="75"/>
        <v>51.281193139535745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789.00000000000045</v>
      </c>
      <c r="FF104" s="17">
        <f>FE104*VLOOKUP('Données projet'!$B$16,Paramètres!$A$1:$I$89,3,0)*VLOOKUP('Données projet'!$B$16,Paramètres!$A$1:$I$89,5,0)</f>
        <v>358.99500000000023</v>
      </c>
      <c r="FG104" s="13">
        <f t="shared" si="101"/>
        <v>83.411930940690553</v>
      </c>
      <c r="FH104" s="20">
        <f t="shared" si="76"/>
        <v>770.52540472170313</v>
      </c>
      <c r="FI104" s="59">
        <f t="shared" si="77"/>
        <v>1063.8587380550364</v>
      </c>
      <c r="FJ104" s="59">
        <f ca="1">AVERAGE(OFFSET($FI$3,0,0,'Données projet'!$E$16+1,1))-AVERAGE(OFFSET($H$3,0,0,'Données projet'!$E$16+1,1))</f>
        <v>367.36535411813264</v>
      </c>
      <c r="FK104" s="59">
        <f t="shared" si="102"/>
        <v>293.19545174980556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57.89242436060853</v>
      </c>
      <c r="FR104" s="21">
        <f>EXP(-LN(2)/25)*FR103+(1-EXP(-LN(2)/25))/(LN(2)/25)*Calculateur!FM104*Calculateur!FO104*VLOOKUP('Données projet'!$B$16,Paramètres!$A$1:$I$89,3,0)*0.475*44/12</f>
        <v>6.0468805408188748</v>
      </c>
      <c r="FS104" s="21">
        <f>EXP(-LN(2)/2)*FS103+(1-EXP(-LN(2)/2))/(LN(2)/2)*FM104*FP104*VLOOKUP('Données projet'!$B$16,Paramètres!$A$1:$I$89,3,0)*0.475*44/12</f>
        <v>1.4908866477099749E-11</v>
      </c>
      <c r="FT104" s="22">
        <f t="shared" si="78"/>
        <v>63.939304901442313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669.99999999999989</v>
      </c>
      <c r="GA104" s="17">
        <f>FZ104*VLOOKUP('Données projet'!$B$17,Paramètres!$A$1:$I$89,3,0)*VLOOKUP('Données projet'!$B$17,Paramètres!$A$1:$I$89,5,0)</f>
        <v>322.26999999999992</v>
      </c>
      <c r="GB104" s="13">
        <f t="shared" si="103"/>
        <v>75.825476822885776</v>
      </c>
      <c r="GC104" s="20">
        <f t="shared" si="79"/>
        <v>693.34962213319261</v>
      </c>
      <c r="GD104" s="59">
        <f t="shared" si="80"/>
        <v>986.68295546652598</v>
      </c>
      <c r="GE104" s="59">
        <f ca="1">AVERAGE(OFFSET($GD$3,0,0,'Données projet'!$E$17+1,1))-AVERAGE(OFFSET($H$3,0,0,'Données projet'!$E$17+1,1))</f>
        <v>312.64506496298173</v>
      </c>
      <c r="GF104" s="59">
        <f t="shared" si="104"/>
        <v>259.97532509897508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74.733669714412841</v>
      </c>
      <c r="GM104" s="21">
        <f>EXP(-LN(2)/25)*GM103+(1-EXP(-LN(2)/25))/(LN(2)/25)*Calculateur!GH104*Calculateur!GJ104*VLOOKUP('Données projet'!$B$17,Paramètres!$A$1:$I$89,3,0)*0.475*44/12</f>
        <v>2.7339187497647299</v>
      </c>
      <c r="GN104" s="21">
        <f>EXP(-LN(2)/2)*GN103+(1-EXP(-LN(2)/2))/(LN(2)/2)*GH104*GK104*VLOOKUP('Données projet'!$B$17,Paramètres!$A$1:$I$89,3,0)*0.475*44/12</f>
        <v>7.9250273863760239E-11</v>
      </c>
      <c r="GO104" s="21">
        <f t="shared" si="81"/>
        <v>77.467588464256821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4.5999999999999996</v>
      </c>
      <c r="GU104" s="12">
        <f>IF('Données projet'!$A$270&gt;35,GU103+GT104-HC103,IF(A104&lt;'Données projet'!$A$270,$GR$205^A104,IF(A104='Données projet'!$A$270,'Données projet'!$B$270,GU103+GT104-HC103)))</f>
        <v>265.59999999999991</v>
      </c>
      <c r="GV104" s="17">
        <f>GU104*VLOOKUP('Données projet'!$B$18,Paramètres!$A$1:$I$89,3,0)*VLOOKUP('Données projet'!$B$18,Paramètres!$A$1:$I$89,5,0)</f>
        <v>269.31839999999994</v>
      </c>
      <c r="GW104" s="13">
        <f t="shared" si="105"/>
        <v>64.70459529265311</v>
      </c>
      <c r="GX104" s="20">
        <f t="shared" si="82"/>
        <v>581.75671680137077</v>
      </c>
      <c r="GY104" s="59">
        <f t="shared" si="83"/>
        <v>875.09005013470414</v>
      </c>
      <c r="GZ104" s="59">
        <f ca="1">AVERAGE(OFFSET($GY$3,0,0,'Données projet'!$E$18+1,1))-AVERAGE(OFFSET($H$3,0,0,'Données projet'!$E$18+1,1))</f>
        <v>308.80022073574963</v>
      </c>
      <c r="HA104" s="59">
        <f t="shared" si="106"/>
        <v>183.96267407004115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78.946072251787001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78.946072251787001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344.49457749226184</v>
      </c>
      <c r="T105" s="59">
        <f t="shared" si="88"/>
        <v>207.92972431357452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3.2</v>
      </c>
      <c r="AI105" s="13">
        <f>IF('Données projet'!$A$62&gt;35,AI104+AH105-AQ104,IF(A105&lt;'Données projet'!$A$62,$AF$205^A105,IF(A105='Données projet'!$A$62,'Données projet'!$B$62,AI104+AH105-AQ104)))</f>
        <v>208.39999999999995</v>
      </c>
      <c r="AJ105" s="13">
        <f>AI105*VLOOKUP('Données projet'!$B$10,Paramètres!$A$1:$I$89,3,0)*VLOOKUP('Données projet'!$B$10,Paramètres!$A$1:$I$89,5,0)</f>
        <v>188.56031999999993</v>
      </c>
      <c r="AK105" s="13">
        <f t="shared" si="89"/>
        <v>47.221519280638212</v>
      </c>
      <c r="AL105" s="20">
        <f t="shared" si="58"/>
        <v>410.65337008044474</v>
      </c>
      <c r="AM105" s="59">
        <f t="shared" si="59"/>
        <v>703.98670341377806</v>
      </c>
      <c r="AN105" s="59">
        <f ca="1">AVERAGE(OFFSET($AM$3,0,0,'Données projet'!$E$10+1,1))-AVERAGE(OFFSET($H$3,0,0,'Données projet'!$E$10+1,1))</f>
        <v>183.0147113277086</v>
      </c>
      <c r="AO105" s="59">
        <f t="shared" si="90"/>
        <v>76.413905647258389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45.927773404965983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45.927773404965983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253.79640000000001</v>
      </c>
      <c r="BF105" s="13">
        <f t="shared" si="91"/>
        <v>61.39816832228076</v>
      </c>
      <c r="BG105" s="20">
        <f t="shared" si="61"/>
        <v>548.96387316130563</v>
      </c>
      <c r="BH105" s="59">
        <f t="shared" si="62"/>
        <v>842.29720649463889</v>
      </c>
      <c r="BI105" s="59">
        <f ca="1">AVERAGE(OFFSET($BH$3,0,0,'Données projet'!$E$11+1,1))-AVERAGE(OFFSET($H$3,0,0,'Données projet'!$E$11+1,1))</f>
        <v>279.49721661620544</v>
      </c>
      <c r="BJ105" s="59">
        <f t="shared" si="92"/>
        <v>275.18739333988754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34.390097783276417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34.390097783276417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754.68411025369562</v>
      </c>
      <c r="CD105" s="59">
        <f ca="1">AVERAGE(OFFSET($CC$3,0,0,'Données projet'!$E$12+1,1))-AVERAGE(OFFSET($H$3,0,0,'Données projet'!$E$12+1,1))</f>
        <v>225.2323446080772</v>
      </c>
      <c r="CE105" s="59">
        <f t="shared" si="94"/>
        <v>222.29030402759292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28.063286771413416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28.063286771413416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213.00000000000003</v>
      </c>
      <c r="CU105" s="17">
        <f>CT105*VLOOKUP('Données projet'!$B$13,Paramètres!$A$1:$I$89,3,0)*VLOOKUP('Données projet'!$B$13,Paramètres!$A$1:$I$89,5,0)</f>
        <v>229.2732</v>
      </c>
      <c r="CV105" s="13">
        <f t="shared" si="95"/>
        <v>56.125501442527366</v>
      </c>
      <c r="CW105" s="20">
        <f t="shared" si="67"/>
        <v>497.06940501240177</v>
      </c>
      <c r="CX105" s="59">
        <f t="shared" si="68"/>
        <v>790.40273834573509</v>
      </c>
      <c r="CY105" s="59">
        <f ca="1">AVERAGE(OFFSET($CX$3,0,0,'Données projet'!$E$13+1,1))-AVERAGE(OFFSET($H$3,0,0,'Données projet'!$E$13+1,1))</f>
        <v>240.57184010337932</v>
      </c>
      <c r="CZ105" s="59">
        <f t="shared" si="96"/>
        <v>236.36473521227072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23.798409409869546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23.798409409869546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670.99999999999977</v>
      </c>
      <c r="DP105" s="17">
        <f>DO105*VLOOKUP('Données projet'!$B$14,Paramètres!$A$1:$I$89,3,0)*VLOOKUP('Données projet'!$B$14,Paramètres!$A$1:$I$89,5,0)</f>
        <v>314.02799999999991</v>
      </c>
      <c r="DQ105" s="13">
        <f t="shared" si="97"/>
        <v>74.109403804428752</v>
      </c>
      <c r="DR105" s="20">
        <f t="shared" si="70"/>
        <v>676.00597829271317</v>
      </c>
      <c r="DS105" s="59">
        <f t="shared" si="71"/>
        <v>969.33931162604654</v>
      </c>
      <c r="DT105" s="59">
        <f ca="1">AVERAGE(OFFSET($DS$3,0,0,'Données projet'!$E$14+1,1))-AVERAGE(OFFSET($H$3,0,0,'Données projet'!$E$14+1,1))</f>
        <v>304.29617570272939</v>
      </c>
      <c r="DU105" s="59">
        <f t="shared" si="98"/>
        <v>246.20695736161576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64.204920069223164</v>
      </c>
      <c r="EB105" s="21">
        <f>EXP(-LN(2)/25)*EB104+(1-EXP(-LN(2)/25))/(LN(2)/25)*Calculateur!DW105*Calculateur!DY105*VLOOKUP('Données projet'!$B$14,Paramètres!$A$1:$I$89,3,0)*0.475*44/12</f>
        <v>5.5593066682006951</v>
      </c>
      <c r="EC105" s="21">
        <f>EXP(-LN(2)/2)*EC104+(1-EXP(-LN(2)/2))/(LN(2)/2)*DW105*DZ105*VLOOKUP('Données projet'!$B$14,Paramètres!$A$1:$I$89,3,0)*0.475*44/12</f>
        <v>5.7250047272063378E-11</v>
      </c>
      <c r="ED105" s="22">
        <f t="shared" si="72"/>
        <v>69.76422673748111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477.9999999999996</v>
      </c>
      <c r="EK105" s="17">
        <f>EJ105*VLOOKUP('Données projet'!$B$15,Paramètres!$A$1:$I$89,3,0)*VLOOKUP('Données projet'!$B$15,Paramètres!$A$1:$I$89,5,0)</f>
        <v>285.84399999999977</v>
      </c>
      <c r="EL105" s="13">
        <f t="shared" si="99"/>
        <v>68.200525419065656</v>
      </c>
      <c r="EM105" s="20">
        <f t="shared" si="73"/>
        <v>616.62754843820551</v>
      </c>
      <c r="EN105" s="59">
        <f t="shared" si="74"/>
        <v>909.96088177153888</v>
      </c>
      <c r="EO105" s="59">
        <f ca="1">AVERAGE(OFFSET($EN$3,0,0,'Données projet'!$E$15+1,1))-AVERAGE(OFFSET($H$3,0,0,'Données projet'!$E$15+1,1))</f>
        <v>288.41846134875794</v>
      </c>
      <c r="EP105" s="59">
        <f t="shared" si="100"/>
        <v>248.93951719818972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46.450688694345821</v>
      </c>
      <c r="EW105" s="21">
        <f>EXP(-LN(2)/25)*EW104+(1-EXP(-LN(2)/25))/(LN(2)/25)*Calculateur!ER105*Calculateur!ET105*VLOOKUP('Données projet'!$B$15,Paramètres!$A$1:$I$89,3,0)*0.475*44/12</f>
        <v>3.7947314892741226</v>
      </c>
      <c r="EX105" s="21">
        <f>EXP(-LN(2)/2)*EX104+(1-EXP(-LN(2)/2))/(LN(2)/2)*ER105*EU105*VLOOKUP('Données projet'!$B$15,Paramètres!$A$1:$I$89,3,0)*0.475*44/12</f>
        <v>7.0816545395151077E-12</v>
      </c>
      <c r="EY105" s="22">
        <f t="shared" si="75"/>
        <v>50.245420183627026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789.00000000000045</v>
      </c>
      <c r="FF105" s="17">
        <f>FE105*VLOOKUP('Données projet'!$B$16,Paramètres!$A$1:$I$89,3,0)*VLOOKUP('Données projet'!$B$16,Paramètres!$A$1:$I$89,5,0)</f>
        <v>358.99500000000023</v>
      </c>
      <c r="FG105" s="13">
        <f t="shared" si="101"/>
        <v>83.411930940690553</v>
      </c>
      <c r="FH105" s="20">
        <f t="shared" si="76"/>
        <v>770.52540472170313</v>
      </c>
      <c r="FI105" s="59">
        <f t="shared" si="77"/>
        <v>1063.8587380550364</v>
      </c>
      <c r="FJ105" s="59">
        <f ca="1">AVERAGE(OFFSET($FI$3,0,0,'Données projet'!$E$16+1,1))-AVERAGE(OFFSET($H$3,0,0,'Données projet'!$E$16+1,1))</f>
        <v>367.36535411813264</v>
      </c>
      <c r="FK105" s="59">
        <f t="shared" si="102"/>
        <v>293.19545174980556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56.757189229789198</v>
      </c>
      <c r="FR105" s="21">
        <f>EXP(-LN(2)/25)*FR104+(1-EXP(-LN(2)/25))/(LN(2)/25)*Calculateur!FM105*Calculateur!FO105*VLOOKUP('Données projet'!$B$16,Paramètres!$A$1:$I$89,3,0)*0.475*44/12</f>
        <v>5.8815282744385557</v>
      </c>
      <c r="FS105" s="21">
        <f>EXP(-LN(2)/2)*FS104+(1-EXP(-LN(2)/2))/(LN(2)/2)*FM105*FP105*VLOOKUP('Données projet'!$B$16,Paramètres!$A$1:$I$89,3,0)*0.475*44/12</f>
        <v>1.0542160585762026E-11</v>
      </c>
      <c r="FT105" s="22">
        <f t="shared" si="78"/>
        <v>62.638717504238301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669.99999999999989</v>
      </c>
      <c r="GA105" s="17">
        <f>FZ105*VLOOKUP('Données projet'!$B$17,Paramètres!$A$1:$I$89,3,0)*VLOOKUP('Données projet'!$B$17,Paramètres!$A$1:$I$89,5,0)</f>
        <v>322.26999999999992</v>
      </c>
      <c r="GB105" s="13">
        <f t="shared" si="103"/>
        <v>75.825476822885776</v>
      </c>
      <c r="GC105" s="20">
        <f t="shared" si="79"/>
        <v>693.34962213319261</v>
      </c>
      <c r="GD105" s="59">
        <f t="shared" si="80"/>
        <v>986.68295546652598</v>
      </c>
      <c r="GE105" s="59">
        <f ca="1">AVERAGE(OFFSET($GD$3,0,0,'Données projet'!$E$17+1,1))-AVERAGE(OFFSET($H$3,0,0,'Données projet'!$E$17+1,1))</f>
        <v>312.64506496298173</v>
      </c>
      <c r="GF105" s="59">
        <f t="shared" si="104"/>
        <v>259.97532509897508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73.268188034350786</v>
      </c>
      <c r="GM105" s="21">
        <f>EXP(-LN(2)/25)*GM104+(1-EXP(-LN(2)/25))/(LN(2)/25)*Calculateur!GH105*Calculateur!GJ105*VLOOKUP('Données projet'!$B$17,Paramètres!$A$1:$I$89,3,0)*0.475*44/12</f>
        <v>2.6591595977818749</v>
      </c>
      <c r="GN105" s="21">
        <f>EXP(-LN(2)/2)*GN104+(1-EXP(-LN(2)/2))/(LN(2)/2)*GH105*GK105*VLOOKUP('Données projet'!$B$17,Paramètres!$A$1:$I$89,3,0)*0.475*44/12</f>
        <v>5.6038406059955878E-11</v>
      </c>
      <c r="GO105" s="21">
        <f t="shared" si="81"/>
        <v>75.927347632188699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4.5999999999999996</v>
      </c>
      <c r="GU105" s="12">
        <f>IF('Données projet'!$A$270&gt;35,GU104+GT105-HC104,IF(A105&lt;'Données projet'!$A$270,$GR$205^A105,IF(A105='Données projet'!$A$270,'Données projet'!$B$270,GU104+GT105-HC104)))</f>
        <v>270.19999999999993</v>
      </c>
      <c r="GV105" s="17">
        <f>GU105*VLOOKUP('Données projet'!$B$18,Paramètres!$A$1:$I$89,3,0)*VLOOKUP('Données projet'!$B$18,Paramètres!$A$1:$I$89,5,0)</f>
        <v>273.98279999999994</v>
      </c>
      <c r="GW105" s="13">
        <f t="shared" si="105"/>
        <v>65.693798259477774</v>
      </c>
      <c r="GX105" s="20">
        <f t="shared" si="82"/>
        <v>591.6034086352571</v>
      </c>
      <c r="GY105" s="59">
        <f t="shared" si="83"/>
        <v>884.93674196859047</v>
      </c>
      <c r="GZ105" s="59">
        <f ca="1">AVERAGE(OFFSET($GY$3,0,0,'Données projet'!$E$18+1,1))-AVERAGE(OFFSET($H$3,0,0,'Données projet'!$E$18+1,1))</f>
        <v>308.80022073574963</v>
      </c>
      <c r="HA105" s="59">
        <f t="shared" si="106"/>
        <v>183.96267407004115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77.397987927278876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77.397987927278876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344.49457749226184</v>
      </c>
      <c r="T106" s="59">
        <f t="shared" si="88"/>
        <v>207.92972431357452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3.2</v>
      </c>
      <c r="AI106" s="13">
        <f>IF('Données projet'!$A$62&gt;35,AI105+AH106-AQ105,IF(A106&lt;'Données projet'!$A$62,$AF$205^A106,IF(A106='Données projet'!$A$62,'Données projet'!$B$62,AI105+AH106-AQ105)))</f>
        <v>211.59999999999994</v>
      </c>
      <c r="AJ106" s="13">
        <f>AI106*VLOOKUP('Données projet'!$B$10,Paramètres!$A$1:$I$89,3,0)*VLOOKUP('Données projet'!$B$10,Paramètres!$A$1:$I$89,5,0)</f>
        <v>191.45567999999994</v>
      </c>
      <c r="AK106" s="13">
        <f t="shared" si="89"/>
        <v>47.861639935303188</v>
      </c>
      <c r="AL106" s="20">
        <f t="shared" si="58"/>
        <v>416.81099888731961</v>
      </c>
      <c r="AM106" s="59">
        <f t="shared" si="59"/>
        <v>710.14433222065293</v>
      </c>
      <c r="AN106" s="59">
        <f ca="1">AVERAGE(OFFSET($AM$3,0,0,'Données projet'!$E$10+1,1))-AVERAGE(OFFSET($H$3,0,0,'Données projet'!$E$10+1,1))</f>
        <v>183.0147113277086</v>
      </c>
      <c r="AO106" s="59">
        <f t="shared" si="90"/>
        <v>76.413905647258389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45.027157781670304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45.027157781670304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253.79640000000001</v>
      </c>
      <c r="BF106" s="13">
        <f t="shared" si="91"/>
        <v>61.39816832228076</v>
      </c>
      <c r="BG106" s="20">
        <f t="shared" si="61"/>
        <v>548.96387316130563</v>
      </c>
      <c r="BH106" s="59">
        <f t="shared" si="62"/>
        <v>842.29720649463889</v>
      </c>
      <c r="BI106" s="59">
        <f ca="1">AVERAGE(OFFSET($BH$3,0,0,'Données projet'!$E$11+1,1))-AVERAGE(OFFSET($H$3,0,0,'Données projet'!$E$11+1,1))</f>
        <v>279.49721661620544</v>
      </c>
      <c r="BJ106" s="59">
        <f t="shared" si="92"/>
        <v>275.18739333988754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33.715728941634815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33.715728941634815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754.68411025369562</v>
      </c>
      <c r="CD106" s="59">
        <f ca="1">AVERAGE(OFFSET($CC$3,0,0,'Données projet'!$E$12+1,1))-AVERAGE(OFFSET($H$3,0,0,'Données projet'!$E$12+1,1))</f>
        <v>225.2323446080772</v>
      </c>
      <c r="CE106" s="59">
        <f t="shared" si="94"/>
        <v>222.29030402759292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27.512982834740775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27.512982834740775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213.00000000000003</v>
      </c>
      <c r="CU106" s="17">
        <f>CT106*VLOOKUP('Données projet'!$B$13,Paramètres!$A$1:$I$89,3,0)*VLOOKUP('Données projet'!$B$13,Paramètres!$A$1:$I$89,5,0)</f>
        <v>229.2732</v>
      </c>
      <c r="CV106" s="13">
        <f t="shared" si="95"/>
        <v>56.125501442527366</v>
      </c>
      <c r="CW106" s="20">
        <f t="shared" si="67"/>
        <v>497.06940501240177</v>
      </c>
      <c r="CX106" s="59">
        <f t="shared" si="68"/>
        <v>790.40273834573509</v>
      </c>
      <c r="CY106" s="59">
        <f ca="1">AVERAGE(OFFSET($CX$3,0,0,'Données projet'!$E$13+1,1))-AVERAGE(OFFSET($H$3,0,0,'Données projet'!$E$13+1,1))</f>
        <v>240.57184010337932</v>
      </c>
      <c r="CZ106" s="59">
        <f t="shared" si="96"/>
        <v>236.36473521227072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23.331737116938449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23.331737116938449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670.99999999999977</v>
      </c>
      <c r="DP106" s="17">
        <f>DO106*VLOOKUP('Données projet'!$B$14,Paramètres!$A$1:$I$89,3,0)*VLOOKUP('Données projet'!$B$14,Paramètres!$A$1:$I$89,5,0)</f>
        <v>314.02799999999991</v>
      </c>
      <c r="DQ106" s="13">
        <f t="shared" si="97"/>
        <v>74.109403804428752</v>
      </c>
      <c r="DR106" s="20">
        <f t="shared" si="70"/>
        <v>676.00597829271317</v>
      </c>
      <c r="DS106" s="59">
        <f t="shared" si="71"/>
        <v>969.33931162604654</v>
      </c>
      <c r="DT106" s="59">
        <f ca="1">AVERAGE(OFFSET($DS$3,0,0,'Données projet'!$E$14+1,1))-AVERAGE(OFFSET($H$3,0,0,'Données projet'!$E$14+1,1))</f>
        <v>304.29617570272939</v>
      </c>
      <c r="DU106" s="59">
        <f t="shared" si="98"/>
        <v>246.20695736161576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62.945900747800096</v>
      </c>
      <c r="EB106" s="21">
        <f>EXP(-LN(2)/25)*EB105+(1-EXP(-LN(2)/25))/(LN(2)/25)*Calculateur!DW106*Calculateur!DY106*VLOOKUP('Données projet'!$B$14,Paramètres!$A$1:$I$89,3,0)*0.475*44/12</f>
        <v>5.4072871350075156</v>
      </c>
      <c r="EC106" s="21">
        <f>EXP(-LN(2)/2)*EC105+(1-EXP(-LN(2)/2))/(LN(2)/2)*DW106*DZ106*VLOOKUP('Données projet'!$B$14,Paramètres!$A$1:$I$89,3,0)*0.475*44/12</f>
        <v>4.0481896649326423E-11</v>
      </c>
      <c r="ED106" s="22">
        <f t="shared" si="72"/>
        <v>68.353187882848104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477.9999999999996</v>
      </c>
      <c r="EK106" s="17">
        <f>EJ106*VLOOKUP('Données projet'!$B$15,Paramètres!$A$1:$I$89,3,0)*VLOOKUP('Données projet'!$B$15,Paramètres!$A$1:$I$89,5,0)</f>
        <v>285.84399999999977</v>
      </c>
      <c r="EL106" s="13">
        <f t="shared" si="99"/>
        <v>68.200525419065656</v>
      </c>
      <c r="EM106" s="20">
        <f t="shared" si="73"/>
        <v>616.62754843820551</v>
      </c>
      <c r="EN106" s="59">
        <f t="shared" si="74"/>
        <v>909.96088177153888</v>
      </c>
      <c r="EO106" s="59">
        <f ca="1">AVERAGE(OFFSET($EN$3,0,0,'Données projet'!$E$15+1,1))-AVERAGE(OFFSET($H$3,0,0,'Données projet'!$E$15+1,1))</f>
        <v>288.41846134875794</v>
      </c>
      <c r="EP106" s="59">
        <f t="shared" si="100"/>
        <v>248.93951719818972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45.539819021172235</v>
      </c>
      <c r="EW106" s="21">
        <f>EXP(-LN(2)/25)*EW105+(1-EXP(-LN(2)/25))/(LN(2)/25)*Calculateur!ER106*Calculateur!ET106*VLOOKUP('Données projet'!$B$15,Paramètres!$A$1:$I$89,3,0)*0.475*44/12</f>
        <v>3.6909643571436659</v>
      </c>
      <c r="EX106" s="21">
        <f>EXP(-LN(2)/2)*EX105+(1-EXP(-LN(2)/2))/(LN(2)/2)*ER106*EU106*VLOOKUP('Données projet'!$B$15,Paramètres!$A$1:$I$89,3,0)*0.475*44/12</f>
        <v>5.0074859469116309E-12</v>
      </c>
      <c r="EY106" s="22">
        <f t="shared" si="75"/>
        <v>49.230783378320908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789.00000000000045</v>
      </c>
      <c r="FF106" s="17">
        <f>FE106*VLOOKUP('Données projet'!$B$16,Paramètres!$A$1:$I$89,3,0)*VLOOKUP('Données projet'!$B$16,Paramètres!$A$1:$I$89,5,0)</f>
        <v>358.99500000000023</v>
      </c>
      <c r="FG106" s="13">
        <f t="shared" si="101"/>
        <v>83.411930940690553</v>
      </c>
      <c r="FH106" s="20">
        <f t="shared" si="76"/>
        <v>770.52540472170313</v>
      </c>
      <c r="FI106" s="59">
        <f t="shared" si="77"/>
        <v>1063.8587380550364</v>
      </c>
      <c r="FJ106" s="59">
        <f ca="1">AVERAGE(OFFSET($FI$3,0,0,'Données projet'!$E$16+1,1))-AVERAGE(OFFSET($H$3,0,0,'Données projet'!$E$16+1,1))</f>
        <v>367.36535411813264</v>
      </c>
      <c r="FK106" s="59">
        <f t="shared" si="102"/>
        <v>293.19545174980556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55.64421536746017</v>
      </c>
      <c r="FR106" s="21">
        <f>EXP(-LN(2)/25)*FR105+(1-EXP(-LN(2)/25))/(LN(2)/25)*Calculateur!FM106*Calculateur!FO106*VLOOKUP('Données projet'!$B$16,Paramètres!$A$1:$I$89,3,0)*0.475*44/12</f>
        <v>5.7206975744779038</v>
      </c>
      <c r="FS106" s="21">
        <f>EXP(-LN(2)/2)*FS105+(1-EXP(-LN(2)/2))/(LN(2)/2)*FM106*FP106*VLOOKUP('Données projet'!$B$16,Paramètres!$A$1:$I$89,3,0)*0.475*44/12</f>
        <v>7.4544332385498744E-12</v>
      </c>
      <c r="FT106" s="22">
        <f t="shared" si="78"/>
        <v>61.364912941945526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669.99999999999989</v>
      </c>
      <c r="GA106" s="17">
        <f>FZ106*VLOOKUP('Données projet'!$B$17,Paramètres!$A$1:$I$89,3,0)*VLOOKUP('Données projet'!$B$17,Paramètres!$A$1:$I$89,5,0)</f>
        <v>322.26999999999992</v>
      </c>
      <c r="GB106" s="13">
        <f t="shared" si="103"/>
        <v>75.825476822885776</v>
      </c>
      <c r="GC106" s="20">
        <f t="shared" si="79"/>
        <v>693.34962213319261</v>
      </c>
      <c r="GD106" s="59">
        <f t="shared" si="80"/>
        <v>986.68295546652598</v>
      </c>
      <c r="GE106" s="59">
        <f ca="1">AVERAGE(OFFSET($GD$3,0,0,'Données projet'!$E$17+1,1))-AVERAGE(OFFSET($H$3,0,0,'Données projet'!$E$17+1,1))</f>
        <v>312.64506496298173</v>
      </c>
      <c r="GF106" s="59">
        <f t="shared" si="104"/>
        <v>259.97532509897508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71.831443556179181</v>
      </c>
      <c r="GM106" s="21">
        <f>EXP(-LN(2)/25)*GM105+(1-EXP(-LN(2)/25))/(LN(2)/25)*Calculateur!GH106*Calculateur!GJ106*VLOOKUP('Données projet'!$B$17,Paramètres!$A$1:$I$89,3,0)*0.475*44/12</f>
        <v>2.5864447387414038</v>
      </c>
      <c r="GN106" s="21">
        <f>EXP(-LN(2)/2)*GN105+(1-EXP(-LN(2)/2))/(LN(2)/2)*GH106*GK106*VLOOKUP('Données projet'!$B$17,Paramètres!$A$1:$I$89,3,0)*0.475*44/12</f>
        <v>3.962513693188012E-11</v>
      </c>
      <c r="GO106" s="21">
        <f t="shared" si="81"/>
        <v>74.417888294960207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4.5999999999999996</v>
      </c>
      <c r="GU106" s="12">
        <f>IF('Données projet'!$A$270&gt;35,GU105+GT106-HC105,IF(A106&lt;'Données projet'!$A$270,$GR$205^A106,IF(A106='Données projet'!$A$270,'Données projet'!$B$270,GU105+GT106-HC105)))</f>
        <v>274.79999999999995</v>
      </c>
      <c r="GV106" s="17">
        <f>GU106*VLOOKUP('Données projet'!$B$18,Paramètres!$A$1:$I$89,3,0)*VLOOKUP('Données projet'!$B$18,Paramètres!$A$1:$I$89,5,0)</f>
        <v>278.6472</v>
      </c>
      <c r="GW106" s="13">
        <f t="shared" si="105"/>
        <v>66.681042819901123</v>
      </c>
      <c r="GX106" s="20">
        <f t="shared" si="82"/>
        <v>601.44668957799445</v>
      </c>
      <c r="GY106" s="59">
        <f t="shared" si="83"/>
        <v>894.78002291132771</v>
      </c>
      <c r="GZ106" s="59">
        <f ca="1">AVERAGE(OFFSET($GY$3,0,0,'Données projet'!$E$18+1,1))-AVERAGE(OFFSET($H$3,0,0,'Données projet'!$E$18+1,1))</f>
        <v>308.80022073574963</v>
      </c>
      <c r="HA106" s="59">
        <f t="shared" si="106"/>
        <v>183.96267407004115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75.880260592136153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75.880260592136153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344.49457749226184</v>
      </c>
      <c r="T107" s="59">
        <f t="shared" si="88"/>
        <v>207.92972431357452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3.2</v>
      </c>
      <c r="AI107" s="13">
        <f>IF('Données projet'!$A$62&gt;35,AI106+AH107-AQ106,IF(A107&lt;'Données projet'!$A$62,$AF$205^A107,IF(A107='Données projet'!$A$62,'Données projet'!$B$62,AI106+AH107-AQ106)))</f>
        <v>214.79999999999993</v>
      </c>
      <c r="AJ107" s="13">
        <f>AI107*VLOOKUP('Données projet'!$B$10,Paramètres!$A$1:$I$89,3,0)*VLOOKUP('Données projet'!$B$10,Paramètres!$A$1:$I$89,5,0)</f>
        <v>194.35103999999993</v>
      </c>
      <c r="AK107" s="13">
        <f t="shared" si="89"/>
        <v>48.500634729810159</v>
      </c>
      <c r="AL107" s="20">
        <f t="shared" si="58"/>
        <v>422.96666682108594</v>
      </c>
      <c r="AM107" s="59">
        <f t="shared" si="59"/>
        <v>716.30000015441919</v>
      </c>
      <c r="AN107" s="59">
        <f ca="1">AVERAGE(OFFSET($AM$3,0,0,'Données projet'!$E$10+1,1))-AVERAGE(OFFSET($H$3,0,0,'Données projet'!$E$10+1,1))</f>
        <v>183.0147113277086</v>
      </c>
      <c r="AO107" s="59">
        <f t="shared" si="90"/>
        <v>76.413905647258389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44.144202681426165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44.144202681426165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253.79640000000001</v>
      </c>
      <c r="BF107" s="13">
        <f t="shared" si="91"/>
        <v>61.39816832228076</v>
      </c>
      <c r="BG107" s="20">
        <f t="shared" si="61"/>
        <v>548.96387316130563</v>
      </c>
      <c r="BH107" s="59">
        <f t="shared" si="62"/>
        <v>842.29720649463889</v>
      </c>
      <c r="BI107" s="59">
        <f ca="1">AVERAGE(OFFSET($BH$3,0,0,'Données projet'!$E$11+1,1))-AVERAGE(OFFSET($H$3,0,0,'Données projet'!$E$11+1,1))</f>
        <v>279.49721661620544</v>
      </c>
      <c r="BJ107" s="59">
        <f t="shared" si="92"/>
        <v>275.18739333988754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33.054584061653429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33.054584061653429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754.68411025369562</v>
      </c>
      <c r="CD107" s="59">
        <f ca="1">AVERAGE(OFFSET($CC$3,0,0,'Données projet'!$E$12+1,1))-AVERAGE(OFFSET($H$3,0,0,'Données projet'!$E$12+1,1))</f>
        <v>225.2323446080772</v>
      </c>
      <c r="CE107" s="59">
        <f t="shared" si="94"/>
        <v>222.29030402759292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26.973470022614027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26.973470022614027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213.00000000000003</v>
      </c>
      <c r="CU107" s="17">
        <f>CT107*VLOOKUP('Données projet'!$B$13,Paramètres!$A$1:$I$89,3,0)*VLOOKUP('Données projet'!$B$13,Paramètres!$A$1:$I$89,5,0)</f>
        <v>229.2732</v>
      </c>
      <c r="CV107" s="13">
        <f t="shared" si="95"/>
        <v>56.125501442527366</v>
      </c>
      <c r="CW107" s="20">
        <f t="shared" si="67"/>
        <v>497.06940501240177</v>
      </c>
      <c r="CX107" s="59">
        <f t="shared" si="68"/>
        <v>790.40273834573509</v>
      </c>
      <c r="CY107" s="59">
        <f ca="1">AVERAGE(OFFSET($CX$3,0,0,'Données projet'!$E$13+1,1))-AVERAGE(OFFSET($H$3,0,0,'Données projet'!$E$13+1,1))</f>
        <v>240.57184010337932</v>
      </c>
      <c r="CZ107" s="59">
        <f t="shared" si="96"/>
        <v>236.36473521227072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22.874215983029735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22.874215983029735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670.99999999999977</v>
      </c>
      <c r="DP107" s="17">
        <f>DO107*VLOOKUP('Données projet'!$B$14,Paramètres!$A$1:$I$89,3,0)*VLOOKUP('Données projet'!$B$14,Paramètres!$A$1:$I$89,5,0)</f>
        <v>314.02799999999991</v>
      </c>
      <c r="DQ107" s="13">
        <f t="shared" si="97"/>
        <v>74.109403804428752</v>
      </c>
      <c r="DR107" s="20">
        <f t="shared" si="70"/>
        <v>676.00597829271317</v>
      </c>
      <c r="DS107" s="59">
        <f t="shared" si="71"/>
        <v>969.33931162604654</v>
      </c>
      <c r="DT107" s="59">
        <f ca="1">AVERAGE(OFFSET($DS$3,0,0,'Données projet'!$E$14+1,1))-AVERAGE(OFFSET($H$3,0,0,'Données projet'!$E$14+1,1))</f>
        <v>304.29617570272939</v>
      </c>
      <c r="DU107" s="59">
        <f t="shared" si="98"/>
        <v>246.20695736161576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61.71157002734418</v>
      </c>
      <c r="EB107" s="21">
        <f>EXP(-LN(2)/25)*EB106+(1-EXP(-LN(2)/25))/(LN(2)/25)*Calculateur!DW107*Calculateur!DY107*VLOOKUP('Données projet'!$B$14,Paramètres!$A$1:$I$89,3,0)*0.475*44/12</f>
        <v>5.2594245839438631</v>
      </c>
      <c r="EC107" s="21">
        <f>EXP(-LN(2)/2)*EC106+(1-EXP(-LN(2)/2))/(LN(2)/2)*DW107*DZ107*VLOOKUP('Données projet'!$B$14,Paramètres!$A$1:$I$89,3,0)*0.475*44/12</f>
        <v>2.8625023636031692E-11</v>
      </c>
      <c r="ED107" s="22">
        <f t="shared" si="72"/>
        <v>66.970994611316669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477.9999999999996</v>
      </c>
      <c r="EK107" s="17">
        <f>EJ107*VLOOKUP('Données projet'!$B$15,Paramètres!$A$1:$I$89,3,0)*VLOOKUP('Données projet'!$B$15,Paramètres!$A$1:$I$89,5,0)</f>
        <v>285.84399999999977</v>
      </c>
      <c r="EL107" s="13">
        <f t="shared" si="99"/>
        <v>68.200525419065656</v>
      </c>
      <c r="EM107" s="20">
        <f t="shared" si="73"/>
        <v>616.62754843820551</v>
      </c>
      <c r="EN107" s="59">
        <f t="shared" si="74"/>
        <v>909.96088177153888</v>
      </c>
      <c r="EO107" s="59">
        <f ca="1">AVERAGE(OFFSET($EN$3,0,0,'Données projet'!$E$15+1,1))-AVERAGE(OFFSET($H$3,0,0,'Données projet'!$E$15+1,1))</f>
        <v>288.41846134875794</v>
      </c>
      <c r="EP107" s="59">
        <f t="shared" si="100"/>
        <v>248.93951719818972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44.646810946713941</v>
      </c>
      <c r="EW107" s="21">
        <f>EXP(-LN(2)/25)*EW106+(1-EXP(-LN(2)/25))/(LN(2)/25)*Calculateur!ER107*Calculateur!ET107*VLOOKUP('Données projet'!$B$15,Paramètres!$A$1:$I$89,3,0)*0.475*44/12</f>
        <v>3.5900347426981924</v>
      </c>
      <c r="EX107" s="21">
        <f>EXP(-LN(2)/2)*EX106+(1-EXP(-LN(2)/2))/(LN(2)/2)*ER107*EU107*VLOOKUP('Données projet'!$B$15,Paramètres!$A$1:$I$89,3,0)*0.475*44/12</f>
        <v>3.5408272697575547E-12</v>
      </c>
      <c r="EY107" s="22">
        <f t="shared" si="75"/>
        <v>48.236845689415674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789.00000000000045</v>
      </c>
      <c r="FF107" s="17">
        <f>FE107*VLOOKUP('Données projet'!$B$16,Paramètres!$A$1:$I$89,3,0)*VLOOKUP('Données projet'!$B$16,Paramètres!$A$1:$I$89,5,0)</f>
        <v>358.99500000000023</v>
      </c>
      <c r="FG107" s="13">
        <f t="shared" si="101"/>
        <v>83.411930940690553</v>
      </c>
      <c r="FH107" s="20">
        <f t="shared" si="76"/>
        <v>770.52540472170313</v>
      </c>
      <c r="FI107" s="59">
        <f t="shared" si="77"/>
        <v>1063.8587380550364</v>
      </c>
      <c r="FJ107" s="59">
        <f ca="1">AVERAGE(OFFSET($FI$3,0,0,'Données projet'!$E$16+1,1))-AVERAGE(OFFSET($H$3,0,0,'Données projet'!$E$16+1,1))</f>
        <v>367.36535411813264</v>
      </c>
      <c r="FK107" s="59">
        <f t="shared" si="102"/>
        <v>293.19545174980556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54.553066243724388</v>
      </c>
      <c r="FR107" s="21">
        <f>EXP(-LN(2)/25)*FR106+(1-EXP(-LN(2)/25))/(LN(2)/25)*Calculateur!FM107*Calculateur!FO107*VLOOKUP('Données projet'!$B$16,Paramètres!$A$1:$I$89,3,0)*0.475*44/12</f>
        <v>5.5642647984653948</v>
      </c>
      <c r="FS107" s="21">
        <f>EXP(-LN(2)/2)*FS106+(1-EXP(-LN(2)/2))/(LN(2)/2)*FM107*FP107*VLOOKUP('Données projet'!$B$16,Paramètres!$A$1:$I$89,3,0)*0.475*44/12</f>
        <v>5.271080292881013E-12</v>
      </c>
      <c r="FT107" s="22">
        <f t="shared" si="78"/>
        <v>60.117331042195055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669.99999999999989</v>
      </c>
      <c r="GA107" s="17">
        <f>FZ107*VLOOKUP('Données projet'!$B$17,Paramètres!$A$1:$I$89,3,0)*VLOOKUP('Données projet'!$B$17,Paramètres!$A$1:$I$89,5,0)</f>
        <v>322.26999999999992</v>
      </c>
      <c r="GB107" s="13">
        <f t="shared" si="103"/>
        <v>75.825476822885776</v>
      </c>
      <c r="GC107" s="20">
        <f t="shared" si="79"/>
        <v>693.34962213319261</v>
      </c>
      <c r="GD107" s="59">
        <f t="shared" si="80"/>
        <v>986.68295546652598</v>
      </c>
      <c r="GE107" s="59">
        <f ca="1">AVERAGE(OFFSET($GD$3,0,0,'Données projet'!$E$17+1,1))-AVERAGE(OFFSET($H$3,0,0,'Données projet'!$E$17+1,1))</f>
        <v>312.64506496298173</v>
      </c>
      <c r="GF107" s="59">
        <f t="shared" si="104"/>
        <v>259.97532509897508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70.422872760896922</v>
      </c>
      <c r="GM107" s="21">
        <f>EXP(-LN(2)/25)*GM106+(1-EXP(-LN(2)/25))/(LN(2)/25)*Calculateur!GH107*Calculateur!GJ107*VLOOKUP('Données projet'!$B$17,Paramètres!$A$1:$I$89,3,0)*0.475*44/12</f>
        <v>2.5157182713453028</v>
      </c>
      <c r="GN107" s="21">
        <f>EXP(-LN(2)/2)*GN106+(1-EXP(-LN(2)/2))/(LN(2)/2)*GH107*GK107*VLOOKUP('Données projet'!$B$17,Paramètres!$A$1:$I$89,3,0)*0.475*44/12</f>
        <v>2.8019203029977939E-11</v>
      </c>
      <c r="GO107" s="21">
        <f t="shared" si="81"/>
        <v>72.938591032270253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4.5999999999999996</v>
      </c>
      <c r="GU107" s="12">
        <f>IF('Données projet'!$A$270&gt;35,GU106+GT107-HC106,IF(A107&lt;'Données projet'!$A$270,$GR$205^A107,IF(A107='Données projet'!$A$270,'Données projet'!$B$270,GU106+GT107-HC106)))</f>
        <v>279.39999999999998</v>
      </c>
      <c r="GV107" s="17">
        <f>GU107*VLOOKUP('Données projet'!$B$18,Paramètres!$A$1:$I$89,3,0)*VLOOKUP('Données projet'!$B$18,Paramètres!$A$1:$I$89,5,0)</f>
        <v>283.3116</v>
      </c>
      <c r="GW107" s="13">
        <f t="shared" si="105"/>
        <v>67.666365540271272</v>
      </c>
      <c r="GX107" s="20">
        <f t="shared" si="82"/>
        <v>611.28662331597241</v>
      </c>
      <c r="GY107" s="59">
        <f t="shared" si="83"/>
        <v>904.61995664930578</v>
      </c>
      <c r="GZ107" s="59">
        <f ca="1">AVERAGE(OFFSET($GY$3,0,0,'Données projet'!$E$18+1,1))-AVERAGE(OFFSET($H$3,0,0,'Données projet'!$E$18+1,1))</f>
        <v>308.80022073574963</v>
      </c>
      <c r="HA107" s="59">
        <f t="shared" si="106"/>
        <v>183.96267407004115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74.392294964313322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74.392294964313322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344.49457749226184</v>
      </c>
      <c r="T108" s="59">
        <f t="shared" si="88"/>
        <v>207.92972431357452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218</v>
      </c>
      <c r="AG108" s="12">
        <f>VLOOKUP(A108,'Données projet'!$A$61:$I$81,9,0)</f>
        <v>3.2</v>
      </c>
      <c r="AH108" s="12">
        <f t="array" ref="AH108">INDEX(AG:AG,MIN(IF(ISNUMBER(AG108:AG304),ROW(AG108:AG304),"")))</f>
        <v>3.2</v>
      </c>
      <c r="AI108" s="13">
        <f>IF('Données projet'!$A$62&gt;35,AI107+AH108-AQ107,IF(A108&lt;'Données projet'!$A$62,$AF$205^A108,IF(A108='Données projet'!$A$62,'Données projet'!$B$62,AI107+AH108-AQ107)))</f>
        <v>217.99999999999991</v>
      </c>
      <c r="AJ108" s="13">
        <f>AI108*VLOOKUP('Données projet'!$B$10,Paramètres!$A$1:$I$89,3,0)*VLOOKUP('Données projet'!$B$10,Paramètres!$A$1:$I$89,5,0)</f>
        <v>197.24639999999991</v>
      </c>
      <c r="AK108" s="13">
        <f t="shared" si="89"/>
        <v>49.138522374247202</v>
      </c>
      <c r="AL108" s="20">
        <f t="shared" si="58"/>
        <v>429.12040646848044</v>
      </c>
      <c r="AM108" s="59">
        <f t="shared" si="59"/>
        <v>722.45373980181375</v>
      </c>
      <c r="AN108" s="59">
        <f ca="1">AVERAGE(OFFSET($AM$3,0,0,'Données projet'!$E$10+1,1))-AVERAGE(OFFSET($H$3,0,0,'Données projet'!$E$10+1,1))</f>
        <v>183.0147113277086</v>
      </c>
      <c r="AO108" s="59">
        <f t="shared" si="90"/>
        <v>76.413905647258389</v>
      </c>
      <c r="AP108" s="15">
        <f>IF(ISNA(VLOOKUP(A108,'Données projet'!$A$61:$I$81,3,0)),0,VLOOKUP(A108,'Données projet'!$A$61:$I$81,3,0))</f>
        <v>15</v>
      </c>
      <c r="AQ108" s="15">
        <f>IF(ISNA(VLOOKUP(A108,'Données projet'!$A$61:$I$81,4,0)),0,VLOOKUP(A108,'Données projet'!$A$61:$I$81,4,0))</f>
        <v>14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49.299943980544889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49.299943980544889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253.79640000000001</v>
      </c>
      <c r="BF108" s="13">
        <f t="shared" si="91"/>
        <v>61.39816832228076</v>
      </c>
      <c r="BG108" s="20">
        <f t="shared" si="61"/>
        <v>548.96387316130563</v>
      </c>
      <c r="BH108" s="59">
        <f t="shared" si="62"/>
        <v>842.29720649463889</v>
      </c>
      <c r="BI108" s="59">
        <f ca="1">AVERAGE(OFFSET($BH$3,0,0,'Données projet'!$E$11+1,1))-AVERAGE(OFFSET($H$3,0,0,'Données projet'!$E$11+1,1))</f>
        <v>279.49721661620544</v>
      </c>
      <c r="BJ108" s="59">
        <f t="shared" si="92"/>
        <v>275.18739333988754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32.406403829509919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32.406403829509919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754.68411025369562</v>
      </c>
      <c r="CD108" s="59">
        <f ca="1">AVERAGE(OFFSET($CC$3,0,0,'Données projet'!$E$12+1,1))-AVERAGE(OFFSET($H$3,0,0,'Données projet'!$E$12+1,1))</f>
        <v>225.2323446080772</v>
      </c>
      <c r="CE108" s="59">
        <f t="shared" si="94"/>
        <v>222.29030402759292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26.444536727662761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26.444536727662761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213.00000000000003</v>
      </c>
      <c r="CU108" s="17">
        <f>CT108*VLOOKUP('Données projet'!$B$13,Paramètres!$A$1:$I$89,3,0)*VLOOKUP('Données projet'!$B$13,Paramètres!$A$1:$I$89,5,0)</f>
        <v>229.2732</v>
      </c>
      <c r="CV108" s="13">
        <f t="shared" si="95"/>
        <v>56.125501442527366</v>
      </c>
      <c r="CW108" s="20">
        <f t="shared" si="67"/>
        <v>497.06940501240177</v>
      </c>
      <c r="CX108" s="59">
        <f t="shared" si="68"/>
        <v>790.40273834573509</v>
      </c>
      <c r="CY108" s="59">
        <f ca="1">AVERAGE(OFFSET($CX$3,0,0,'Données projet'!$E$13+1,1))-AVERAGE(OFFSET($H$3,0,0,'Données projet'!$E$13+1,1))</f>
        <v>240.57184010337932</v>
      </c>
      <c r="CZ108" s="59">
        <f t="shared" si="96"/>
        <v>236.36473521227072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22.425666559496637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22.425666559496637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670.99999999999977</v>
      </c>
      <c r="DP108" s="17">
        <f>DO108*VLOOKUP('Données projet'!$B$14,Paramètres!$A$1:$I$89,3,0)*VLOOKUP('Données projet'!$B$14,Paramètres!$A$1:$I$89,5,0)</f>
        <v>314.02799999999991</v>
      </c>
      <c r="DQ108" s="13">
        <f t="shared" si="97"/>
        <v>74.109403804428752</v>
      </c>
      <c r="DR108" s="20">
        <f t="shared" si="70"/>
        <v>676.00597829271317</v>
      </c>
      <c r="DS108" s="59">
        <f t="shared" si="71"/>
        <v>969.33931162604654</v>
      </c>
      <c r="DT108" s="59">
        <f ca="1">AVERAGE(OFFSET($DS$3,0,0,'Données projet'!$E$14+1,1))-AVERAGE(OFFSET($H$3,0,0,'Données projet'!$E$14+1,1))</f>
        <v>304.29617570272939</v>
      </c>
      <c r="DU108" s="59">
        <f t="shared" si="98"/>
        <v>246.20695736161576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60.501443779449005</v>
      </c>
      <c r="EB108" s="21">
        <f>EXP(-LN(2)/25)*EB107+(1-EXP(-LN(2)/25))/(LN(2)/25)*Calculateur!DW108*Calculateur!DY108*VLOOKUP('Données projet'!$B$14,Paramètres!$A$1:$I$89,3,0)*0.475*44/12</f>
        <v>5.1156053421148</v>
      </c>
      <c r="EC108" s="21">
        <f>EXP(-LN(2)/2)*EC107+(1-EXP(-LN(2)/2))/(LN(2)/2)*DW108*DZ108*VLOOKUP('Données projet'!$B$14,Paramètres!$A$1:$I$89,3,0)*0.475*44/12</f>
        <v>2.0240948324663215E-11</v>
      </c>
      <c r="ED108" s="22">
        <f t="shared" si="72"/>
        <v>65.617049121584046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477.9999999999996</v>
      </c>
      <c r="EK108" s="17">
        <f>EJ108*VLOOKUP('Données projet'!$B$15,Paramètres!$A$1:$I$89,3,0)*VLOOKUP('Données projet'!$B$15,Paramètres!$A$1:$I$89,5,0)</f>
        <v>285.84399999999977</v>
      </c>
      <c r="EL108" s="13">
        <f t="shared" si="99"/>
        <v>68.200525419065656</v>
      </c>
      <c r="EM108" s="20">
        <f t="shared" si="73"/>
        <v>616.62754843820551</v>
      </c>
      <c r="EN108" s="59">
        <f t="shared" si="74"/>
        <v>909.96088177153888</v>
      </c>
      <c r="EO108" s="59">
        <f ca="1">AVERAGE(OFFSET($EN$3,0,0,'Données projet'!$E$15+1,1))-AVERAGE(OFFSET($H$3,0,0,'Données projet'!$E$15+1,1))</f>
        <v>288.41846134875794</v>
      </c>
      <c r="EP108" s="59">
        <f t="shared" si="100"/>
        <v>248.93951719818972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43.771314215914636</v>
      </c>
      <c r="EW108" s="21">
        <f>EXP(-LN(2)/25)*EW107+(1-EXP(-LN(2)/25))/(LN(2)/25)*Calculateur!ER108*Calculateur!ET108*VLOOKUP('Données projet'!$B$15,Paramètres!$A$1:$I$89,3,0)*0.475*44/12</f>
        <v>3.4918650538673885</v>
      </c>
      <c r="EX108" s="21">
        <f>EXP(-LN(2)/2)*EX107+(1-EXP(-LN(2)/2))/(LN(2)/2)*ER108*EU108*VLOOKUP('Données projet'!$B$15,Paramètres!$A$1:$I$89,3,0)*0.475*44/12</f>
        <v>2.5037429734558159E-12</v>
      </c>
      <c r="EY108" s="22">
        <f t="shared" si="75"/>
        <v>47.263179269784523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789.00000000000045</v>
      </c>
      <c r="FF108" s="17">
        <f>FE108*VLOOKUP('Données projet'!$B$16,Paramètres!$A$1:$I$89,3,0)*VLOOKUP('Données projet'!$B$16,Paramètres!$A$1:$I$89,5,0)</f>
        <v>358.99500000000023</v>
      </c>
      <c r="FG108" s="13">
        <f t="shared" si="101"/>
        <v>83.411930940690553</v>
      </c>
      <c r="FH108" s="20">
        <f t="shared" si="76"/>
        <v>770.52540472170313</v>
      </c>
      <c r="FI108" s="59">
        <f t="shared" si="77"/>
        <v>1063.8587380550364</v>
      </c>
      <c r="FJ108" s="59">
        <f ca="1">AVERAGE(OFFSET($FI$3,0,0,'Données projet'!$E$16+1,1))-AVERAGE(OFFSET($H$3,0,0,'Données projet'!$E$16+1,1))</f>
        <v>367.36535411813264</v>
      </c>
      <c r="FK108" s="59">
        <f t="shared" si="102"/>
        <v>293.19545174980556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53.483313888769821</v>
      </c>
      <c r="FR108" s="21">
        <f>EXP(-LN(2)/25)*FR107+(1-EXP(-LN(2)/25))/(LN(2)/25)*Calculateur!FM108*Calculateur!FO108*VLOOKUP('Données projet'!$B$16,Paramètres!$A$1:$I$89,3,0)*0.475*44/12</f>
        <v>5.4121096849393897</v>
      </c>
      <c r="FS108" s="21">
        <f>EXP(-LN(2)/2)*FS107+(1-EXP(-LN(2)/2))/(LN(2)/2)*FM108*FP108*VLOOKUP('Données projet'!$B$16,Paramètres!$A$1:$I$89,3,0)*0.475*44/12</f>
        <v>3.7272166192749372E-12</v>
      </c>
      <c r="FT108" s="22">
        <f t="shared" si="78"/>
        <v>58.895423573712939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669.99999999999989</v>
      </c>
      <c r="GA108" s="17">
        <f>FZ108*VLOOKUP('Données projet'!$B$17,Paramètres!$A$1:$I$89,3,0)*VLOOKUP('Données projet'!$B$17,Paramètres!$A$1:$I$89,5,0)</f>
        <v>322.26999999999992</v>
      </c>
      <c r="GB108" s="13">
        <f t="shared" si="103"/>
        <v>75.825476822885776</v>
      </c>
      <c r="GC108" s="20">
        <f t="shared" si="79"/>
        <v>693.34962213319261</v>
      </c>
      <c r="GD108" s="59">
        <f t="shared" si="80"/>
        <v>986.68295546652598</v>
      </c>
      <c r="GE108" s="59">
        <f ca="1">AVERAGE(OFFSET($GD$3,0,0,'Données projet'!$E$17+1,1))-AVERAGE(OFFSET($H$3,0,0,'Données projet'!$E$17+1,1))</f>
        <v>312.64506496298173</v>
      </c>
      <c r="GF108" s="59">
        <f t="shared" si="104"/>
        <v>259.97532509897508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69.041923179766798</v>
      </c>
      <c r="GM108" s="21">
        <f>EXP(-LN(2)/25)*GM107+(1-EXP(-LN(2)/25))/(LN(2)/25)*Calculateur!GH108*Calculateur!GJ108*VLOOKUP('Données projet'!$B$17,Paramètres!$A$1:$I$89,3,0)*0.475*44/12</f>
        <v>2.4469258229194915</v>
      </c>
      <c r="GN108" s="21">
        <f>EXP(-LN(2)/2)*GN107+(1-EXP(-LN(2)/2))/(LN(2)/2)*GH108*GK108*VLOOKUP('Données projet'!$B$17,Paramètres!$A$1:$I$89,3,0)*0.475*44/12</f>
        <v>1.981256846594006E-11</v>
      </c>
      <c r="GO108" s="21">
        <f t="shared" si="81"/>
        <v>71.488849002706104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>
        <f>VLOOKUP(A108,'Données projet'!$A$269:$I$289,2,0)</f>
        <v>284</v>
      </c>
      <c r="GS108" s="12">
        <f>VLOOKUP(A108,'Données projet'!$A$269:$I$289,9,0)</f>
        <v>4.5999999999999996</v>
      </c>
      <c r="GT108" s="12">
        <f t="array" ref="GT108">INDEX(GS:GS,MIN(IF(ISNUMBER(GS108:GS304),ROW(GS108:GS304),"")))</f>
        <v>4.5999999999999996</v>
      </c>
      <c r="GU108" s="12">
        <f>IF('Données projet'!$A$270&gt;35,GU107+GT108-HC107,IF(A108&lt;'Données projet'!$A$270,$GR$205^A108,IF(A108='Données projet'!$A$270,'Données projet'!$B$270,GU107+GT108-HC107)))</f>
        <v>284</v>
      </c>
      <c r="GV108" s="17">
        <f>GU108*VLOOKUP('Données projet'!$B$18,Paramètres!$A$1:$I$89,3,0)*VLOOKUP('Données projet'!$B$18,Paramètres!$A$1:$I$89,5,0)</f>
        <v>287.976</v>
      </c>
      <c r="GW108" s="13">
        <f t="shared" si="105"/>
        <v>68.649801713863141</v>
      </c>
      <c r="GX108" s="20">
        <f t="shared" si="82"/>
        <v>621.12327131831159</v>
      </c>
      <c r="GY108" s="59">
        <f t="shared" si="83"/>
        <v>914.45660465164497</v>
      </c>
      <c r="GZ108" s="59">
        <f ca="1">AVERAGE(OFFSET($GY$3,0,0,'Données projet'!$E$18+1,1))-AVERAGE(OFFSET($H$3,0,0,'Données projet'!$E$18+1,1))</f>
        <v>308.80022073574963</v>
      </c>
      <c r="HA108" s="59">
        <f t="shared" si="106"/>
        <v>183.96267407004115</v>
      </c>
      <c r="HB108" s="15">
        <f>IF(ISNA(VLOOKUP(A108,'Données projet'!$A$269:$I$289,3,0)),0,VLOOKUP(A108,'Données projet'!$A$269:$I$289,3,0))</f>
        <v>17</v>
      </c>
      <c r="HC108" s="15">
        <f>IF(ISNA(VLOOKUP(A108,'Données projet'!$A$269:$I$289,4,0)),0,VLOOKUP(A108,'Données projet'!$A$269:$I$289,4,0))</f>
        <v>20</v>
      </c>
      <c r="HD108" s="16">
        <f>IF(ISNA(VLOOKUP(A108,'Données projet'!$A$269:$I$289,5,0)),0%,VLOOKUP(A108,'Données projet'!$A$269:$I$289,5,0)*VLOOKUP('Données projet'!$B$18,Paramètres!$A$1:$I$89,7,0))</f>
        <v>0.43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82.573651332561809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82.573651332561809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344.49457749226184</v>
      </c>
      <c r="T109" s="59">
        <f t="shared" si="88"/>
        <v>207.92972431357452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3</v>
      </c>
      <c r="AI109" s="13">
        <f>IF('Données projet'!$A$62&gt;35,AI108+AH109-AQ108,IF(A109&lt;'Données projet'!$A$62,$AF$205^A109,IF(A109='Données projet'!$A$62,'Données projet'!$B$62,AI108+AH109-AQ108)))</f>
        <v>206.99999999999991</v>
      </c>
      <c r="AJ109" s="13">
        <f>AI109*VLOOKUP('Données projet'!$B$10,Paramètres!$A$1:$I$89,3,0)*VLOOKUP('Données projet'!$B$10,Paramètres!$A$1:$I$89,5,0)</f>
        <v>187.29359999999991</v>
      </c>
      <c r="AK109" s="13">
        <f t="shared" si="89"/>
        <v>46.941107550760421</v>
      </c>
      <c r="AL109" s="20">
        <f t="shared" si="58"/>
        <v>407.95878231757428</v>
      </c>
      <c r="AM109" s="59">
        <f t="shared" si="59"/>
        <v>701.29211565090759</v>
      </c>
      <c r="AN109" s="59">
        <f ca="1">AVERAGE(OFFSET($AM$3,0,0,'Données projet'!$E$10+1,1))-AVERAGE(OFFSET($H$3,0,0,'Données projet'!$E$10+1,1))</f>
        <v>183.0147113277086</v>
      </c>
      <c r="AO109" s="59">
        <f t="shared" si="90"/>
        <v>76.413905647258389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48.333202149083064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48.333202149083064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253.79640000000001</v>
      </c>
      <c r="BF109" s="13">
        <f t="shared" si="91"/>
        <v>61.39816832228076</v>
      </c>
      <c r="BG109" s="20">
        <f t="shared" si="61"/>
        <v>548.96387316130563</v>
      </c>
      <c r="BH109" s="59">
        <f t="shared" si="62"/>
        <v>842.29720649463889</v>
      </c>
      <c r="BI109" s="59">
        <f ca="1">AVERAGE(OFFSET($BH$3,0,0,'Données projet'!$E$11+1,1))-AVERAGE(OFFSET($H$3,0,0,'Données projet'!$E$11+1,1))</f>
        <v>279.49721661620544</v>
      </c>
      <c r="BJ109" s="59">
        <f t="shared" si="92"/>
        <v>275.18739333988754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31.770934016367839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31.770934016367839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754.68411025369562</v>
      </c>
      <c r="CD109" s="59">
        <f ca="1">AVERAGE(OFFSET($CC$3,0,0,'Données projet'!$E$12+1,1))-AVERAGE(OFFSET($H$3,0,0,'Données projet'!$E$12+1,1))</f>
        <v>225.2323446080772</v>
      </c>
      <c r="CE109" s="59">
        <f t="shared" si="94"/>
        <v>222.29030402759292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25.925975492008035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25.925975492008035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213.00000000000003</v>
      </c>
      <c r="CU109" s="17">
        <f>CT109*VLOOKUP('Données projet'!$B$13,Paramètres!$A$1:$I$89,3,0)*VLOOKUP('Données projet'!$B$13,Paramètres!$A$1:$I$89,5,0)</f>
        <v>229.2732</v>
      </c>
      <c r="CV109" s="13">
        <f t="shared" si="95"/>
        <v>56.125501442527366</v>
      </c>
      <c r="CW109" s="20">
        <f t="shared" si="67"/>
        <v>497.06940501240177</v>
      </c>
      <c r="CX109" s="59">
        <f t="shared" si="68"/>
        <v>790.40273834573509</v>
      </c>
      <c r="CY109" s="59">
        <f ca="1">AVERAGE(OFFSET($CX$3,0,0,'Données projet'!$E$13+1,1))-AVERAGE(OFFSET($H$3,0,0,'Données projet'!$E$13+1,1))</f>
        <v>240.57184010337932</v>
      </c>
      <c r="CZ109" s="59">
        <f t="shared" si="96"/>
        <v>236.36473521227072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21.985912916570889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21.985912916570889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670.99999999999977</v>
      </c>
      <c r="DP109" s="17">
        <f>DO109*VLOOKUP('Données projet'!$B$14,Paramètres!$A$1:$I$89,3,0)*VLOOKUP('Données projet'!$B$14,Paramètres!$A$1:$I$89,5,0)</f>
        <v>314.02799999999991</v>
      </c>
      <c r="DQ109" s="13">
        <f t="shared" si="97"/>
        <v>74.109403804428752</v>
      </c>
      <c r="DR109" s="20">
        <f t="shared" si="70"/>
        <v>676.00597829271317</v>
      </c>
      <c r="DS109" s="59">
        <f t="shared" si="71"/>
        <v>969.33931162604654</v>
      </c>
      <c r="DT109" s="59">
        <f ca="1">AVERAGE(OFFSET($DS$3,0,0,'Données projet'!$E$14+1,1))-AVERAGE(OFFSET($H$3,0,0,'Données projet'!$E$14+1,1))</f>
        <v>304.29617570272939</v>
      </c>
      <c r="DU109" s="59">
        <f t="shared" si="98"/>
        <v>246.20695736161576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59.315047369170919</v>
      </c>
      <c r="EB109" s="21">
        <f>EXP(-LN(2)/25)*EB108+(1-EXP(-LN(2)/25))/(LN(2)/25)*Calculateur!DW109*Calculateur!DY109*VLOOKUP('Données projet'!$B$14,Paramètres!$A$1:$I$89,3,0)*0.475*44/12</f>
        <v>4.9757188450166776</v>
      </c>
      <c r="EC109" s="21">
        <f>EXP(-LN(2)/2)*EC108+(1-EXP(-LN(2)/2))/(LN(2)/2)*DW109*DZ109*VLOOKUP('Données projet'!$B$14,Paramètres!$A$1:$I$89,3,0)*0.475*44/12</f>
        <v>1.4312511818015848E-11</v>
      </c>
      <c r="ED109" s="22">
        <f t="shared" si="72"/>
        <v>64.290766214201909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477.9999999999996</v>
      </c>
      <c r="EK109" s="17">
        <f>EJ109*VLOOKUP('Données projet'!$B$15,Paramètres!$A$1:$I$89,3,0)*VLOOKUP('Données projet'!$B$15,Paramètres!$A$1:$I$89,5,0)</f>
        <v>285.84399999999977</v>
      </c>
      <c r="EL109" s="13">
        <f t="shared" si="99"/>
        <v>68.200525419065656</v>
      </c>
      <c r="EM109" s="20">
        <f t="shared" si="73"/>
        <v>616.62754843820551</v>
      </c>
      <c r="EN109" s="59">
        <f t="shared" si="74"/>
        <v>909.96088177153888</v>
      </c>
      <c r="EO109" s="59">
        <f ca="1">AVERAGE(OFFSET($EN$3,0,0,'Données projet'!$E$15+1,1))-AVERAGE(OFFSET($H$3,0,0,'Données projet'!$E$15+1,1))</f>
        <v>288.41846134875794</v>
      </c>
      <c r="EP109" s="59">
        <f t="shared" si="100"/>
        <v>248.93951719818972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42.912985442006025</v>
      </c>
      <c r="EW109" s="21">
        <f>EXP(-LN(2)/25)*EW108+(1-EXP(-LN(2)/25))/(LN(2)/25)*Calculateur!ER109*Calculateur!ET109*VLOOKUP('Données projet'!$B$15,Paramètres!$A$1:$I$89,3,0)*0.475*44/12</f>
        <v>3.3963798203401825</v>
      </c>
      <c r="EX109" s="21">
        <f>EXP(-LN(2)/2)*EX108+(1-EXP(-LN(2)/2))/(LN(2)/2)*ER109*EU109*VLOOKUP('Données projet'!$B$15,Paramètres!$A$1:$I$89,3,0)*0.475*44/12</f>
        <v>1.7704136348787775E-12</v>
      </c>
      <c r="EY109" s="22">
        <f t="shared" si="75"/>
        <v>46.309365262347974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789.00000000000045</v>
      </c>
      <c r="FF109" s="17">
        <f>FE109*VLOOKUP('Données projet'!$B$16,Paramètres!$A$1:$I$89,3,0)*VLOOKUP('Données projet'!$B$16,Paramètres!$A$1:$I$89,5,0)</f>
        <v>358.99500000000023</v>
      </c>
      <c r="FG109" s="13">
        <f t="shared" si="101"/>
        <v>83.411930940690553</v>
      </c>
      <c r="FH109" s="20">
        <f t="shared" si="76"/>
        <v>770.52540472170313</v>
      </c>
      <c r="FI109" s="59">
        <f t="shared" si="77"/>
        <v>1063.8587380550364</v>
      </c>
      <c r="FJ109" s="59">
        <f ca="1">AVERAGE(OFFSET($FI$3,0,0,'Données projet'!$E$16+1,1))-AVERAGE(OFFSET($H$3,0,0,'Données projet'!$E$16+1,1))</f>
        <v>367.36535411813264</v>
      </c>
      <c r="FK109" s="59">
        <f t="shared" si="102"/>
        <v>293.19545174980556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52.4345387250114</v>
      </c>
      <c r="FR109" s="21">
        <f>EXP(-LN(2)/25)*FR108+(1-EXP(-LN(2)/25))/(LN(2)/25)*Calculateur!FM109*Calculateur!FO109*VLOOKUP('Données projet'!$B$16,Paramètres!$A$1:$I$89,3,0)*0.475*44/12</f>
        <v>5.2641152609942434</v>
      </c>
      <c r="FS109" s="21">
        <f>EXP(-LN(2)/2)*FS108+(1-EXP(-LN(2)/2))/(LN(2)/2)*FM109*FP109*VLOOKUP('Données projet'!$B$16,Paramètres!$A$1:$I$89,3,0)*0.475*44/12</f>
        <v>2.6355401464405065E-12</v>
      </c>
      <c r="FT109" s="22">
        <f t="shared" si="78"/>
        <v>57.698653986008281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669.99999999999989</v>
      </c>
      <c r="GA109" s="17">
        <f>FZ109*VLOOKUP('Données projet'!$B$17,Paramètres!$A$1:$I$89,3,0)*VLOOKUP('Données projet'!$B$17,Paramètres!$A$1:$I$89,5,0)</f>
        <v>322.26999999999992</v>
      </c>
      <c r="GB109" s="13">
        <f t="shared" si="103"/>
        <v>75.825476822885776</v>
      </c>
      <c r="GC109" s="20">
        <f t="shared" si="79"/>
        <v>693.34962213319261</v>
      </c>
      <c r="GD109" s="59">
        <f t="shared" si="80"/>
        <v>986.68295546652598</v>
      </c>
      <c r="GE109" s="59">
        <f ca="1">AVERAGE(OFFSET($GD$3,0,0,'Données projet'!$E$17+1,1))-AVERAGE(OFFSET($H$3,0,0,'Données projet'!$E$17+1,1))</f>
        <v>312.64506496298173</v>
      </c>
      <c r="GF109" s="59">
        <f t="shared" si="104"/>
        <v>259.97532509897508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67.688053177626557</v>
      </c>
      <c r="GM109" s="21">
        <f>EXP(-LN(2)/25)*GM108+(1-EXP(-LN(2)/25))/(LN(2)/25)*Calculateur!GH109*Calculateur!GJ109*VLOOKUP('Données projet'!$B$17,Paramètres!$A$1:$I$89,3,0)*0.475*44/12</f>
        <v>2.3800145076135215</v>
      </c>
      <c r="GN109" s="21">
        <f>EXP(-LN(2)/2)*GN108+(1-EXP(-LN(2)/2))/(LN(2)/2)*GH109*GK109*VLOOKUP('Données projet'!$B$17,Paramètres!$A$1:$I$89,3,0)*0.475*44/12</f>
        <v>1.400960151498897E-11</v>
      </c>
      <c r="GO109" s="21">
        <f t="shared" si="81"/>
        <v>70.068067685254093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4.2</v>
      </c>
      <c r="GU109" s="12">
        <f>IF('Données projet'!$A$270&gt;35,GU108+GT109-HC108,IF(A109&lt;'Données projet'!$A$270,$GR$205^A109,IF(A109='Données projet'!$A$270,'Données projet'!$B$270,GU108+GT109-HC108)))</f>
        <v>268.2</v>
      </c>
      <c r="GV109" s="17">
        <f>GU109*VLOOKUP('Données projet'!$B$18,Paramètres!$A$1:$I$89,3,0)*VLOOKUP('Données projet'!$B$18,Paramètres!$A$1:$I$89,5,0)</f>
        <v>271.95480000000003</v>
      </c>
      <c r="GW109" s="13">
        <f t="shared" si="105"/>
        <v>65.263952845017442</v>
      </c>
      <c r="GX109" s="20">
        <f t="shared" si="82"/>
        <v>587.322661205072</v>
      </c>
      <c r="GY109" s="59">
        <f t="shared" si="83"/>
        <v>880.65599453840537</v>
      </c>
      <c r="GZ109" s="59">
        <f ca="1">AVERAGE(OFFSET($GY$3,0,0,'Données projet'!$E$18+1,1))-AVERAGE(OFFSET($H$3,0,0,'Données projet'!$E$18+1,1))</f>
        <v>308.80022073574963</v>
      </c>
      <c r="HA109" s="59">
        <f t="shared" si="106"/>
        <v>183.96267407004115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80.954432394884464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80.954432394884464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344.49457749226184</v>
      </c>
      <c r="T110" s="59">
        <f t="shared" si="88"/>
        <v>207.92972431357452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3</v>
      </c>
      <c r="AI110" s="13">
        <f>IF('Données projet'!$A$62&gt;35,AI109+AH110-AQ109,IF(A110&lt;'Données projet'!$A$62,$AF$205^A110,IF(A110='Données projet'!$A$62,'Données projet'!$B$62,AI109+AH110-AQ109)))</f>
        <v>209.99999999999991</v>
      </c>
      <c r="AJ110" s="13">
        <f>AI110*VLOOKUP('Données projet'!$B$10,Paramètres!$A$1:$I$89,3,0)*VLOOKUP('Données projet'!$B$10,Paramètres!$A$1:$I$89,5,0)</f>
        <v>190.00799999999992</v>
      </c>
      <c r="AK110" s="13">
        <f t="shared" si="89"/>
        <v>47.541721533308163</v>
      </c>
      <c r="AL110" s="20">
        <f t="shared" si="58"/>
        <v>413.73243167051163</v>
      </c>
      <c r="AM110" s="59">
        <f t="shared" si="59"/>
        <v>707.06576500384494</v>
      </c>
      <c r="AN110" s="59">
        <f ca="1">AVERAGE(OFFSET($AM$3,0,0,'Données projet'!$E$10+1,1))-AVERAGE(OFFSET($H$3,0,0,'Données projet'!$E$10+1,1))</f>
        <v>183.0147113277086</v>
      </c>
      <c r="AO110" s="59">
        <f t="shared" si="90"/>
        <v>76.413905647258389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47.385417535281917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47.385417535281917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253.79640000000001</v>
      </c>
      <c r="BF110" s="13">
        <f t="shared" si="91"/>
        <v>61.39816832228076</v>
      </c>
      <c r="BG110" s="20">
        <f t="shared" si="61"/>
        <v>548.96387316130563</v>
      </c>
      <c r="BH110" s="59">
        <f t="shared" si="62"/>
        <v>842.29720649463889</v>
      </c>
      <c r="BI110" s="59">
        <f ca="1">AVERAGE(OFFSET($BH$3,0,0,'Données projet'!$E$11+1,1))-AVERAGE(OFFSET($H$3,0,0,'Données projet'!$E$11+1,1))</f>
        <v>279.49721661620544</v>
      </c>
      <c r="BJ110" s="59">
        <f t="shared" si="92"/>
        <v>275.18739333988754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31.14792537866316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31.14792537866316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754.68411025369562</v>
      </c>
      <c r="CD110" s="59">
        <f ca="1">AVERAGE(OFFSET($CC$3,0,0,'Données projet'!$E$12+1,1))-AVERAGE(OFFSET($H$3,0,0,'Données projet'!$E$12+1,1))</f>
        <v>225.2323446080772</v>
      </c>
      <c r="CE110" s="59">
        <f t="shared" si="94"/>
        <v>222.29030402759292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25.417582925893377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25.417582925893377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213.00000000000003</v>
      </c>
      <c r="CU110" s="17">
        <f>CT110*VLOOKUP('Données projet'!$B$13,Paramètres!$A$1:$I$89,3,0)*VLOOKUP('Données projet'!$B$13,Paramètres!$A$1:$I$89,5,0)</f>
        <v>229.2732</v>
      </c>
      <c r="CV110" s="13">
        <f t="shared" si="95"/>
        <v>56.125501442527366</v>
      </c>
      <c r="CW110" s="20">
        <f t="shared" si="67"/>
        <v>497.06940501240177</v>
      </c>
      <c r="CX110" s="59">
        <f t="shared" si="68"/>
        <v>790.40273834573509</v>
      </c>
      <c r="CY110" s="59">
        <f ca="1">AVERAGE(OFFSET($CX$3,0,0,'Données projet'!$E$13+1,1))-AVERAGE(OFFSET($H$3,0,0,'Données projet'!$E$13+1,1))</f>
        <v>240.57184010337932</v>
      </c>
      <c r="CZ110" s="59">
        <f t="shared" si="96"/>
        <v>236.36473521227072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21.554782574359677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21.554782574359677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670.99999999999977</v>
      </c>
      <c r="DP110" s="17">
        <f>DO110*VLOOKUP('Données projet'!$B$14,Paramètres!$A$1:$I$89,3,0)*VLOOKUP('Données projet'!$B$14,Paramètres!$A$1:$I$89,5,0)</f>
        <v>314.02799999999991</v>
      </c>
      <c r="DQ110" s="13">
        <f t="shared" si="97"/>
        <v>74.109403804428752</v>
      </c>
      <c r="DR110" s="20">
        <f t="shared" si="70"/>
        <v>676.00597829271317</v>
      </c>
      <c r="DS110" s="59">
        <f t="shared" si="71"/>
        <v>969.33931162604654</v>
      </c>
      <c r="DT110" s="59">
        <f ca="1">AVERAGE(OFFSET($DS$3,0,0,'Données projet'!$E$14+1,1))-AVERAGE(OFFSET($H$3,0,0,'Données projet'!$E$14+1,1))</f>
        <v>304.29617570272939</v>
      </c>
      <c r="DU110" s="59">
        <f t="shared" si="98"/>
        <v>246.20695736161576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58.151915468868033</v>
      </c>
      <c r="EB110" s="21">
        <f>EXP(-LN(2)/25)*EB109+(1-EXP(-LN(2)/25))/(LN(2)/25)*Calculateur!DW110*Calculateur!DY110*VLOOKUP('Données projet'!$B$14,Paramètres!$A$1:$I$89,3,0)*0.475*44/12</f>
        <v>4.8396575515380142</v>
      </c>
      <c r="EC110" s="21">
        <f>EXP(-LN(2)/2)*EC109+(1-EXP(-LN(2)/2))/(LN(2)/2)*DW110*DZ110*VLOOKUP('Données projet'!$B$14,Paramètres!$A$1:$I$89,3,0)*0.475*44/12</f>
        <v>1.0120474162331609E-11</v>
      </c>
      <c r="ED110" s="22">
        <f t="shared" si="72"/>
        <v>62.991573020416169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477.9999999999996</v>
      </c>
      <c r="EK110" s="17">
        <f>EJ110*VLOOKUP('Données projet'!$B$15,Paramètres!$A$1:$I$89,3,0)*VLOOKUP('Données projet'!$B$15,Paramètres!$A$1:$I$89,5,0)</f>
        <v>285.84399999999977</v>
      </c>
      <c r="EL110" s="13">
        <f t="shared" si="99"/>
        <v>68.200525419065656</v>
      </c>
      <c r="EM110" s="20">
        <f t="shared" si="73"/>
        <v>616.62754843820551</v>
      </c>
      <c r="EN110" s="59">
        <f t="shared" si="74"/>
        <v>909.96088177153888</v>
      </c>
      <c r="EO110" s="59">
        <f ca="1">AVERAGE(OFFSET($EN$3,0,0,'Données projet'!$E$15+1,1))-AVERAGE(OFFSET($H$3,0,0,'Données projet'!$E$15+1,1))</f>
        <v>288.41846134875794</v>
      </c>
      <c r="EP110" s="59">
        <f t="shared" si="100"/>
        <v>248.93951719818972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42.071487971824908</v>
      </c>
      <c r="EW110" s="21">
        <f>EXP(-LN(2)/25)*EW109+(1-EXP(-LN(2)/25))/(LN(2)/25)*Calculateur!ER110*Calculateur!ET110*VLOOKUP('Données projet'!$B$15,Paramètres!$A$1:$I$89,3,0)*0.475*44/12</f>
        <v>3.303505635545128</v>
      </c>
      <c r="EX110" s="21">
        <f>EXP(-LN(2)/2)*EX109+(1-EXP(-LN(2)/2))/(LN(2)/2)*ER110*EU110*VLOOKUP('Données projet'!$B$15,Paramètres!$A$1:$I$89,3,0)*0.475*44/12</f>
        <v>1.2518714867279081E-12</v>
      </c>
      <c r="EY110" s="22">
        <f t="shared" si="75"/>
        <v>45.374993607371287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789.00000000000045</v>
      </c>
      <c r="FF110" s="17">
        <f>FE110*VLOOKUP('Données projet'!$B$16,Paramètres!$A$1:$I$89,3,0)*VLOOKUP('Données projet'!$B$16,Paramètres!$A$1:$I$89,5,0)</f>
        <v>358.99500000000023</v>
      </c>
      <c r="FG110" s="13">
        <f t="shared" si="101"/>
        <v>83.411930940690553</v>
      </c>
      <c r="FH110" s="20">
        <f t="shared" si="76"/>
        <v>770.52540472170313</v>
      </c>
      <c r="FI110" s="59">
        <f t="shared" si="77"/>
        <v>1063.8587380550364</v>
      </c>
      <c r="FJ110" s="59">
        <f ca="1">AVERAGE(OFFSET($FI$3,0,0,'Données projet'!$E$16+1,1))-AVERAGE(OFFSET($H$3,0,0,'Données projet'!$E$16+1,1))</f>
        <v>367.36535411813264</v>
      </c>
      <c r="FK110" s="59">
        <f t="shared" si="102"/>
        <v>293.19545174980556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51.406329402524598</v>
      </c>
      <c r="FR110" s="21">
        <f>EXP(-LN(2)/25)*FR109+(1-EXP(-LN(2)/25))/(LN(2)/25)*Calculateur!FM110*Calculateur!FO110*VLOOKUP('Données projet'!$B$16,Paramètres!$A$1:$I$89,3,0)*0.475*44/12</f>
        <v>5.1201677523545657</v>
      </c>
      <c r="FS110" s="21">
        <f>EXP(-LN(2)/2)*FS109+(1-EXP(-LN(2)/2))/(LN(2)/2)*FM110*FP110*VLOOKUP('Données projet'!$B$16,Paramètres!$A$1:$I$89,3,0)*0.475*44/12</f>
        <v>1.8636083096374686E-12</v>
      </c>
      <c r="FT110" s="22">
        <f t="shared" si="78"/>
        <v>56.526497154881028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669.99999999999989</v>
      </c>
      <c r="GA110" s="17">
        <f>FZ110*VLOOKUP('Données projet'!$B$17,Paramètres!$A$1:$I$89,3,0)*VLOOKUP('Données projet'!$B$17,Paramètres!$A$1:$I$89,5,0)</f>
        <v>322.26999999999992</v>
      </c>
      <c r="GB110" s="13">
        <f t="shared" si="103"/>
        <v>75.825476822885776</v>
      </c>
      <c r="GC110" s="20">
        <f t="shared" si="79"/>
        <v>693.34962213319261</v>
      </c>
      <c r="GD110" s="59">
        <f t="shared" si="80"/>
        <v>986.68295546652598</v>
      </c>
      <c r="GE110" s="59">
        <f ca="1">AVERAGE(OFFSET($GD$3,0,0,'Données projet'!$E$17+1,1))-AVERAGE(OFFSET($H$3,0,0,'Données projet'!$E$17+1,1))</f>
        <v>312.64506496298173</v>
      </c>
      <c r="GF110" s="59">
        <f t="shared" si="104"/>
        <v>259.97532509897508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66.360731740449125</v>
      </c>
      <c r="GM110" s="21">
        <f>EXP(-LN(2)/25)*GM109+(1-EXP(-LN(2)/25))/(LN(2)/25)*Calculateur!GH110*Calculateur!GJ110*VLOOKUP('Données projet'!$B$17,Paramètres!$A$1:$I$89,3,0)*0.475*44/12</f>
        <v>2.3149328857433065</v>
      </c>
      <c r="GN110" s="21">
        <f>EXP(-LN(2)/2)*GN109+(1-EXP(-LN(2)/2))/(LN(2)/2)*GH110*GK110*VLOOKUP('Données projet'!$B$17,Paramètres!$A$1:$I$89,3,0)*0.475*44/12</f>
        <v>9.9062842329700299E-12</v>
      </c>
      <c r="GO110" s="21">
        <f t="shared" si="81"/>
        <v>68.675664626202334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4.2</v>
      </c>
      <c r="GU110" s="12">
        <f>IF('Données projet'!$A$270&gt;35,GU109+GT110-HC109,IF(A110&lt;'Données projet'!$A$270,$GR$205^A110,IF(A110='Données projet'!$A$270,'Données projet'!$B$270,GU109+GT110-HC109)))</f>
        <v>272.39999999999998</v>
      </c>
      <c r="GV110" s="17">
        <f>GU110*VLOOKUP('Données projet'!$B$18,Paramètres!$A$1:$I$89,3,0)*VLOOKUP('Données projet'!$B$18,Paramètres!$A$1:$I$89,5,0)</f>
        <v>276.21359999999999</v>
      </c>
      <c r="GW110" s="13">
        <f t="shared" si="105"/>
        <v>66.166200760877473</v>
      </c>
      <c r="GX110" s="20">
        <f t="shared" si="82"/>
        <v>596.31148632519489</v>
      </c>
      <c r="GY110" s="59">
        <f t="shared" si="83"/>
        <v>889.64481965852815</v>
      </c>
      <c r="GZ110" s="59">
        <f ca="1">AVERAGE(OFFSET($GY$3,0,0,'Données projet'!$E$18+1,1))-AVERAGE(OFFSET($H$3,0,0,'Données projet'!$E$18+1,1))</f>
        <v>308.80022073574963</v>
      </c>
      <c r="HA110" s="59">
        <f t="shared" si="106"/>
        <v>183.96267407004115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79.366965352948938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79.366965352948938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344.49457749226184</v>
      </c>
      <c r="T111" s="59">
        <f t="shared" si="88"/>
        <v>207.92972431357452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3</v>
      </c>
      <c r="AI111" s="13">
        <f>IF('Données projet'!$A$62&gt;35,AI110+AH111-AQ110,IF(A111&lt;'Données projet'!$A$62,$AF$205^A111,IF(A111='Données projet'!$A$62,'Données projet'!$B$62,AI110+AH111-AQ110)))</f>
        <v>212.99999999999991</v>
      </c>
      <c r="AJ111" s="13">
        <f>AI111*VLOOKUP('Données projet'!$B$10,Paramètres!$A$1:$I$89,3,0)*VLOOKUP('Données projet'!$B$10,Paramètres!$A$1:$I$89,5,0)</f>
        <v>192.72239999999991</v>
      </c>
      <c r="AK111" s="13">
        <f t="shared" si="89"/>
        <v>48.141337574630832</v>
      </c>
      <c r="AL111" s="20">
        <f t="shared" si="58"/>
        <v>419.50434294248186</v>
      </c>
      <c r="AM111" s="59">
        <f t="shared" si="59"/>
        <v>712.83767627581517</v>
      </c>
      <c r="AN111" s="59">
        <f ca="1">AVERAGE(OFFSET($AM$3,0,0,'Données projet'!$E$10+1,1))-AVERAGE(OFFSET($H$3,0,0,'Données projet'!$E$10+1,1))</f>
        <v>183.0147113277086</v>
      </c>
      <c r="AO111" s="59">
        <f t="shared" si="90"/>
        <v>76.413905647258389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46.456218399665872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46.456218399665872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253.79640000000001</v>
      </c>
      <c r="BF111" s="13">
        <f t="shared" si="91"/>
        <v>61.39816832228076</v>
      </c>
      <c r="BG111" s="20">
        <f t="shared" si="61"/>
        <v>548.96387316130563</v>
      </c>
      <c r="BH111" s="59">
        <f t="shared" si="62"/>
        <v>842.29720649463889</v>
      </c>
      <c r="BI111" s="59">
        <f ca="1">AVERAGE(OFFSET($BH$3,0,0,'Données projet'!$E$11+1,1))-AVERAGE(OFFSET($H$3,0,0,'Données projet'!$E$11+1,1))</f>
        <v>279.49721661620544</v>
      </c>
      <c r="BJ111" s="59">
        <f t="shared" si="92"/>
        <v>275.18739333988754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30.537133560346124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30.537133560346124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754.68411025369562</v>
      </c>
      <c r="CD111" s="59">
        <f ca="1">AVERAGE(OFFSET($CC$3,0,0,'Données projet'!$E$12+1,1))-AVERAGE(OFFSET($H$3,0,0,'Données projet'!$E$12+1,1))</f>
        <v>225.2323446080772</v>
      </c>
      <c r="CE111" s="59">
        <f t="shared" si="94"/>
        <v>222.29030402759292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24.91915962791138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24.91915962791138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213.00000000000003</v>
      </c>
      <c r="CU111" s="17">
        <f>CT111*VLOOKUP('Données projet'!$B$13,Paramètres!$A$1:$I$89,3,0)*VLOOKUP('Données projet'!$B$13,Paramètres!$A$1:$I$89,5,0)</f>
        <v>229.2732</v>
      </c>
      <c r="CV111" s="13">
        <f t="shared" si="95"/>
        <v>56.125501442527366</v>
      </c>
      <c r="CW111" s="20">
        <f t="shared" si="67"/>
        <v>497.06940501240177</v>
      </c>
      <c r="CX111" s="59">
        <f t="shared" si="68"/>
        <v>790.40273834573509</v>
      </c>
      <c r="CY111" s="59">
        <f ca="1">AVERAGE(OFFSET($CX$3,0,0,'Données projet'!$E$13+1,1))-AVERAGE(OFFSET($H$3,0,0,'Données projet'!$E$13+1,1))</f>
        <v>240.57184010337932</v>
      </c>
      <c r="CZ111" s="59">
        <f t="shared" si="96"/>
        <v>236.36473521227072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21.132106435195684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21.132106435195684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670.99999999999977</v>
      </c>
      <c r="DP111" s="17">
        <f>DO111*VLOOKUP('Données projet'!$B$14,Paramètres!$A$1:$I$89,3,0)*VLOOKUP('Données projet'!$B$14,Paramètres!$A$1:$I$89,5,0)</f>
        <v>314.02799999999991</v>
      </c>
      <c r="DQ111" s="13">
        <f t="shared" si="97"/>
        <v>74.109403804428752</v>
      </c>
      <c r="DR111" s="20">
        <f t="shared" si="70"/>
        <v>676.00597829271317</v>
      </c>
      <c r="DS111" s="59">
        <f t="shared" si="71"/>
        <v>969.33931162604654</v>
      </c>
      <c r="DT111" s="59">
        <f ca="1">AVERAGE(OFFSET($DS$3,0,0,'Données projet'!$E$14+1,1))-AVERAGE(OFFSET($H$3,0,0,'Données projet'!$E$14+1,1))</f>
        <v>304.29617570272939</v>
      </c>
      <c r="DU111" s="59">
        <f t="shared" si="98"/>
        <v>246.20695736161576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57.011591875689675</v>
      </c>
      <c r="EB111" s="21">
        <f>EXP(-LN(2)/25)*EB110+(1-EXP(-LN(2)/25))/(LN(2)/25)*Calculateur!DW111*Calculateur!DY111*VLOOKUP('Données projet'!$B$14,Paramètres!$A$1:$I$89,3,0)*0.475*44/12</f>
        <v>4.7073168612846779</v>
      </c>
      <c r="EC111" s="21">
        <f>EXP(-LN(2)/2)*EC110+(1-EXP(-LN(2)/2))/(LN(2)/2)*DW111*DZ111*VLOOKUP('Données projet'!$B$14,Paramètres!$A$1:$I$89,3,0)*0.475*44/12</f>
        <v>7.1562559090079255E-12</v>
      </c>
      <c r="ED111" s="22">
        <f t="shared" si="72"/>
        <v>61.718908736981511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477.9999999999996</v>
      </c>
      <c r="EK111" s="17">
        <f>EJ111*VLOOKUP('Données projet'!$B$15,Paramètres!$A$1:$I$89,3,0)*VLOOKUP('Données projet'!$B$15,Paramètres!$A$1:$I$89,5,0)</f>
        <v>285.84399999999977</v>
      </c>
      <c r="EL111" s="13">
        <f t="shared" si="99"/>
        <v>68.200525419065656</v>
      </c>
      <c r="EM111" s="20">
        <f t="shared" si="73"/>
        <v>616.62754843820551</v>
      </c>
      <c r="EN111" s="59">
        <f t="shared" si="74"/>
        <v>909.96088177153888</v>
      </c>
      <c r="EO111" s="59">
        <f ca="1">AVERAGE(OFFSET($EN$3,0,0,'Données projet'!$E$15+1,1))-AVERAGE(OFFSET($H$3,0,0,'Données projet'!$E$15+1,1))</f>
        <v>288.41846134875794</v>
      </c>
      <c r="EP111" s="59">
        <f t="shared" si="100"/>
        <v>248.93951719818972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41.246491753771267</v>
      </c>
      <c r="EW111" s="21">
        <f>EXP(-LN(2)/25)*EW110+(1-EXP(-LN(2)/25))/(LN(2)/25)*Calculateur!ER111*Calculateur!ET111*VLOOKUP('Données projet'!$B$15,Paramètres!$A$1:$I$89,3,0)*0.475*44/12</f>
        <v>3.2131711002173353</v>
      </c>
      <c r="EX111" s="21">
        <f>EXP(-LN(2)/2)*EX110+(1-EXP(-LN(2)/2))/(LN(2)/2)*ER111*EU111*VLOOKUP('Données projet'!$B$15,Paramètres!$A$1:$I$89,3,0)*0.475*44/12</f>
        <v>8.8520681743938897E-13</v>
      </c>
      <c r="EY111" s="22">
        <f t="shared" si="75"/>
        <v>44.459662853989492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789.00000000000045</v>
      </c>
      <c r="FF111" s="17">
        <f>FE111*VLOOKUP('Données projet'!$B$16,Paramètres!$A$1:$I$89,3,0)*VLOOKUP('Données projet'!$B$16,Paramètres!$A$1:$I$89,5,0)</f>
        <v>358.99500000000023</v>
      </c>
      <c r="FG111" s="13">
        <f t="shared" si="101"/>
        <v>83.411930940690553</v>
      </c>
      <c r="FH111" s="20">
        <f t="shared" si="76"/>
        <v>770.52540472170313</v>
      </c>
      <c r="FI111" s="59">
        <f t="shared" si="77"/>
        <v>1063.8587380550364</v>
      </c>
      <c r="FJ111" s="59">
        <f ca="1">AVERAGE(OFFSET($FI$3,0,0,'Données projet'!$E$16+1,1))-AVERAGE(OFFSET($H$3,0,0,'Données projet'!$E$16+1,1))</f>
        <v>367.36535411813264</v>
      </c>
      <c r="FK111" s="59">
        <f t="shared" si="102"/>
        <v>293.19545174980556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50.398282637706004</v>
      </c>
      <c r="FR111" s="21">
        <f>EXP(-LN(2)/25)*FR110+(1-EXP(-LN(2)/25))/(LN(2)/25)*Calculateur!FM111*Calculateur!FO111*VLOOKUP('Données projet'!$B$16,Paramètres!$A$1:$I$89,3,0)*0.475*44/12</f>
        <v>4.9801564959085098</v>
      </c>
      <c r="FS111" s="21">
        <f>EXP(-LN(2)/2)*FS110+(1-EXP(-LN(2)/2))/(LN(2)/2)*FM111*FP111*VLOOKUP('Données projet'!$B$16,Paramètres!$A$1:$I$89,3,0)*0.475*44/12</f>
        <v>1.3177700732202533E-12</v>
      </c>
      <c r="FT111" s="22">
        <f t="shared" si="78"/>
        <v>55.378439133615828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669.99999999999989</v>
      </c>
      <c r="GA111" s="17">
        <f>FZ111*VLOOKUP('Données projet'!$B$17,Paramètres!$A$1:$I$89,3,0)*VLOOKUP('Données projet'!$B$17,Paramètres!$A$1:$I$89,5,0)</f>
        <v>322.26999999999992</v>
      </c>
      <c r="GB111" s="13">
        <f t="shared" si="103"/>
        <v>75.825476822885776</v>
      </c>
      <c r="GC111" s="20">
        <f t="shared" si="79"/>
        <v>693.34962213319261</v>
      </c>
      <c r="GD111" s="59">
        <f t="shared" si="80"/>
        <v>986.68295546652598</v>
      </c>
      <c r="GE111" s="59">
        <f ca="1">AVERAGE(OFFSET($GD$3,0,0,'Données projet'!$E$17+1,1))-AVERAGE(OFFSET($H$3,0,0,'Données projet'!$E$17+1,1))</f>
        <v>312.64506496298173</v>
      </c>
      <c r="GF111" s="59">
        <f t="shared" si="104"/>
        <v>259.97532509897508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65.0594382670686</v>
      </c>
      <c r="GM111" s="21">
        <f>EXP(-LN(2)/25)*GM110+(1-EXP(-LN(2)/25))/(LN(2)/25)*Calculateur!GH111*Calculateur!GJ111*VLOOKUP('Données projet'!$B$17,Paramètres!$A$1:$I$89,3,0)*0.475*44/12</f>
        <v>2.2516309242456263</v>
      </c>
      <c r="GN111" s="21">
        <f>EXP(-LN(2)/2)*GN110+(1-EXP(-LN(2)/2))/(LN(2)/2)*GH111*GK111*VLOOKUP('Données projet'!$B$17,Paramètres!$A$1:$I$89,3,0)*0.475*44/12</f>
        <v>7.0048007574944848E-12</v>
      </c>
      <c r="GO111" s="21">
        <f t="shared" si="81"/>
        <v>67.311069191321238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4.2</v>
      </c>
      <c r="GU111" s="12">
        <f>IF('Données projet'!$A$270&gt;35,GU110+GT111-HC110,IF(A111&lt;'Données projet'!$A$270,$GR$205^A111,IF(A111='Données projet'!$A$270,'Données projet'!$B$270,GU110+GT111-HC110)))</f>
        <v>276.59999999999997</v>
      </c>
      <c r="GV111" s="17">
        <f>GU111*VLOOKUP('Données projet'!$B$18,Paramètres!$A$1:$I$89,3,0)*VLOOKUP('Données projet'!$B$18,Paramètres!$A$1:$I$89,5,0)</f>
        <v>280.47239999999999</v>
      </c>
      <c r="GW111" s="13">
        <f t="shared" si="105"/>
        <v>67.066830784504006</v>
      </c>
      <c r="GX111" s="20">
        <f t="shared" si="82"/>
        <v>605.29749361634447</v>
      </c>
      <c r="GY111" s="59">
        <f t="shared" si="83"/>
        <v>898.63082694967784</v>
      </c>
      <c r="GZ111" s="59">
        <f ca="1">AVERAGE(OFFSET($GY$3,0,0,'Données projet'!$E$18+1,1))-AVERAGE(OFFSET($H$3,0,0,'Données projet'!$E$18+1,1))</f>
        <v>308.80022073574963</v>
      </c>
      <c r="HA111" s="59">
        <f t="shared" si="106"/>
        <v>183.96267407004115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77.810627571446474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77.810627571446474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344.49457749226184</v>
      </c>
      <c r="T112" s="59">
        <f t="shared" si="88"/>
        <v>207.92972431357452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3</v>
      </c>
      <c r="AI112" s="13">
        <f>IF('Données projet'!$A$62&gt;35,AI111+AH112-AQ111,IF(A112&lt;'Données projet'!$A$62,$AF$205^A112,IF(A112='Données projet'!$A$62,'Données projet'!$B$62,AI111+AH112-AQ111)))</f>
        <v>215.99999999999991</v>
      </c>
      <c r="AJ112" s="13">
        <f>AI112*VLOOKUP('Données projet'!$B$10,Paramètres!$A$1:$I$89,3,0)*VLOOKUP('Données projet'!$B$10,Paramètres!$A$1:$I$89,5,0)</f>
        <v>195.43679999999992</v>
      </c>
      <c r="AK112" s="13">
        <f t="shared" si="89"/>
        <v>48.739971354487849</v>
      </c>
      <c r="AL112" s="20">
        <f t="shared" si="58"/>
        <v>425.27454344239953</v>
      </c>
      <c r="AM112" s="59">
        <f t="shared" si="59"/>
        <v>718.60787677573285</v>
      </c>
      <c r="AN112" s="59">
        <f ca="1">AVERAGE(OFFSET($AM$3,0,0,'Données projet'!$E$10+1,1))-AVERAGE(OFFSET($H$3,0,0,'Données projet'!$E$10+1,1))</f>
        <v>183.0147113277086</v>
      </c>
      <c r="AO112" s="59">
        <f t="shared" si="90"/>
        <v>76.413905647258389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45.545240292343749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45.545240292343749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253.79640000000001</v>
      </c>
      <c r="BF112" s="13">
        <f t="shared" si="91"/>
        <v>61.39816832228076</v>
      </c>
      <c r="BG112" s="20">
        <f t="shared" si="61"/>
        <v>548.96387316130563</v>
      </c>
      <c r="BH112" s="59">
        <f t="shared" si="62"/>
        <v>842.29720649463889</v>
      </c>
      <c r="BI112" s="59">
        <f ca="1">AVERAGE(OFFSET($BH$3,0,0,'Données projet'!$E$11+1,1))-AVERAGE(OFFSET($H$3,0,0,'Données projet'!$E$11+1,1))</f>
        <v>279.49721661620544</v>
      </c>
      <c r="BJ112" s="59">
        <f t="shared" si="92"/>
        <v>275.18739333988754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29.938318997040064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29.938318997040064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754.68411025369562</v>
      </c>
      <c r="CD112" s="59">
        <f ca="1">AVERAGE(OFFSET($CC$3,0,0,'Données projet'!$E$12+1,1))-AVERAGE(OFFSET($H$3,0,0,'Données projet'!$E$12+1,1))</f>
        <v>225.2323446080772</v>
      </c>
      <c r="CE112" s="59">
        <f t="shared" si="94"/>
        <v>222.29030402759292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24.430510106794618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24.430510106794618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213.00000000000003</v>
      </c>
      <c r="CU112" s="17">
        <f>CT112*VLOOKUP('Données projet'!$B$13,Paramètres!$A$1:$I$89,3,0)*VLOOKUP('Données projet'!$B$13,Paramètres!$A$1:$I$89,5,0)</f>
        <v>229.2732</v>
      </c>
      <c r="CV112" s="13">
        <f t="shared" si="95"/>
        <v>56.125501442527366</v>
      </c>
      <c r="CW112" s="20">
        <f t="shared" si="67"/>
        <v>497.06940501240177</v>
      </c>
      <c r="CX112" s="59">
        <f t="shared" si="68"/>
        <v>790.40273834573509</v>
      </c>
      <c r="CY112" s="59">
        <f ca="1">AVERAGE(OFFSET($CX$3,0,0,'Données projet'!$E$13+1,1))-AVERAGE(OFFSET($H$3,0,0,'Données projet'!$E$13+1,1))</f>
        <v>240.57184010337932</v>
      </c>
      <c r="CZ112" s="59">
        <f t="shared" si="96"/>
        <v>236.36473521227072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20.717718717313709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20.717718717313709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670.99999999999977</v>
      </c>
      <c r="DP112" s="17">
        <f>DO112*VLOOKUP('Données projet'!$B$14,Paramètres!$A$1:$I$89,3,0)*VLOOKUP('Données projet'!$B$14,Paramètres!$A$1:$I$89,5,0)</f>
        <v>314.02799999999991</v>
      </c>
      <c r="DQ112" s="13">
        <f t="shared" si="97"/>
        <v>74.109403804428752</v>
      </c>
      <c r="DR112" s="20">
        <f t="shared" si="70"/>
        <v>676.00597829271317</v>
      </c>
      <c r="DS112" s="59">
        <f t="shared" si="71"/>
        <v>969.33931162604654</v>
      </c>
      <c r="DT112" s="59">
        <f ca="1">AVERAGE(OFFSET($DS$3,0,0,'Données projet'!$E$14+1,1))-AVERAGE(OFFSET($H$3,0,0,'Données projet'!$E$14+1,1))</f>
        <v>304.29617570272939</v>
      </c>
      <c r="DU112" s="59">
        <f t="shared" si="98"/>
        <v>246.20695736161576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55.893629332644835</v>
      </c>
      <c r="EB112" s="21">
        <f>EXP(-LN(2)/25)*EB111+(1-EXP(-LN(2)/25))/(LN(2)/25)*Calculateur!DW112*Calculateur!DY112*VLOOKUP('Données projet'!$B$14,Paramètres!$A$1:$I$89,3,0)*0.475*44/12</f>
        <v>4.5785950341658133</v>
      </c>
      <c r="EC112" s="21">
        <f>EXP(-LN(2)/2)*EC111+(1-EXP(-LN(2)/2))/(LN(2)/2)*DW112*DZ112*VLOOKUP('Données projet'!$B$14,Paramètres!$A$1:$I$89,3,0)*0.475*44/12</f>
        <v>5.0602370811658053E-12</v>
      </c>
      <c r="ED112" s="22">
        <f t="shared" si="72"/>
        <v>60.472224366815709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477.9999999999996</v>
      </c>
      <c r="EK112" s="17">
        <f>EJ112*VLOOKUP('Données projet'!$B$15,Paramètres!$A$1:$I$89,3,0)*VLOOKUP('Données projet'!$B$15,Paramètres!$A$1:$I$89,5,0)</f>
        <v>285.84399999999977</v>
      </c>
      <c r="EL112" s="13">
        <f t="shared" si="99"/>
        <v>68.200525419065656</v>
      </c>
      <c r="EM112" s="20">
        <f t="shared" si="73"/>
        <v>616.62754843820551</v>
      </c>
      <c r="EN112" s="59">
        <f t="shared" si="74"/>
        <v>909.96088177153888</v>
      </c>
      <c r="EO112" s="59">
        <f ca="1">AVERAGE(OFFSET($EN$3,0,0,'Données projet'!$E$15+1,1))-AVERAGE(OFFSET($H$3,0,0,'Données projet'!$E$15+1,1))</f>
        <v>288.41846134875794</v>
      </c>
      <c r="EP112" s="59">
        <f t="shared" si="100"/>
        <v>248.93951719818972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40.437673208355648</v>
      </c>
      <c r="EW112" s="21">
        <f>EXP(-LN(2)/25)*EW111+(1-EXP(-LN(2)/25))/(LN(2)/25)*Calculateur!ER112*Calculateur!ET112*VLOOKUP('Données projet'!$B$15,Paramètres!$A$1:$I$89,3,0)*0.475*44/12</f>
        <v>3.125306767508568</v>
      </c>
      <c r="EX112" s="21">
        <f>EXP(-LN(2)/2)*EX111+(1-EXP(-LN(2)/2))/(LN(2)/2)*ER112*EU112*VLOOKUP('Données projet'!$B$15,Paramètres!$A$1:$I$89,3,0)*0.475*44/12</f>
        <v>6.2593574336395417E-13</v>
      </c>
      <c r="EY112" s="22">
        <f t="shared" si="75"/>
        <v>43.562979975864842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789.00000000000045</v>
      </c>
      <c r="FF112" s="17">
        <f>FE112*VLOOKUP('Données projet'!$B$16,Paramètres!$A$1:$I$89,3,0)*VLOOKUP('Données projet'!$B$16,Paramètres!$A$1:$I$89,5,0)</f>
        <v>358.99500000000023</v>
      </c>
      <c r="FG112" s="13">
        <f t="shared" si="101"/>
        <v>83.411930940690553</v>
      </c>
      <c r="FH112" s="20">
        <f t="shared" si="76"/>
        <v>770.52540472170313</v>
      </c>
      <c r="FI112" s="59">
        <f t="shared" si="77"/>
        <v>1063.8587380550364</v>
      </c>
      <c r="FJ112" s="59">
        <f ca="1">AVERAGE(OFFSET($FI$3,0,0,'Données projet'!$E$16+1,1))-AVERAGE(OFFSET($H$3,0,0,'Données projet'!$E$16+1,1))</f>
        <v>367.36535411813264</v>
      </c>
      <c r="FK112" s="59">
        <f t="shared" si="102"/>
        <v>293.19545174980556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49.410003055097683</v>
      </c>
      <c r="FR112" s="21">
        <f>EXP(-LN(2)/25)*FR111+(1-EXP(-LN(2)/25))/(LN(2)/25)*Calculateur!FM112*Calculateur!FO112*VLOOKUP('Données projet'!$B$16,Paramètres!$A$1:$I$89,3,0)*0.475*44/12</f>
        <v>4.8439738546328437</v>
      </c>
      <c r="FS112" s="21">
        <f>EXP(-LN(2)/2)*FS111+(1-EXP(-LN(2)/2))/(LN(2)/2)*FM112*FP112*VLOOKUP('Données projet'!$B$16,Paramètres!$A$1:$I$89,3,0)*0.475*44/12</f>
        <v>9.318041548187343E-13</v>
      </c>
      <c r="FT112" s="22">
        <f t="shared" si="78"/>
        <v>54.253976909731456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669.99999999999989</v>
      </c>
      <c r="GA112" s="17">
        <f>FZ112*VLOOKUP('Données projet'!$B$17,Paramètres!$A$1:$I$89,3,0)*VLOOKUP('Données projet'!$B$17,Paramètres!$A$1:$I$89,5,0)</f>
        <v>322.26999999999992</v>
      </c>
      <c r="GB112" s="13">
        <f t="shared" si="103"/>
        <v>75.825476822885776</v>
      </c>
      <c r="GC112" s="20">
        <f t="shared" si="79"/>
        <v>693.34962213319261</v>
      </c>
      <c r="GD112" s="59">
        <f t="shared" si="80"/>
        <v>986.68295546652598</v>
      </c>
      <c r="GE112" s="59">
        <f ca="1">AVERAGE(OFFSET($GD$3,0,0,'Données projet'!$E$17+1,1))-AVERAGE(OFFSET($H$3,0,0,'Données projet'!$E$17+1,1))</f>
        <v>312.64506496298173</v>
      </c>
      <c r="GF112" s="59">
        <f t="shared" si="104"/>
        <v>259.97532509897508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63.78366236499042</v>
      </c>
      <c r="GM112" s="21">
        <f>EXP(-LN(2)/25)*GM111+(1-EXP(-LN(2)/25))/(LN(2)/25)*Calculateur!GH112*Calculateur!GJ112*VLOOKUP('Données projet'!$B$17,Paramètres!$A$1:$I$89,3,0)*0.475*44/12</f>
        <v>2.1900599582140057</v>
      </c>
      <c r="GN112" s="21">
        <f>EXP(-LN(2)/2)*GN111+(1-EXP(-LN(2)/2))/(LN(2)/2)*GH112*GK112*VLOOKUP('Données projet'!$B$17,Paramètres!$A$1:$I$89,3,0)*0.475*44/12</f>
        <v>4.9531421164850149E-12</v>
      </c>
      <c r="GO112" s="21">
        <f t="shared" si="81"/>
        <v>65.973722323209387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4.2</v>
      </c>
      <c r="GU112" s="12">
        <f>IF('Données projet'!$A$270&gt;35,GU111+GT112-HC111,IF(A112&lt;'Données projet'!$A$270,$GR$205^A112,IF(A112='Données projet'!$A$270,'Données projet'!$B$270,GU111+GT112-HC111)))</f>
        <v>280.79999999999995</v>
      </c>
      <c r="GV112" s="17">
        <f>GU112*VLOOKUP('Données projet'!$B$18,Paramètres!$A$1:$I$89,3,0)*VLOOKUP('Données projet'!$B$18,Paramètres!$A$1:$I$89,5,0)</f>
        <v>284.7312</v>
      </c>
      <c r="GW112" s="13">
        <f t="shared" si="105"/>
        <v>67.96587032005101</v>
      </c>
      <c r="GX112" s="20">
        <f t="shared" si="82"/>
        <v>614.28073080742217</v>
      </c>
      <c r="GY112" s="59">
        <f t="shared" si="83"/>
        <v>907.61406414075554</v>
      </c>
      <c r="GZ112" s="59">
        <f ca="1">AVERAGE(OFFSET($GY$3,0,0,'Données projet'!$E$18+1,1))-AVERAGE(OFFSET($H$3,0,0,'Données projet'!$E$18+1,1))</f>
        <v>308.80022073574963</v>
      </c>
      <c r="HA112" s="59">
        <f t="shared" si="106"/>
        <v>183.96267407004115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76.284808624566963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76.284808624566963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344.49457749226184</v>
      </c>
      <c r="T113" s="59">
        <f t="shared" si="88"/>
        <v>207.92972431357452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219</v>
      </c>
      <c r="AG113" s="12">
        <f>VLOOKUP(A113,'Données projet'!$A$61:$I$81,9,0)</f>
        <v>3</v>
      </c>
      <c r="AH113" s="12">
        <f t="array" ref="AH113">INDEX(AG:AG,MIN(IF(ISNUMBER(AG113:AG309),ROW(AG113:AG309),"")))</f>
        <v>3</v>
      </c>
      <c r="AI113" s="13">
        <f>IF('Données projet'!$A$62&gt;35,AI112+AH113-AQ112,IF(A113&lt;'Données projet'!$A$62,$AF$205^A113,IF(A113='Données projet'!$A$62,'Données projet'!$B$62,AI112+AH113-AQ112)))</f>
        <v>218.99999999999991</v>
      </c>
      <c r="AJ113" s="13">
        <f>AI113*VLOOKUP('Données projet'!$B$10,Paramètres!$A$1:$I$89,3,0)*VLOOKUP('Données projet'!$B$10,Paramètres!$A$1:$I$89,5,0)</f>
        <v>198.1511999999999</v>
      </c>
      <c r="AK113" s="13">
        <f t="shared" si="89"/>
        <v>49.337638092068914</v>
      </c>
      <c r="AL113" s="20">
        <f t="shared" si="58"/>
        <v>431.04305967701981</v>
      </c>
      <c r="AM113" s="59">
        <f t="shared" si="59"/>
        <v>724.37639301035313</v>
      </c>
      <c r="AN113" s="59">
        <f ca="1">AVERAGE(OFFSET($AM$3,0,0,'Données projet'!$E$10+1,1))-AVERAGE(OFFSET($H$3,0,0,'Données projet'!$E$10+1,1))</f>
        <v>183.0147113277086</v>
      </c>
      <c r="AO113" s="59">
        <f t="shared" si="90"/>
        <v>76.413905647258389</v>
      </c>
      <c r="AP113" s="15">
        <f>IF(ISNA(VLOOKUP(A113,'Données projet'!$A$61:$I$81,3,0)),0,VLOOKUP(A113,'Données projet'!$A$61:$I$81,3,0))</f>
        <v>16</v>
      </c>
      <c r="AQ113" s="15">
        <f>IF(ISNA(VLOOKUP(A113,'Données projet'!$A$61:$I$81,4,0)),0,VLOOKUP(A113,'Données projet'!$A$61:$I$81,4,0))</f>
        <v>13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50.243409370718332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50.243409370718332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253.79640000000001</v>
      </c>
      <c r="BF113" s="13">
        <f t="shared" si="91"/>
        <v>61.39816832228076</v>
      </c>
      <c r="BG113" s="20">
        <f t="shared" si="61"/>
        <v>548.96387316130563</v>
      </c>
      <c r="BH113" s="59">
        <f t="shared" si="62"/>
        <v>842.29720649463889</v>
      </c>
      <c r="BI113" s="59">
        <f ca="1">AVERAGE(OFFSET($BH$3,0,0,'Données projet'!$E$11+1,1))-AVERAGE(OFFSET($H$3,0,0,'Données projet'!$E$11+1,1))</f>
        <v>279.49721661620544</v>
      </c>
      <c r="BJ113" s="59">
        <f t="shared" si="92"/>
        <v>275.18739333988754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29.351246822079613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29.351246822079613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754.68411025369562</v>
      </c>
      <c r="CD113" s="59">
        <f ca="1">AVERAGE(OFFSET($CC$3,0,0,'Données projet'!$E$12+1,1))-AVERAGE(OFFSET($H$3,0,0,'Données projet'!$E$12+1,1))</f>
        <v>225.2323446080772</v>
      </c>
      <c r="CE113" s="59">
        <f t="shared" si="94"/>
        <v>222.29030402759292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23.951442704740174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23.951442704740174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213.00000000000003</v>
      </c>
      <c r="CU113" s="17">
        <f>CT113*VLOOKUP('Données projet'!$B$13,Paramètres!$A$1:$I$89,3,0)*VLOOKUP('Données projet'!$B$13,Paramètres!$A$1:$I$89,5,0)</f>
        <v>229.2732</v>
      </c>
      <c r="CV113" s="13">
        <f t="shared" si="95"/>
        <v>56.125501442527366</v>
      </c>
      <c r="CW113" s="20">
        <f t="shared" si="67"/>
        <v>497.06940501240177</v>
      </c>
      <c r="CX113" s="59">
        <f t="shared" si="68"/>
        <v>790.40273834573509</v>
      </c>
      <c r="CY113" s="59">
        <f ca="1">AVERAGE(OFFSET($CX$3,0,0,'Données projet'!$E$13+1,1))-AVERAGE(OFFSET($H$3,0,0,'Données projet'!$E$13+1,1))</f>
        <v>240.57184010337932</v>
      </c>
      <c r="CZ113" s="59">
        <f t="shared" si="96"/>
        <v>236.36473521227072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20.311456889827848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20.311456889827848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670.99999999999977</v>
      </c>
      <c r="DP113" s="17">
        <f>DO113*VLOOKUP('Données projet'!$B$14,Paramètres!$A$1:$I$89,3,0)*VLOOKUP('Données projet'!$B$14,Paramètres!$A$1:$I$89,5,0)</f>
        <v>314.02799999999991</v>
      </c>
      <c r="DQ113" s="13">
        <f t="shared" si="97"/>
        <v>74.109403804428752</v>
      </c>
      <c r="DR113" s="20">
        <f t="shared" si="70"/>
        <v>676.00597829271317</v>
      </c>
      <c r="DS113" s="59">
        <f t="shared" si="71"/>
        <v>969.33931162604654</v>
      </c>
      <c r="DT113" s="59">
        <f ca="1">AVERAGE(OFFSET($DS$3,0,0,'Données projet'!$E$14+1,1))-AVERAGE(OFFSET($H$3,0,0,'Données projet'!$E$14+1,1))</f>
        <v>304.29617570272939</v>
      </c>
      <c r="DU113" s="59">
        <f t="shared" si="98"/>
        <v>246.20695736161576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54.797589353179283</v>
      </c>
      <c r="EB113" s="21">
        <f>EXP(-LN(2)/25)*EB112+(1-EXP(-LN(2)/25))/(LN(2)/25)*Calculateur!DW113*Calculateur!DY113*VLOOKUP('Données projet'!$B$14,Paramètres!$A$1:$I$89,3,0)*0.475*44/12</f>
        <v>4.4533931121787012</v>
      </c>
      <c r="EC113" s="21">
        <f>EXP(-LN(2)/2)*EC112+(1-EXP(-LN(2)/2))/(LN(2)/2)*DW113*DZ113*VLOOKUP('Données projet'!$B$14,Paramètres!$A$1:$I$89,3,0)*0.475*44/12</f>
        <v>3.5781279545039631E-12</v>
      </c>
      <c r="ED113" s="22">
        <f t="shared" si="72"/>
        <v>59.250982465361567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477.9999999999996</v>
      </c>
      <c r="EK113" s="17">
        <f>EJ113*VLOOKUP('Données projet'!$B$15,Paramètres!$A$1:$I$89,3,0)*VLOOKUP('Données projet'!$B$15,Paramètres!$A$1:$I$89,5,0)</f>
        <v>285.84399999999977</v>
      </c>
      <c r="EL113" s="13">
        <f t="shared" si="99"/>
        <v>68.200525419065656</v>
      </c>
      <c r="EM113" s="20">
        <f t="shared" si="73"/>
        <v>616.62754843820551</v>
      </c>
      <c r="EN113" s="59">
        <f t="shared" si="74"/>
        <v>909.96088177153888</v>
      </c>
      <c r="EO113" s="59">
        <f ca="1">AVERAGE(OFFSET($EN$3,0,0,'Données projet'!$E$15+1,1))-AVERAGE(OFFSET($H$3,0,0,'Données projet'!$E$15+1,1))</f>
        <v>288.41846134875794</v>
      </c>
      <c r="EP113" s="59">
        <f t="shared" si="100"/>
        <v>248.93951719818972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39.64471510128503</v>
      </c>
      <c r="EW113" s="21">
        <f>EXP(-LN(2)/25)*EW112+(1-EXP(-LN(2)/25))/(LN(2)/25)*Calculateur!ER113*Calculateur!ET113*VLOOKUP('Données projet'!$B$15,Paramètres!$A$1:$I$89,3,0)*0.475*44/12</f>
        <v>3.0398450895983062</v>
      </c>
      <c r="EX113" s="21">
        <f>EXP(-LN(2)/2)*EX112+(1-EXP(-LN(2)/2))/(LN(2)/2)*ER113*EU113*VLOOKUP('Données projet'!$B$15,Paramètres!$A$1:$I$89,3,0)*0.475*44/12</f>
        <v>4.4260340871969453E-13</v>
      </c>
      <c r="EY113" s="22">
        <f t="shared" si="75"/>
        <v>42.684560190883779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789.00000000000045</v>
      </c>
      <c r="FF113" s="17">
        <f>FE113*VLOOKUP('Données projet'!$B$16,Paramètres!$A$1:$I$89,3,0)*VLOOKUP('Données projet'!$B$16,Paramètres!$A$1:$I$89,5,0)</f>
        <v>358.99500000000023</v>
      </c>
      <c r="FG113" s="13">
        <f t="shared" si="101"/>
        <v>83.411930940690553</v>
      </c>
      <c r="FH113" s="20">
        <f t="shared" si="76"/>
        <v>770.52540472170313</v>
      </c>
      <c r="FI113" s="59">
        <f t="shared" si="77"/>
        <v>1063.8587380550364</v>
      </c>
      <c r="FJ113" s="59">
        <f ca="1">AVERAGE(OFFSET($FI$3,0,0,'Données projet'!$E$16+1,1))-AVERAGE(OFFSET($H$3,0,0,'Données projet'!$E$16+1,1))</f>
        <v>367.36535411813264</v>
      </c>
      <c r="FK113" s="59">
        <f t="shared" si="102"/>
        <v>293.19545174980556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48.441103032313286</v>
      </c>
      <c r="FR113" s="21">
        <f>EXP(-LN(2)/25)*FR112+(1-EXP(-LN(2)/25))/(LN(2)/25)*Calculateur!FM113*Calculateur!FO113*VLOOKUP('Données projet'!$B$16,Paramètres!$A$1:$I$89,3,0)*0.475*44/12</f>
        <v>4.7115151348443947</v>
      </c>
      <c r="FS113" s="21">
        <f>EXP(-LN(2)/2)*FS112+(1-EXP(-LN(2)/2))/(LN(2)/2)*FM113*FP113*VLOOKUP('Données projet'!$B$16,Paramètres!$A$1:$I$89,3,0)*0.475*44/12</f>
        <v>6.5888503661012663E-13</v>
      </c>
      <c r="FT113" s="22">
        <f t="shared" si="78"/>
        <v>53.152618167158344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669.99999999999989</v>
      </c>
      <c r="GA113" s="17">
        <f>FZ113*VLOOKUP('Données projet'!$B$17,Paramètres!$A$1:$I$89,3,0)*VLOOKUP('Données projet'!$B$17,Paramètres!$A$1:$I$89,5,0)</f>
        <v>322.26999999999992</v>
      </c>
      <c r="GB113" s="13">
        <f t="shared" si="103"/>
        <v>75.825476822885776</v>
      </c>
      <c r="GC113" s="20">
        <f t="shared" si="79"/>
        <v>693.34962213319261</v>
      </c>
      <c r="GD113" s="59">
        <f t="shared" si="80"/>
        <v>986.68295546652598</v>
      </c>
      <c r="GE113" s="59">
        <f ca="1">AVERAGE(OFFSET($GD$3,0,0,'Données projet'!$E$17+1,1))-AVERAGE(OFFSET($H$3,0,0,'Données projet'!$E$17+1,1))</f>
        <v>312.64506496298173</v>
      </c>
      <c r="GF113" s="59">
        <f t="shared" si="104"/>
        <v>259.97532509897508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62.532903650205533</v>
      </c>
      <c r="GM113" s="21">
        <f>EXP(-LN(2)/25)*GM112+(1-EXP(-LN(2)/25))/(LN(2)/25)*Calculateur!GH113*Calculateur!GJ113*VLOOKUP('Données projet'!$B$17,Paramètres!$A$1:$I$89,3,0)*0.475*44/12</f>
        <v>2.1301726534863961</v>
      </c>
      <c r="GN113" s="21">
        <f>EXP(-LN(2)/2)*GN112+(1-EXP(-LN(2)/2))/(LN(2)/2)*GH113*GK113*VLOOKUP('Données projet'!$B$17,Paramètres!$A$1:$I$89,3,0)*0.475*44/12</f>
        <v>3.5024003787472424E-12</v>
      </c>
      <c r="GO113" s="21">
        <f t="shared" si="81"/>
        <v>64.663076303695419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285</v>
      </c>
      <c r="GS113" s="12">
        <f>VLOOKUP(A113,'Données projet'!$A$269:$I$289,9,0)</f>
        <v>4.2</v>
      </c>
      <c r="GT113" s="12">
        <f t="array" ref="GT113">INDEX(GS:GS,MIN(IF(ISNUMBER(GS113:GS309),ROW(GS113:GS309),"")))</f>
        <v>4.2</v>
      </c>
      <c r="GU113" s="12">
        <f>IF('Données projet'!$A$270&gt;35,GU112+GT113-HC112,IF(A113&lt;'Données projet'!$A$270,$GR$205^A113,IF(A113='Données projet'!$A$270,'Données projet'!$B$270,GU112+GT113-HC112)))</f>
        <v>284.99999999999994</v>
      </c>
      <c r="GV113" s="17">
        <f>GU113*VLOOKUP('Données projet'!$B$18,Paramètres!$A$1:$I$89,3,0)*VLOOKUP('Données projet'!$B$18,Paramètres!$A$1:$I$89,5,0)</f>
        <v>288.98999999999995</v>
      </c>
      <c r="GW113" s="13">
        <f t="shared" si="105"/>
        <v>68.863345904836791</v>
      </c>
      <c r="GX113" s="20">
        <f t="shared" si="82"/>
        <v>623.26124411759065</v>
      </c>
      <c r="GY113" s="59">
        <f t="shared" si="83"/>
        <v>916.59457745092391</v>
      </c>
      <c r="GZ113" s="59">
        <f ca="1">AVERAGE(OFFSET($GY$3,0,0,'Données projet'!$E$18+1,1))-AVERAGE(OFFSET($H$3,0,0,'Données projet'!$E$18+1,1))</f>
        <v>308.80022073574963</v>
      </c>
      <c r="HA113" s="59">
        <f t="shared" si="106"/>
        <v>183.96267407004115</v>
      </c>
      <c r="HB113" s="15">
        <f>IF(ISNA(VLOOKUP(A113,'Données projet'!$A$269:$I$289,3,0)),0,VLOOKUP(A113,'Données projet'!$A$269:$I$289,3,0))</f>
        <v>18</v>
      </c>
      <c r="HC113" s="15">
        <f>IF(ISNA(VLOOKUP(A113,'Données projet'!$A$269:$I$289,4,0)),0,VLOOKUP(A113,'Données projet'!$A$269:$I$289,4,0))</f>
        <v>19</v>
      </c>
      <c r="HD113" s="16">
        <f>IF(ISNA(VLOOKUP(A113,'Données projet'!$A$269:$I$289,5,0)),0%,VLOOKUP(A113,'Données projet'!$A$269:$I$289,5,0)*VLOOKUP('Données projet'!$B$18,Paramètres!$A$1:$I$89,7,0))</f>
        <v>0.43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83.947046759373265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83.947046759373265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344.49457749226184</v>
      </c>
      <c r="T114" s="59">
        <f t="shared" si="88"/>
        <v>207.92972431357452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</v>
      </c>
      <c r="AI114" s="13">
        <f>IF('Données projet'!$A$62&gt;35,AI113+AH114-AQ113,IF(A114&lt;'Données projet'!$A$62,$AF$205^A114,IF(A114='Données projet'!$A$62,'Données projet'!$B$62,AI113+AH114-AQ113)))</f>
        <v>208.99999999999991</v>
      </c>
      <c r="AJ114" s="13">
        <f>AI114*VLOOKUP('Données projet'!$B$10,Paramètres!$A$1:$I$89,3,0)*VLOOKUP('Données projet'!$B$10,Paramètres!$A$1:$I$89,5,0)</f>
        <v>189.10319999999993</v>
      </c>
      <c r="AK114" s="13">
        <f t="shared" si="89"/>
        <v>47.34162854278712</v>
      </c>
      <c r="AL114" s="20">
        <f t="shared" si="58"/>
        <v>411.80807637868742</v>
      </c>
      <c r="AM114" s="59">
        <f t="shared" si="59"/>
        <v>705.14140971202073</v>
      </c>
      <c r="AN114" s="59">
        <f ca="1">AVERAGE(OFFSET($AM$3,0,0,'Données projet'!$E$10+1,1))-AVERAGE(OFFSET($H$3,0,0,'Données projet'!$E$10+1,1))</f>
        <v>183.0147113277086</v>
      </c>
      <c r="AO114" s="59">
        <f t="shared" si="90"/>
        <v>76.413905647258389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49.258166758412273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49.258166758412273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253.79640000000001</v>
      </c>
      <c r="BF114" s="13">
        <f t="shared" si="91"/>
        <v>61.39816832228076</v>
      </c>
      <c r="BG114" s="20">
        <f t="shared" si="61"/>
        <v>548.96387316130563</v>
      </c>
      <c r="BH114" s="59">
        <f t="shared" si="62"/>
        <v>842.29720649463889</v>
      </c>
      <c r="BI114" s="59">
        <f ca="1">AVERAGE(OFFSET($BH$3,0,0,'Données projet'!$E$11+1,1))-AVERAGE(OFFSET($H$3,0,0,'Données projet'!$E$11+1,1))</f>
        <v>279.49721661620544</v>
      </c>
      <c r="BJ114" s="59">
        <f t="shared" si="92"/>
        <v>275.18739333988754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28.77568677439147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28.77568677439147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754.68411025369562</v>
      </c>
      <c r="CD114" s="59">
        <f ca="1">AVERAGE(OFFSET($CC$3,0,0,'Données projet'!$E$12+1,1))-AVERAGE(OFFSET($H$3,0,0,'Données projet'!$E$12+1,1))</f>
        <v>225.2323446080772</v>
      </c>
      <c r="CE114" s="59">
        <f t="shared" si="94"/>
        <v>222.29030402759292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23.481769522237755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23.481769522237755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213.00000000000003</v>
      </c>
      <c r="CU114" s="17">
        <f>CT114*VLOOKUP('Données projet'!$B$13,Paramètres!$A$1:$I$89,3,0)*VLOOKUP('Données projet'!$B$13,Paramètres!$A$1:$I$89,5,0)</f>
        <v>229.2732</v>
      </c>
      <c r="CV114" s="13">
        <f t="shared" si="95"/>
        <v>56.125501442527366</v>
      </c>
      <c r="CW114" s="20">
        <f t="shared" si="67"/>
        <v>497.06940501240177</v>
      </c>
      <c r="CX114" s="59">
        <f t="shared" si="68"/>
        <v>790.40273834573509</v>
      </c>
      <c r="CY114" s="59">
        <f ca="1">AVERAGE(OFFSET($CX$3,0,0,'Données projet'!$E$13+1,1))-AVERAGE(OFFSET($H$3,0,0,'Données projet'!$E$13+1,1))</f>
        <v>240.57184010337932</v>
      </c>
      <c r="CZ114" s="59">
        <f t="shared" si="96"/>
        <v>236.36473521227072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19.913161608983739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19.913161608983739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670.99999999999977</v>
      </c>
      <c r="DP114" s="17">
        <f>DO114*VLOOKUP('Données projet'!$B$14,Paramètres!$A$1:$I$89,3,0)*VLOOKUP('Données projet'!$B$14,Paramètres!$A$1:$I$89,5,0)</f>
        <v>314.02799999999991</v>
      </c>
      <c r="DQ114" s="13">
        <f t="shared" si="97"/>
        <v>74.109403804428752</v>
      </c>
      <c r="DR114" s="20">
        <f t="shared" si="70"/>
        <v>676.00597829271317</v>
      </c>
      <c r="DS114" s="59">
        <f t="shared" si="71"/>
        <v>969.33931162604654</v>
      </c>
      <c r="DT114" s="59">
        <f ca="1">AVERAGE(OFFSET($DS$3,0,0,'Données projet'!$E$14+1,1))-AVERAGE(OFFSET($H$3,0,0,'Données projet'!$E$14+1,1))</f>
        <v>304.29617570272939</v>
      </c>
      <c r="DU114" s="59">
        <f t="shared" si="98"/>
        <v>246.20695736161576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53.723042049192671</v>
      </c>
      <c r="EB114" s="21">
        <f>EXP(-LN(2)/25)*EB113+(1-EXP(-LN(2)/25))/(LN(2)/25)*Calculateur!DW114*Calculateur!DY114*VLOOKUP('Données projet'!$B$14,Paramètres!$A$1:$I$89,3,0)*0.475*44/12</f>
        <v>4.3316148433324093</v>
      </c>
      <c r="EC114" s="21">
        <f>EXP(-LN(2)/2)*EC113+(1-EXP(-LN(2)/2))/(LN(2)/2)*DW114*DZ114*VLOOKUP('Données projet'!$B$14,Paramètres!$A$1:$I$89,3,0)*0.475*44/12</f>
        <v>2.530118540582903E-12</v>
      </c>
      <c r="ED114" s="22">
        <f t="shared" si="72"/>
        <v>58.054656892527611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477.9999999999996</v>
      </c>
      <c r="EK114" s="17">
        <f>EJ114*VLOOKUP('Données projet'!$B$15,Paramètres!$A$1:$I$89,3,0)*VLOOKUP('Données projet'!$B$15,Paramètres!$A$1:$I$89,5,0)</f>
        <v>285.84399999999977</v>
      </c>
      <c r="EL114" s="13">
        <f t="shared" si="99"/>
        <v>68.200525419065656</v>
      </c>
      <c r="EM114" s="20">
        <f t="shared" si="73"/>
        <v>616.62754843820551</v>
      </c>
      <c r="EN114" s="59">
        <f t="shared" si="74"/>
        <v>909.96088177153888</v>
      </c>
      <c r="EO114" s="59">
        <f ca="1">AVERAGE(OFFSET($EN$3,0,0,'Données projet'!$E$15+1,1))-AVERAGE(OFFSET($H$3,0,0,'Données projet'!$E$15+1,1))</f>
        <v>288.41846134875794</v>
      </c>
      <c r="EP114" s="59">
        <f t="shared" si="100"/>
        <v>248.93951719818972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38.867306419037376</v>
      </c>
      <c r="EW114" s="21">
        <f>EXP(-LN(2)/25)*EW113+(1-EXP(-LN(2)/25))/(LN(2)/25)*Calculateur!ER114*Calculateur!ET114*VLOOKUP('Données projet'!$B$15,Paramètres!$A$1:$I$89,3,0)*0.475*44/12</f>
        <v>2.9567203657647347</v>
      </c>
      <c r="EX114" s="21">
        <f>EXP(-LN(2)/2)*EX113+(1-EXP(-LN(2)/2))/(LN(2)/2)*ER114*EU114*VLOOKUP('Données projet'!$B$15,Paramètres!$A$1:$I$89,3,0)*0.475*44/12</f>
        <v>3.1296787168197713E-13</v>
      </c>
      <c r="EY114" s="22">
        <f t="shared" si="75"/>
        <v>41.824026784802427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789.00000000000045</v>
      </c>
      <c r="FF114" s="17">
        <f>FE114*VLOOKUP('Données projet'!$B$16,Paramètres!$A$1:$I$89,3,0)*VLOOKUP('Données projet'!$B$16,Paramètres!$A$1:$I$89,5,0)</f>
        <v>358.99500000000023</v>
      </c>
      <c r="FG114" s="13">
        <f t="shared" si="101"/>
        <v>83.411930940690553</v>
      </c>
      <c r="FH114" s="20">
        <f t="shared" si="76"/>
        <v>770.52540472170313</v>
      </c>
      <c r="FI114" s="59">
        <f t="shared" si="77"/>
        <v>1063.8587380550364</v>
      </c>
      <c r="FJ114" s="59">
        <f ca="1">AVERAGE(OFFSET($FI$3,0,0,'Données projet'!$E$16+1,1))-AVERAGE(OFFSET($H$3,0,0,'Données projet'!$E$16+1,1))</f>
        <v>367.36535411813264</v>
      </c>
      <c r="FK114" s="59">
        <f t="shared" si="102"/>
        <v>293.19545174980556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47.491202548005035</v>
      </c>
      <c r="FR114" s="21">
        <f>EXP(-LN(2)/25)*FR113+(1-EXP(-LN(2)/25))/(LN(2)/25)*Calculateur!FM114*Calculateur!FO114*VLOOKUP('Données projet'!$B$16,Paramètres!$A$1:$I$89,3,0)*0.475*44/12</f>
        <v>4.5826785057142621</v>
      </c>
      <c r="FS114" s="21">
        <f>EXP(-LN(2)/2)*FS113+(1-EXP(-LN(2)/2))/(LN(2)/2)*FM114*FP114*VLOOKUP('Données projet'!$B$16,Paramètres!$A$1:$I$89,3,0)*0.475*44/12</f>
        <v>4.6590207740936715E-13</v>
      </c>
      <c r="FT114" s="22">
        <f t="shared" si="78"/>
        <v>52.073881053719766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669.99999999999989</v>
      </c>
      <c r="GA114" s="17">
        <f>FZ114*VLOOKUP('Données projet'!$B$17,Paramètres!$A$1:$I$89,3,0)*VLOOKUP('Données projet'!$B$17,Paramètres!$A$1:$I$89,5,0)</f>
        <v>322.26999999999992</v>
      </c>
      <c r="GB114" s="13">
        <f t="shared" si="103"/>
        <v>75.825476822885776</v>
      </c>
      <c r="GC114" s="20">
        <f t="shared" si="79"/>
        <v>693.34962213319261</v>
      </c>
      <c r="GD114" s="59">
        <f t="shared" si="80"/>
        <v>986.68295546652598</v>
      </c>
      <c r="GE114" s="59">
        <f ca="1">AVERAGE(OFFSET($GD$3,0,0,'Données projet'!$E$17+1,1))-AVERAGE(OFFSET($H$3,0,0,'Données projet'!$E$17+1,1))</f>
        <v>312.64506496298173</v>
      </c>
      <c r="GF114" s="59">
        <f t="shared" si="104"/>
        <v>259.97532509897508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61.306671550930091</v>
      </c>
      <c r="GM114" s="21">
        <f>EXP(-LN(2)/25)*GM113+(1-EXP(-LN(2)/25))/(LN(2)/25)*Calculateur!GH114*Calculateur!GJ114*VLOOKUP('Données projet'!$B$17,Paramètres!$A$1:$I$89,3,0)*0.475*44/12</f>
        <v>2.0719229702558994</v>
      </c>
      <c r="GN114" s="21">
        <f>EXP(-LN(2)/2)*GN113+(1-EXP(-LN(2)/2))/(LN(2)/2)*GH114*GK114*VLOOKUP('Données projet'!$B$17,Paramètres!$A$1:$I$89,3,0)*0.475*44/12</f>
        <v>2.4765710582425075E-12</v>
      </c>
      <c r="GO114" s="21">
        <f t="shared" si="81"/>
        <v>63.378594521188468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3.8</v>
      </c>
      <c r="GU114" s="12">
        <f>IF('Données projet'!$A$270&gt;35,GU113+GT114-HC113,IF(A114&lt;'Données projet'!$A$270,$GR$205^A114,IF(A114='Données projet'!$A$270,'Données projet'!$B$270,GU113+GT114-HC113)))</f>
        <v>269.79999999999995</v>
      </c>
      <c r="GV114" s="17">
        <f>GU114*VLOOKUP('Données projet'!$B$18,Paramètres!$A$1:$I$89,3,0)*VLOOKUP('Données projet'!$B$18,Paramètres!$A$1:$I$89,5,0)</f>
        <v>273.57719999999995</v>
      </c>
      <c r="GW114" s="13">
        <f t="shared" si="105"/>
        <v>65.60785888991505</v>
      </c>
      <c r="GX114" s="20">
        <f t="shared" si="82"/>
        <v>590.74731089993531</v>
      </c>
      <c r="GY114" s="59">
        <f t="shared" si="83"/>
        <v>884.08064423326869</v>
      </c>
      <c r="GZ114" s="59">
        <f ca="1">AVERAGE(OFFSET($GY$3,0,0,'Données projet'!$E$18+1,1))-AVERAGE(OFFSET($H$3,0,0,'Données projet'!$E$18+1,1))</f>
        <v>308.80022073574963</v>
      </c>
      <c r="HA114" s="59">
        <f t="shared" si="106"/>
        <v>183.96267407004115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82.300896375064639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82.300896375064639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344.49457749226184</v>
      </c>
      <c r="T115" s="59">
        <f t="shared" si="88"/>
        <v>207.92972431357452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</v>
      </c>
      <c r="AI115" s="13">
        <f>IF('Données projet'!$A$62&gt;35,AI114+AH115-AQ114,IF(A115&lt;'Données projet'!$A$62,$AF$205^A115,IF(A115='Données projet'!$A$62,'Données projet'!$B$62,AI114+AH115-AQ114)))</f>
        <v>211.99999999999991</v>
      </c>
      <c r="AJ115" s="13">
        <f>AI115*VLOOKUP('Données projet'!$B$10,Paramètres!$A$1:$I$89,3,0)*VLOOKUP('Données projet'!$B$10,Paramètres!$A$1:$I$89,5,0)</f>
        <v>191.81759999999991</v>
      </c>
      <c r="AK115" s="13">
        <f t="shared" si="89"/>
        <v>47.941575465657095</v>
      </c>
      <c r="AL115" s="20">
        <f t="shared" si="58"/>
        <v>417.58056393601925</v>
      </c>
      <c r="AM115" s="59">
        <f t="shared" si="59"/>
        <v>710.91389726935256</v>
      </c>
      <c r="AN115" s="59">
        <f ca="1">AVERAGE(OFFSET($AM$3,0,0,'Données projet'!$E$10+1,1))-AVERAGE(OFFSET($H$3,0,0,'Données projet'!$E$10+1,1))</f>
        <v>183.0147113277086</v>
      </c>
      <c r="AO115" s="59">
        <f t="shared" si="90"/>
        <v>76.413905647258389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48.292244152794879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48.292244152794879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253.79640000000001</v>
      </c>
      <c r="BF115" s="13">
        <f t="shared" si="91"/>
        <v>61.39816832228076</v>
      </c>
      <c r="BG115" s="20">
        <f t="shared" si="61"/>
        <v>548.96387316130563</v>
      </c>
      <c r="BH115" s="59">
        <f t="shared" si="62"/>
        <v>842.29720649463889</v>
      </c>
      <c r="BI115" s="59">
        <f ca="1">AVERAGE(OFFSET($BH$3,0,0,'Données projet'!$E$11+1,1))-AVERAGE(OFFSET($H$3,0,0,'Données projet'!$E$11+1,1))</f>
        <v>279.49721661620544</v>
      </c>
      <c r="BJ115" s="59">
        <f t="shared" si="92"/>
        <v>275.18739333988754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28.211413108181524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28.211413108181524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754.68411025369562</v>
      </c>
      <c r="CD115" s="59">
        <f ca="1">AVERAGE(OFFSET($CC$3,0,0,'Données projet'!$E$12+1,1))-AVERAGE(OFFSET($H$3,0,0,'Données projet'!$E$12+1,1))</f>
        <v>225.2323446080772</v>
      </c>
      <c r="CE115" s="59">
        <f t="shared" si="94"/>
        <v>222.29030402759292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23.021306344371855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23.021306344371855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213.00000000000003</v>
      </c>
      <c r="CU115" s="17">
        <f>CT115*VLOOKUP('Données projet'!$B$13,Paramètres!$A$1:$I$89,3,0)*VLOOKUP('Données projet'!$B$13,Paramètres!$A$1:$I$89,5,0)</f>
        <v>229.2732</v>
      </c>
      <c r="CV115" s="13">
        <f t="shared" si="95"/>
        <v>56.125501442527366</v>
      </c>
      <c r="CW115" s="20">
        <f t="shared" si="67"/>
        <v>497.06940501240177</v>
      </c>
      <c r="CX115" s="59">
        <f t="shared" si="68"/>
        <v>790.40273834573509</v>
      </c>
      <c r="CY115" s="59">
        <f ca="1">AVERAGE(OFFSET($CX$3,0,0,'Données projet'!$E$13+1,1))-AVERAGE(OFFSET($H$3,0,0,'Données projet'!$E$13+1,1))</f>
        <v>240.57184010337932</v>
      </c>
      <c r="CZ115" s="59">
        <f t="shared" si="96"/>
        <v>236.36473521227072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19.522676655660849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19.522676655660849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670.99999999999977</v>
      </c>
      <c r="DP115" s="17">
        <f>DO115*VLOOKUP('Données projet'!$B$14,Paramètres!$A$1:$I$89,3,0)*VLOOKUP('Données projet'!$B$14,Paramètres!$A$1:$I$89,5,0)</f>
        <v>314.02799999999991</v>
      </c>
      <c r="DQ115" s="13">
        <f t="shared" si="97"/>
        <v>74.109403804428752</v>
      </c>
      <c r="DR115" s="20">
        <f t="shared" si="70"/>
        <v>676.00597829271317</v>
      </c>
      <c r="DS115" s="59">
        <f t="shared" si="71"/>
        <v>969.33931162604654</v>
      </c>
      <c r="DT115" s="59">
        <f ca="1">AVERAGE(OFFSET($DS$3,0,0,'Données projet'!$E$14+1,1))-AVERAGE(OFFSET($H$3,0,0,'Données projet'!$E$14+1,1))</f>
        <v>304.29617570272939</v>
      </c>
      <c r="DU115" s="59">
        <f t="shared" si="98"/>
        <v>246.20695736161576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52.669565962428102</v>
      </c>
      <c r="EB115" s="21">
        <f>EXP(-LN(2)/25)*EB114+(1-EXP(-LN(2)/25))/(LN(2)/25)*Calculateur!DW115*Calculateur!DY115*VLOOKUP('Données projet'!$B$14,Paramètres!$A$1:$I$89,3,0)*0.475*44/12</f>
        <v>4.2131666076517602</v>
      </c>
      <c r="EC115" s="21">
        <f>EXP(-LN(2)/2)*EC114+(1-EXP(-LN(2)/2))/(LN(2)/2)*DW115*DZ115*VLOOKUP('Données projet'!$B$14,Paramètres!$A$1:$I$89,3,0)*0.475*44/12</f>
        <v>1.789063977251982E-12</v>
      </c>
      <c r="ED115" s="22">
        <f t="shared" si="72"/>
        <v>56.88273257008165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477.9999999999996</v>
      </c>
      <c r="EK115" s="17">
        <f>EJ115*VLOOKUP('Données projet'!$B$15,Paramètres!$A$1:$I$89,3,0)*VLOOKUP('Données projet'!$B$15,Paramètres!$A$1:$I$89,5,0)</f>
        <v>285.84399999999977</v>
      </c>
      <c r="EL115" s="13">
        <f t="shared" si="99"/>
        <v>68.200525419065656</v>
      </c>
      <c r="EM115" s="20">
        <f t="shared" si="73"/>
        <v>616.62754843820551</v>
      </c>
      <c r="EN115" s="59">
        <f t="shared" si="74"/>
        <v>909.96088177153888</v>
      </c>
      <c r="EO115" s="59">
        <f ca="1">AVERAGE(OFFSET($EN$3,0,0,'Données projet'!$E$15+1,1))-AVERAGE(OFFSET($H$3,0,0,'Données projet'!$E$15+1,1))</f>
        <v>288.41846134875794</v>
      </c>
      <c r="EP115" s="59">
        <f t="shared" si="100"/>
        <v>248.93951719818972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38.105142246876127</v>
      </c>
      <c r="EW115" s="21">
        <f>EXP(-LN(2)/25)*EW114+(1-EXP(-LN(2)/25))/(LN(2)/25)*Calculateur!ER115*Calculateur!ET115*VLOOKUP('Données projet'!$B$15,Paramètres!$A$1:$I$89,3,0)*0.475*44/12</f>
        <v>2.8758686918757319</v>
      </c>
      <c r="EX115" s="21">
        <f>EXP(-LN(2)/2)*EX114+(1-EXP(-LN(2)/2))/(LN(2)/2)*ER115*EU115*VLOOKUP('Données projet'!$B$15,Paramètres!$A$1:$I$89,3,0)*0.475*44/12</f>
        <v>2.2130170435984729E-13</v>
      </c>
      <c r="EY115" s="22">
        <f t="shared" si="75"/>
        <v>40.981010938752078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789.00000000000045</v>
      </c>
      <c r="FF115" s="17">
        <f>FE115*VLOOKUP('Données projet'!$B$16,Paramètres!$A$1:$I$89,3,0)*VLOOKUP('Données projet'!$B$16,Paramètres!$A$1:$I$89,5,0)</f>
        <v>358.99500000000023</v>
      </c>
      <c r="FG115" s="13">
        <f t="shared" si="101"/>
        <v>83.411930940690553</v>
      </c>
      <c r="FH115" s="20">
        <f t="shared" si="76"/>
        <v>770.52540472170313</v>
      </c>
      <c r="FI115" s="59">
        <f t="shared" si="77"/>
        <v>1063.8587380550364</v>
      </c>
      <c r="FJ115" s="59">
        <f ca="1">AVERAGE(OFFSET($FI$3,0,0,'Données projet'!$E$16+1,1))-AVERAGE(OFFSET($H$3,0,0,'Données projet'!$E$16+1,1))</f>
        <v>367.36535411813264</v>
      </c>
      <c r="FK115" s="59">
        <f t="shared" si="102"/>
        <v>293.19545174980556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46.559929032811979</v>
      </c>
      <c r="FR115" s="21">
        <f>EXP(-LN(2)/25)*FR114+(1-EXP(-LN(2)/25))/(LN(2)/25)*Calculateur!FM115*Calculateur!FO115*VLOOKUP('Données projet'!$B$16,Paramètres!$A$1:$I$89,3,0)*0.475*44/12</f>
        <v>4.4573649209829167</v>
      </c>
      <c r="FS115" s="21">
        <f>EXP(-LN(2)/2)*FS114+(1-EXP(-LN(2)/2))/(LN(2)/2)*FM115*FP115*VLOOKUP('Données projet'!$B$16,Paramètres!$A$1:$I$89,3,0)*0.475*44/12</f>
        <v>3.2944251830506331E-13</v>
      </c>
      <c r="FT115" s="22">
        <f t="shared" si="78"/>
        <v>51.017293953795225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669.99999999999989</v>
      </c>
      <c r="GA115" s="17">
        <f>FZ115*VLOOKUP('Données projet'!$B$17,Paramètres!$A$1:$I$89,3,0)*VLOOKUP('Données projet'!$B$17,Paramètres!$A$1:$I$89,5,0)</f>
        <v>322.26999999999992</v>
      </c>
      <c r="GB115" s="13">
        <f t="shared" si="103"/>
        <v>75.825476822885776</v>
      </c>
      <c r="GC115" s="20">
        <f t="shared" si="79"/>
        <v>693.34962213319261</v>
      </c>
      <c r="GD115" s="59">
        <f t="shared" si="80"/>
        <v>986.68295546652598</v>
      </c>
      <c r="GE115" s="59">
        <f ca="1">AVERAGE(OFFSET($GD$3,0,0,'Données projet'!$E$17+1,1))-AVERAGE(OFFSET($H$3,0,0,'Données projet'!$E$17+1,1))</f>
        <v>312.64506496298173</v>
      </c>
      <c r="GF115" s="59">
        <f t="shared" si="104"/>
        <v>259.97532509897508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60.104485115193711</v>
      </c>
      <c r="GM115" s="21">
        <f>EXP(-LN(2)/25)*GM114+(1-EXP(-LN(2)/25))/(LN(2)/25)*Calculateur!GH115*Calculateur!GJ115*VLOOKUP('Données projet'!$B$17,Paramètres!$A$1:$I$89,3,0)*0.475*44/12</f>
        <v>2.0152661276765582</v>
      </c>
      <c r="GN115" s="21">
        <f>EXP(-LN(2)/2)*GN114+(1-EXP(-LN(2)/2))/(LN(2)/2)*GH115*GK115*VLOOKUP('Données projet'!$B$17,Paramètres!$A$1:$I$89,3,0)*0.475*44/12</f>
        <v>1.7512001893736212E-12</v>
      </c>
      <c r="GO115" s="21">
        <f t="shared" si="81"/>
        <v>62.11975124287202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3.8</v>
      </c>
      <c r="GU115" s="12">
        <f>IF('Données projet'!$A$270&gt;35,GU114+GT115-HC114,IF(A115&lt;'Données projet'!$A$270,$GR$205^A115,IF(A115='Données projet'!$A$270,'Données projet'!$B$270,GU114+GT115-HC114)))</f>
        <v>273.59999999999997</v>
      </c>
      <c r="GV115" s="17">
        <f>GU115*VLOOKUP('Données projet'!$B$18,Paramètres!$A$1:$I$89,3,0)*VLOOKUP('Données projet'!$B$18,Paramètres!$A$1:$I$89,5,0)</f>
        <v>277.43039999999996</v>
      </c>
      <c r="GW115" s="13">
        <f t="shared" si="105"/>
        <v>66.423687500715673</v>
      </c>
      <c r="GX115" s="20">
        <f t="shared" si="82"/>
        <v>598.87920239707967</v>
      </c>
      <c r="GY115" s="59">
        <f t="shared" si="83"/>
        <v>892.21253573041304</v>
      </c>
      <c r="GZ115" s="59">
        <f ca="1">AVERAGE(OFFSET($GY$3,0,0,'Données projet'!$E$18+1,1))-AVERAGE(OFFSET($H$3,0,0,'Données projet'!$E$18+1,1))</f>
        <v>308.80022073574963</v>
      </c>
      <c r="HA115" s="59">
        <f t="shared" si="106"/>
        <v>183.96267407004115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80.687025995739717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80.687025995739717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344.49457749226184</v>
      </c>
      <c r="T116" s="59">
        <f t="shared" si="88"/>
        <v>207.92972431357452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</v>
      </c>
      <c r="AI116" s="13">
        <f>IF('Données projet'!$A$62&gt;35,AI115+AH116-AQ115,IF(A116&lt;'Données projet'!$A$62,$AF$205^A116,IF(A116='Données projet'!$A$62,'Données projet'!$B$62,AI115+AH116-AQ115)))</f>
        <v>214.99999999999991</v>
      </c>
      <c r="AJ116" s="13">
        <f>AI116*VLOOKUP('Données projet'!$B$10,Paramètres!$A$1:$I$89,3,0)*VLOOKUP('Données projet'!$B$10,Paramètres!$A$1:$I$89,5,0)</f>
        <v>194.53199999999993</v>
      </c>
      <c r="AK116" s="13">
        <f t="shared" si="89"/>
        <v>48.540534952652578</v>
      </c>
      <c r="AL116" s="20">
        <f t="shared" si="58"/>
        <v>423.35133170920312</v>
      </c>
      <c r="AM116" s="59">
        <f t="shared" si="59"/>
        <v>716.68466504253638</v>
      </c>
      <c r="AN116" s="59">
        <f ca="1">AVERAGE(OFFSET($AM$3,0,0,'Données projet'!$E$10+1,1))-AVERAGE(OFFSET($H$3,0,0,'Données projet'!$E$10+1,1))</f>
        <v>183.0147113277086</v>
      </c>
      <c r="AO116" s="59">
        <f t="shared" si="90"/>
        <v>76.413905647258389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47.345262700319033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47.345262700319033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253.79640000000001</v>
      </c>
      <c r="BF116" s="13">
        <f t="shared" si="91"/>
        <v>61.39816832228076</v>
      </c>
      <c r="BG116" s="20">
        <f t="shared" si="61"/>
        <v>548.96387316130563</v>
      </c>
      <c r="BH116" s="59">
        <f t="shared" si="62"/>
        <v>842.29720649463889</v>
      </c>
      <c r="BI116" s="59">
        <f ca="1">AVERAGE(OFFSET($BH$3,0,0,'Données projet'!$E$11+1,1))-AVERAGE(OFFSET($H$3,0,0,'Données projet'!$E$11+1,1))</f>
        <v>279.49721661620544</v>
      </c>
      <c r="BJ116" s="59">
        <f t="shared" si="92"/>
        <v>275.18739333988754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27.658204504393005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27.658204504393005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754.68411025369562</v>
      </c>
      <c r="CD116" s="59">
        <f ca="1">AVERAGE(OFFSET($CC$3,0,0,'Données projet'!$E$12+1,1))-AVERAGE(OFFSET($H$3,0,0,'Données projet'!$E$12+1,1))</f>
        <v>225.2323446080772</v>
      </c>
      <c r="CE116" s="59">
        <f t="shared" si="94"/>
        <v>222.29030402759292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22.5698725685691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22.5698725685691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213.00000000000003</v>
      </c>
      <c r="CU116" s="17">
        <f>CT116*VLOOKUP('Données projet'!$B$13,Paramètres!$A$1:$I$89,3,0)*VLOOKUP('Données projet'!$B$13,Paramètres!$A$1:$I$89,5,0)</f>
        <v>229.2732</v>
      </c>
      <c r="CV116" s="13">
        <f t="shared" si="95"/>
        <v>56.125501442527366</v>
      </c>
      <c r="CW116" s="20">
        <f t="shared" si="67"/>
        <v>497.06940501240177</v>
      </c>
      <c r="CX116" s="59">
        <f t="shared" si="68"/>
        <v>790.40273834573509</v>
      </c>
      <c r="CY116" s="59">
        <f ca="1">AVERAGE(OFFSET($CX$3,0,0,'Données projet'!$E$13+1,1))-AVERAGE(OFFSET($H$3,0,0,'Données projet'!$E$13+1,1))</f>
        <v>240.57184010337932</v>
      </c>
      <c r="CZ116" s="59">
        <f t="shared" si="96"/>
        <v>236.36473521227072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19.139848874100316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19.139848874100316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670.99999999999977</v>
      </c>
      <c r="DP116" s="17">
        <f>DO116*VLOOKUP('Données projet'!$B$14,Paramètres!$A$1:$I$89,3,0)*VLOOKUP('Données projet'!$B$14,Paramètres!$A$1:$I$89,5,0)</f>
        <v>314.02799999999991</v>
      </c>
      <c r="DQ116" s="13">
        <f t="shared" si="97"/>
        <v>74.109403804428752</v>
      </c>
      <c r="DR116" s="20">
        <f t="shared" si="70"/>
        <v>676.00597829271317</v>
      </c>
      <c r="DS116" s="59">
        <f t="shared" si="71"/>
        <v>969.33931162604654</v>
      </c>
      <c r="DT116" s="59">
        <f ca="1">AVERAGE(OFFSET($DS$3,0,0,'Données projet'!$E$14+1,1))-AVERAGE(OFFSET($H$3,0,0,'Données projet'!$E$14+1,1))</f>
        <v>304.29617570272939</v>
      </c>
      <c r="DU116" s="59">
        <f t="shared" si="98"/>
        <v>246.20695736161576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51.636747899168014</v>
      </c>
      <c r="EB116" s="21">
        <f>EXP(-LN(2)/25)*EB115+(1-EXP(-LN(2)/25))/(LN(2)/25)*Calculateur!DW116*Calculateur!DY116*VLOOKUP('Données projet'!$B$14,Paramètres!$A$1:$I$89,3,0)*0.475*44/12</f>
        <v>4.09795734520472</v>
      </c>
      <c r="EC116" s="21">
        <f>EXP(-LN(2)/2)*EC115+(1-EXP(-LN(2)/2))/(LN(2)/2)*DW116*DZ116*VLOOKUP('Données projet'!$B$14,Paramètres!$A$1:$I$89,3,0)*0.475*44/12</f>
        <v>1.2650592702914517E-12</v>
      </c>
      <c r="ED116" s="22">
        <f t="shared" si="72"/>
        <v>55.734705244373998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477.9999999999996</v>
      </c>
      <c r="EK116" s="17">
        <f>EJ116*VLOOKUP('Données projet'!$B$15,Paramètres!$A$1:$I$89,3,0)*VLOOKUP('Données projet'!$B$15,Paramètres!$A$1:$I$89,5,0)</f>
        <v>285.84399999999977</v>
      </c>
      <c r="EL116" s="13">
        <f t="shared" si="99"/>
        <v>68.200525419065656</v>
      </c>
      <c r="EM116" s="20">
        <f t="shared" si="73"/>
        <v>616.62754843820551</v>
      </c>
      <c r="EN116" s="59">
        <f t="shared" si="74"/>
        <v>909.96088177153888</v>
      </c>
      <c r="EO116" s="59">
        <f ca="1">AVERAGE(OFFSET($EN$3,0,0,'Données projet'!$E$15+1,1))-AVERAGE(OFFSET($H$3,0,0,'Données projet'!$E$15+1,1))</f>
        <v>288.41846134875794</v>
      </c>
      <c r="EP116" s="59">
        <f t="shared" si="100"/>
        <v>248.93951719818972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37.357923649256719</v>
      </c>
      <c r="EW116" s="21">
        <f>EXP(-LN(2)/25)*EW115+(1-EXP(-LN(2)/25))/(LN(2)/25)*Calculateur!ER116*Calculateur!ET116*VLOOKUP('Données projet'!$B$15,Paramètres!$A$1:$I$89,3,0)*0.475*44/12</f>
        <v>2.7972279112610283</v>
      </c>
      <c r="EX116" s="21">
        <f>EXP(-LN(2)/2)*EX115+(1-EXP(-LN(2)/2))/(LN(2)/2)*ER116*EU116*VLOOKUP('Données projet'!$B$15,Paramètres!$A$1:$I$89,3,0)*0.475*44/12</f>
        <v>1.5648393584098859E-13</v>
      </c>
      <c r="EY116" s="22">
        <f t="shared" si="75"/>
        <v>40.155151560517901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789.00000000000045</v>
      </c>
      <c r="FF116" s="17">
        <f>FE116*VLOOKUP('Données projet'!$B$16,Paramètres!$A$1:$I$89,3,0)*VLOOKUP('Données projet'!$B$16,Paramètres!$A$1:$I$89,5,0)</f>
        <v>358.99500000000023</v>
      </c>
      <c r="FG116" s="13">
        <f t="shared" si="101"/>
        <v>83.411930940690553</v>
      </c>
      <c r="FH116" s="20">
        <f t="shared" si="76"/>
        <v>770.52540472170313</v>
      </c>
      <c r="FI116" s="59">
        <f t="shared" si="77"/>
        <v>1063.8587380550364</v>
      </c>
      <c r="FJ116" s="59">
        <f ca="1">AVERAGE(OFFSET($FI$3,0,0,'Données projet'!$E$16+1,1))-AVERAGE(OFFSET($H$3,0,0,'Données projet'!$E$16+1,1))</f>
        <v>367.36535411813264</v>
      </c>
      <c r="FK116" s="59">
        <f t="shared" si="102"/>
        <v>293.19545174980556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45.6469172232311</v>
      </c>
      <c r="FR116" s="21">
        <f>EXP(-LN(2)/25)*FR115+(1-EXP(-LN(2)/25))/(LN(2)/25)*Calculateur!FM116*Calculateur!FO116*VLOOKUP('Données projet'!$B$16,Paramètres!$A$1:$I$89,3,0)*0.475*44/12</f>
        <v>4.3354780428160051</v>
      </c>
      <c r="FS116" s="21">
        <f>EXP(-LN(2)/2)*FS115+(1-EXP(-LN(2)/2))/(LN(2)/2)*FM116*FP116*VLOOKUP('Données projet'!$B$16,Paramètres!$A$1:$I$89,3,0)*0.475*44/12</f>
        <v>2.3295103870468357E-13</v>
      </c>
      <c r="FT116" s="22">
        <f t="shared" si="78"/>
        <v>49.982395266047341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669.99999999999989</v>
      </c>
      <c r="GA116" s="17">
        <f>FZ116*VLOOKUP('Données projet'!$B$17,Paramètres!$A$1:$I$89,3,0)*VLOOKUP('Données projet'!$B$17,Paramètres!$A$1:$I$89,5,0)</f>
        <v>322.26999999999992</v>
      </c>
      <c r="GB116" s="13">
        <f t="shared" si="103"/>
        <v>75.825476822885776</v>
      </c>
      <c r="GC116" s="20">
        <f t="shared" si="79"/>
        <v>693.34962213319261</v>
      </c>
      <c r="GD116" s="59">
        <f t="shared" si="80"/>
        <v>986.68295546652598</v>
      </c>
      <c r="GE116" s="59">
        <f ca="1">AVERAGE(OFFSET($GD$3,0,0,'Données projet'!$E$17+1,1))-AVERAGE(OFFSET($H$3,0,0,'Données projet'!$E$17+1,1))</f>
        <v>312.64506496298173</v>
      </c>
      <c r="GF116" s="59">
        <f t="shared" si="104"/>
        <v>259.97532509897508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58.925872822200795</v>
      </c>
      <c r="GM116" s="21">
        <f>EXP(-LN(2)/25)*GM115+(1-EXP(-LN(2)/25))/(LN(2)/25)*Calculateur!GH116*Calculateur!GJ116*VLOOKUP('Données projet'!$B$17,Paramètres!$A$1:$I$89,3,0)*0.475*44/12</f>
        <v>1.960158569437003</v>
      </c>
      <c r="GN116" s="21">
        <f>EXP(-LN(2)/2)*GN115+(1-EXP(-LN(2)/2))/(LN(2)/2)*GH116*GK116*VLOOKUP('Données projet'!$B$17,Paramètres!$A$1:$I$89,3,0)*0.475*44/12</f>
        <v>1.2382855291212537E-12</v>
      </c>
      <c r="GO116" s="21">
        <f t="shared" si="81"/>
        <v>60.886031391639037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3.8</v>
      </c>
      <c r="GU116" s="12">
        <f>IF('Données projet'!$A$270&gt;35,GU115+GT116-HC115,IF(A116&lt;'Données projet'!$A$270,$GR$205^A116,IF(A116='Données projet'!$A$270,'Données projet'!$B$270,GU115+GT116-HC115)))</f>
        <v>277.39999999999998</v>
      </c>
      <c r="GV116" s="17">
        <f>GU116*VLOOKUP('Données projet'!$B$18,Paramètres!$A$1:$I$89,3,0)*VLOOKUP('Données projet'!$B$18,Paramètres!$A$1:$I$89,5,0)</f>
        <v>281.28360000000004</v>
      </c>
      <c r="GW116" s="13">
        <f t="shared" si="105"/>
        <v>67.238198209347928</v>
      </c>
      <c r="GX116" s="20">
        <f t="shared" si="82"/>
        <v>607.00879854794766</v>
      </c>
      <c r="GY116" s="59">
        <f t="shared" si="83"/>
        <v>900.34213188128092</v>
      </c>
      <c r="GZ116" s="59">
        <f ca="1">AVERAGE(OFFSET($GY$3,0,0,'Données projet'!$E$18+1,1))-AVERAGE(OFFSET($H$3,0,0,'Données projet'!$E$18+1,1))</f>
        <v>308.80022073574963</v>
      </c>
      <c r="HA116" s="59">
        <f t="shared" si="106"/>
        <v>183.96267407004115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79.10480263018961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79.10480263018961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344.49457749226184</v>
      </c>
      <c r="T117" s="59">
        <f t="shared" si="88"/>
        <v>207.92972431357452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</v>
      </c>
      <c r="AI117" s="13">
        <f>IF('Données projet'!$A$62&gt;35,AI116+AH117-AQ116,IF(A117&lt;'Données projet'!$A$62,$AF$205^A117,IF(A117='Données projet'!$A$62,'Données projet'!$B$62,AI116+AH117-AQ116)))</f>
        <v>217.99999999999991</v>
      </c>
      <c r="AJ117" s="13">
        <f>AI117*VLOOKUP('Données projet'!$B$10,Paramètres!$A$1:$I$89,3,0)*VLOOKUP('Données projet'!$B$10,Paramètres!$A$1:$I$89,5,0)</f>
        <v>197.24639999999991</v>
      </c>
      <c r="AK117" s="13">
        <f t="shared" si="89"/>
        <v>49.138522374247202</v>
      </c>
      <c r="AL117" s="20">
        <f t="shared" si="58"/>
        <v>429.12040646848044</v>
      </c>
      <c r="AM117" s="59">
        <f t="shared" si="59"/>
        <v>722.45373980181375</v>
      </c>
      <c r="AN117" s="59">
        <f ca="1">AVERAGE(OFFSET($AM$3,0,0,'Données projet'!$E$10+1,1))-AVERAGE(OFFSET($H$3,0,0,'Données projet'!$E$10+1,1))</f>
        <v>183.0147113277086</v>
      </c>
      <c r="AO117" s="59">
        <f t="shared" si="90"/>
        <v>76.413905647258389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46.416850976524579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46.416850976524579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253.79640000000001</v>
      </c>
      <c r="BF117" s="13">
        <f t="shared" si="91"/>
        <v>61.39816832228076</v>
      </c>
      <c r="BG117" s="20">
        <f t="shared" si="61"/>
        <v>548.96387316130563</v>
      </c>
      <c r="BH117" s="59">
        <f t="shared" si="62"/>
        <v>842.29720649463889</v>
      </c>
      <c r="BI117" s="59">
        <f ca="1">AVERAGE(OFFSET($BH$3,0,0,'Données projet'!$E$11+1,1))-AVERAGE(OFFSET($H$3,0,0,'Données projet'!$E$11+1,1))</f>
        <v>279.49721661620544</v>
      </c>
      <c r="BJ117" s="59">
        <f t="shared" si="92"/>
        <v>275.18739333988754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27.115843983900849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27.115843983900849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754.68411025369562</v>
      </c>
      <c r="CD117" s="59">
        <f ca="1">AVERAGE(OFFSET($CC$3,0,0,'Données projet'!$E$12+1,1))-AVERAGE(OFFSET($H$3,0,0,'Données projet'!$E$12+1,1))</f>
        <v>225.2323446080772</v>
      </c>
      <c r="CE117" s="59">
        <f t="shared" si="94"/>
        <v>222.29030402759292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22.127291133762419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22.127291133762419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213.00000000000003</v>
      </c>
      <c r="CU117" s="17">
        <f>CT117*VLOOKUP('Données projet'!$B$13,Paramètres!$A$1:$I$89,3,0)*VLOOKUP('Données projet'!$B$13,Paramètres!$A$1:$I$89,5,0)</f>
        <v>229.2732</v>
      </c>
      <c r="CV117" s="13">
        <f t="shared" si="95"/>
        <v>56.125501442527366</v>
      </c>
      <c r="CW117" s="20">
        <f t="shared" si="67"/>
        <v>497.06940501240177</v>
      </c>
      <c r="CX117" s="59">
        <f t="shared" si="68"/>
        <v>790.40273834573509</v>
      </c>
      <c r="CY117" s="59">
        <f ca="1">AVERAGE(OFFSET($CX$3,0,0,'Données projet'!$E$13+1,1))-AVERAGE(OFFSET($H$3,0,0,'Données projet'!$E$13+1,1))</f>
        <v>240.57184010337932</v>
      </c>
      <c r="CZ117" s="59">
        <f t="shared" si="96"/>
        <v>236.36473521227072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18.764528111834295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18.764528111834295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670.99999999999977</v>
      </c>
      <c r="DP117" s="17">
        <f>DO117*VLOOKUP('Données projet'!$B$14,Paramètres!$A$1:$I$89,3,0)*VLOOKUP('Données projet'!$B$14,Paramètres!$A$1:$I$89,5,0)</f>
        <v>314.02799999999991</v>
      </c>
      <c r="DQ117" s="13">
        <f t="shared" si="97"/>
        <v>74.109403804428752</v>
      </c>
      <c r="DR117" s="20">
        <f t="shared" si="70"/>
        <v>676.00597829271317</v>
      </c>
      <c r="DS117" s="59">
        <f t="shared" si="71"/>
        <v>969.33931162604654</v>
      </c>
      <c r="DT117" s="59">
        <f ca="1">AVERAGE(OFFSET($DS$3,0,0,'Données projet'!$E$14+1,1))-AVERAGE(OFFSET($H$3,0,0,'Données projet'!$E$14+1,1))</f>
        <v>304.29617570272939</v>
      </c>
      <c r="DU117" s="59">
        <f t="shared" si="98"/>
        <v>246.20695736161576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50.624182768171643</v>
      </c>
      <c r="EB117" s="21">
        <f>EXP(-LN(2)/25)*EB116+(1-EXP(-LN(2)/25))/(LN(2)/25)*Calculateur!DW117*Calculateur!DY117*VLOOKUP('Données projet'!$B$14,Paramètres!$A$1:$I$89,3,0)*0.475*44/12</f>
        <v>3.9858984860978861</v>
      </c>
      <c r="EC117" s="21">
        <f>EXP(-LN(2)/2)*EC116+(1-EXP(-LN(2)/2))/(LN(2)/2)*DW117*DZ117*VLOOKUP('Données projet'!$B$14,Paramètres!$A$1:$I$89,3,0)*0.475*44/12</f>
        <v>8.9453198862599109E-13</v>
      </c>
      <c r="ED117" s="22">
        <f t="shared" si="72"/>
        <v>54.610081254270426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477.9999999999996</v>
      </c>
      <c r="EK117" s="17">
        <f>EJ117*VLOOKUP('Données projet'!$B$15,Paramètres!$A$1:$I$89,3,0)*VLOOKUP('Données projet'!$B$15,Paramètres!$A$1:$I$89,5,0)</f>
        <v>285.84399999999977</v>
      </c>
      <c r="EL117" s="13">
        <f t="shared" si="99"/>
        <v>68.200525419065656</v>
      </c>
      <c r="EM117" s="20">
        <f t="shared" si="73"/>
        <v>616.62754843820551</v>
      </c>
      <c r="EN117" s="59">
        <f t="shared" si="74"/>
        <v>909.96088177153888</v>
      </c>
      <c r="EO117" s="59">
        <f ca="1">AVERAGE(OFFSET($EN$3,0,0,'Données projet'!$E$15+1,1))-AVERAGE(OFFSET($H$3,0,0,'Données projet'!$E$15+1,1))</f>
        <v>288.41846134875794</v>
      </c>
      <c r="EP117" s="59">
        <f t="shared" si="100"/>
        <v>248.93951719818972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36.625357552578279</v>
      </c>
      <c r="EW117" s="21">
        <f>EXP(-LN(2)/25)*EW116+(1-EXP(-LN(2)/25))/(LN(2)/25)*Calculateur!ER117*Calculateur!ET117*VLOOKUP('Données projet'!$B$15,Paramètres!$A$1:$I$89,3,0)*0.475*44/12</f>
        <v>2.7207375669277729</v>
      </c>
      <c r="EX117" s="21">
        <f>EXP(-LN(2)/2)*EX116+(1-EXP(-LN(2)/2))/(LN(2)/2)*ER117*EU117*VLOOKUP('Données projet'!$B$15,Paramètres!$A$1:$I$89,3,0)*0.475*44/12</f>
        <v>1.1065085217992367E-13</v>
      </c>
      <c r="EY117" s="22">
        <f t="shared" si="75"/>
        <v>39.346095119506167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789.00000000000045</v>
      </c>
      <c r="FF117" s="17">
        <f>FE117*VLOOKUP('Données projet'!$B$16,Paramètres!$A$1:$I$89,3,0)*VLOOKUP('Données projet'!$B$16,Paramètres!$A$1:$I$89,5,0)</f>
        <v>358.99500000000023</v>
      </c>
      <c r="FG117" s="13">
        <f t="shared" si="101"/>
        <v>83.411930940690553</v>
      </c>
      <c r="FH117" s="20">
        <f t="shared" si="76"/>
        <v>770.52540472170313</v>
      </c>
      <c r="FI117" s="59">
        <f t="shared" si="77"/>
        <v>1063.8587380550364</v>
      </c>
      <c r="FJ117" s="59">
        <f ca="1">AVERAGE(OFFSET($FI$3,0,0,'Données projet'!$E$16+1,1))-AVERAGE(OFFSET($H$3,0,0,'Données projet'!$E$16+1,1))</f>
        <v>367.36535411813264</v>
      </c>
      <c r="FK117" s="59">
        <f t="shared" si="102"/>
        <v>293.19545174980556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44.751809018353889</v>
      </c>
      <c r="FR117" s="21">
        <f>EXP(-LN(2)/25)*FR116+(1-EXP(-LN(2)/25))/(LN(2)/25)*Calculateur!FM117*Calculateur!FO117*VLOOKUP('Données projet'!$B$16,Paramètres!$A$1:$I$89,3,0)*0.475*44/12</f>
        <v>4.2169241677423202</v>
      </c>
      <c r="FS117" s="21">
        <f>EXP(-LN(2)/2)*FS116+(1-EXP(-LN(2)/2))/(LN(2)/2)*FM117*FP117*VLOOKUP('Données projet'!$B$16,Paramètres!$A$1:$I$89,3,0)*0.475*44/12</f>
        <v>1.6472125915253166E-13</v>
      </c>
      <c r="FT117" s="22">
        <f t="shared" si="78"/>
        <v>48.968733186096372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669.99999999999989</v>
      </c>
      <c r="GA117" s="17">
        <f>FZ117*VLOOKUP('Données projet'!$B$17,Paramètres!$A$1:$I$89,3,0)*VLOOKUP('Données projet'!$B$17,Paramètres!$A$1:$I$89,5,0)</f>
        <v>322.26999999999992</v>
      </c>
      <c r="GB117" s="13">
        <f t="shared" si="103"/>
        <v>75.825476822885776</v>
      </c>
      <c r="GC117" s="20">
        <f t="shared" si="79"/>
        <v>693.34962213319261</v>
      </c>
      <c r="GD117" s="59">
        <f t="shared" si="80"/>
        <v>986.68295546652598</v>
      </c>
      <c r="GE117" s="59">
        <f ca="1">AVERAGE(OFFSET($GD$3,0,0,'Données projet'!$E$17+1,1))-AVERAGE(OFFSET($H$3,0,0,'Données projet'!$E$17+1,1))</f>
        <v>312.64506496298173</v>
      </c>
      <c r="GF117" s="59">
        <f t="shared" si="104"/>
        <v>259.97532509897508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57.770372397390958</v>
      </c>
      <c r="GM117" s="21">
        <f>EXP(-LN(2)/25)*GM116+(1-EXP(-LN(2)/25))/(LN(2)/25)*Calculateur!GH117*Calculateur!GJ117*VLOOKUP('Données projet'!$B$17,Paramètres!$A$1:$I$89,3,0)*0.475*44/12</f>
        <v>1.9065579302754889</v>
      </c>
      <c r="GN117" s="21">
        <f>EXP(-LN(2)/2)*GN116+(1-EXP(-LN(2)/2))/(LN(2)/2)*GH117*GK117*VLOOKUP('Données projet'!$B$17,Paramètres!$A$1:$I$89,3,0)*0.475*44/12</f>
        <v>8.756000946868106E-13</v>
      </c>
      <c r="GO117" s="21">
        <f t="shared" si="81"/>
        <v>59.676930327667321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3.8</v>
      </c>
      <c r="GU117" s="12">
        <f>IF('Données projet'!$A$270&gt;35,GU116+GT117-HC116,IF(A117&lt;'Données projet'!$A$270,$GR$205^A117,IF(A117='Données projet'!$A$270,'Données projet'!$B$270,GU116+GT117-HC116)))</f>
        <v>281.2</v>
      </c>
      <c r="GV117" s="17">
        <f>GU117*VLOOKUP('Données projet'!$B$18,Paramètres!$A$1:$I$89,3,0)*VLOOKUP('Données projet'!$B$18,Paramètres!$A$1:$I$89,5,0)</f>
        <v>285.13679999999999</v>
      </c>
      <c r="GW117" s="13">
        <f t="shared" si="105"/>
        <v>68.051411155895636</v>
      </c>
      <c r="GX117" s="20">
        <f t="shared" si="82"/>
        <v>615.1361344298515</v>
      </c>
      <c r="GY117" s="59">
        <f t="shared" si="83"/>
        <v>908.46946776318487</v>
      </c>
      <c r="GZ117" s="59">
        <f ca="1">AVERAGE(OFFSET($GY$3,0,0,'Données projet'!$E$18+1,1))-AVERAGE(OFFSET($H$3,0,0,'Données projet'!$E$18+1,1))</f>
        <v>308.80022073574963</v>
      </c>
      <c r="HA117" s="59">
        <f t="shared" si="106"/>
        <v>183.96267407004115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77.55360569977698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77.55360569977698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344.49457749226184</v>
      </c>
      <c r="T118" s="59">
        <f t="shared" si="88"/>
        <v>207.92972431357452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221</v>
      </c>
      <c r="AG118" s="12">
        <f>VLOOKUP(A118,'Données projet'!$A$61:$I$81,9,0)</f>
        <v>3</v>
      </c>
      <c r="AH118" s="12">
        <f t="array" ref="AH118">INDEX(AG:AG,MIN(IF(ISNUMBER(AG118:AG314),ROW(AG118:AG314),"")))</f>
        <v>3</v>
      </c>
      <c r="AI118" s="13">
        <f>IF('Données projet'!$A$62&gt;35,AI117+AH118-AQ117,IF(A118&lt;'Données projet'!$A$62,$AF$205^A118,IF(A118='Données projet'!$A$62,'Données projet'!$B$62,AI117+AH118-AQ117)))</f>
        <v>220.99999999999991</v>
      </c>
      <c r="AJ118" s="13">
        <f>AI118*VLOOKUP('Données projet'!$B$10,Paramètres!$A$1:$I$89,3,0)*VLOOKUP('Données projet'!$B$10,Paramètres!$A$1:$I$89,5,0)</f>
        <v>199.96079999999992</v>
      </c>
      <c r="AK118" s="13">
        <f t="shared" si="89"/>
        <v>49.735552653569222</v>
      </c>
      <c r="AL118" s="20">
        <f t="shared" si="58"/>
        <v>434.88781420496622</v>
      </c>
      <c r="AM118" s="59">
        <f t="shared" si="59"/>
        <v>728.22114753829953</v>
      </c>
      <c r="AN118" s="59">
        <f ca="1">AVERAGE(OFFSET($AM$3,0,0,'Données projet'!$E$10+1,1))-AVERAGE(OFFSET($H$3,0,0,'Données projet'!$E$10+1,1))</f>
        <v>183.0147113277086</v>
      </c>
      <c r="AO118" s="59">
        <f t="shared" si="90"/>
        <v>76.413905647258389</v>
      </c>
      <c r="AP118" s="15">
        <f>IF(ISNA(VLOOKUP(A118,'Données projet'!$A$61:$I$81,3,0)),0,VLOOKUP(A118,'Données projet'!$A$61:$I$81,3,0))</f>
        <v>17</v>
      </c>
      <c r="AQ118" s="15">
        <f>IF(ISNA(VLOOKUP(A118,'Données projet'!$A$61:$I$81,4,0)),0,VLOOKUP(A118,'Données projet'!$A$61:$I$81,4,0))</f>
        <v>13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51.097928301012395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51.097928301012395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253.79640000000001</v>
      </c>
      <c r="BF118" s="13">
        <f t="shared" si="91"/>
        <v>61.39816832228076</v>
      </c>
      <c r="BG118" s="20">
        <f t="shared" si="61"/>
        <v>548.96387316130563</v>
      </c>
      <c r="BH118" s="59">
        <f t="shared" si="62"/>
        <v>842.29720649463889</v>
      </c>
      <c r="BI118" s="59">
        <f ca="1">AVERAGE(OFFSET($BH$3,0,0,'Données projet'!$E$11+1,1))-AVERAGE(OFFSET($H$3,0,0,'Données projet'!$E$11+1,1))</f>
        <v>279.49721661620544</v>
      </c>
      <c r="BJ118" s="59">
        <f t="shared" si="92"/>
        <v>275.18739333988754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26.584118822408289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26.584118822408289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754.68411025369562</v>
      </c>
      <c r="CD118" s="59">
        <f ca="1">AVERAGE(OFFSET($CC$3,0,0,'Données projet'!$E$12+1,1))-AVERAGE(OFFSET($H$3,0,0,'Données projet'!$E$12+1,1))</f>
        <v>225.2323446080772</v>
      </c>
      <c r="CE118" s="59">
        <f t="shared" si="94"/>
        <v>222.29030402759292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21.69338845094428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21.69338845094428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213.00000000000003</v>
      </c>
      <c r="CU118" s="17">
        <f>CT118*VLOOKUP('Données projet'!$B$13,Paramètres!$A$1:$I$89,3,0)*VLOOKUP('Données projet'!$B$13,Paramètres!$A$1:$I$89,5,0)</f>
        <v>229.2732</v>
      </c>
      <c r="CV118" s="13">
        <f t="shared" si="95"/>
        <v>56.125501442527366</v>
      </c>
      <c r="CW118" s="20">
        <f t="shared" si="67"/>
        <v>497.06940501240177</v>
      </c>
      <c r="CX118" s="59">
        <f t="shared" si="68"/>
        <v>790.40273834573509</v>
      </c>
      <c r="CY118" s="59">
        <f ca="1">AVERAGE(OFFSET($CX$3,0,0,'Données projet'!$E$13+1,1))-AVERAGE(OFFSET($H$3,0,0,'Données projet'!$E$13+1,1))</f>
        <v>240.57184010337932</v>
      </c>
      <c r="CZ118" s="59">
        <f t="shared" si="96"/>
        <v>236.36473521227072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18.39656716079325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18.39656716079325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670.99999999999977</v>
      </c>
      <c r="DP118" s="17">
        <f>DO118*VLOOKUP('Données projet'!$B$14,Paramètres!$A$1:$I$89,3,0)*VLOOKUP('Données projet'!$B$14,Paramètres!$A$1:$I$89,5,0)</f>
        <v>314.02799999999991</v>
      </c>
      <c r="DQ118" s="13">
        <f t="shared" si="97"/>
        <v>74.109403804428752</v>
      </c>
      <c r="DR118" s="20">
        <f t="shared" si="70"/>
        <v>676.00597829271317</v>
      </c>
      <c r="DS118" s="59">
        <f t="shared" si="71"/>
        <v>969.33931162604654</v>
      </c>
      <c r="DT118" s="59">
        <f ca="1">AVERAGE(OFFSET($DS$3,0,0,'Données projet'!$E$14+1,1))-AVERAGE(OFFSET($H$3,0,0,'Données projet'!$E$14+1,1))</f>
        <v>304.29617570272939</v>
      </c>
      <c r="DU118" s="59">
        <f t="shared" si="98"/>
        <v>246.20695736161576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49.631473421790368</v>
      </c>
      <c r="EB118" s="21">
        <f>EXP(-LN(2)/25)*EB117+(1-EXP(-LN(2)/25))/(LN(2)/25)*Calculateur!DW118*Calculateur!DY118*VLOOKUP('Données projet'!$B$14,Paramètres!$A$1:$I$89,3,0)*0.475*44/12</f>
        <v>3.8769038823862481</v>
      </c>
      <c r="EC118" s="21">
        <f>EXP(-LN(2)/2)*EC117+(1-EXP(-LN(2)/2))/(LN(2)/2)*DW118*DZ118*VLOOKUP('Données projet'!$B$14,Paramètres!$A$1:$I$89,3,0)*0.475*44/12</f>
        <v>6.3252963514572596E-13</v>
      </c>
      <c r="ED118" s="22">
        <f t="shared" si="72"/>
        <v>53.508377304177252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477.9999999999996</v>
      </c>
      <c r="EK118" s="17">
        <f>EJ118*VLOOKUP('Données projet'!$B$15,Paramètres!$A$1:$I$89,3,0)*VLOOKUP('Données projet'!$B$15,Paramètres!$A$1:$I$89,5,0)</f>
        <v>285.84399999999977</v>
      </c>
      <c r="EL118" s="13">
        <f t="shared" si="99"/>
        <v>68.200525419065656</v>
      </c>
      <c r="EM118" s="20">
        <f t="shared" si="73"/>
        <v>616.62754843820551</v>
      </c>
      <c r="EN118" s="59">
        <f t="shared" si="74"/>
        <v>909.96088177153888</v>
      </c>
      <c r="EO118" s="59">
        <f ca="1">AVERAGE(OFFSET($EN$3,0,0,'Données projet'!$E$15+1,1))-AVERAGE(OFFSET($H$3,0,0,'Données projet'!$E$15+1,1))</f>
        <v>288.41846134875794</v>
      </c>
      <c r="EP118" s="59">
        <f t="shared" si="100"/>
        <v>248.93951719818972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35.90715663023451</v>
      </c>
      <c r="EW118" s="21">
        <f>EXP(-LN(2)/25)*EW117+(1-EXP(-LN(2)/25))/(LN(2)/25)*Calculateur!ER118*Calculateur!ET118*VLOOKUP('Données projet'!$B$15,Paramètres!$A$1:$I$89,3,0)*0.475*44/12</f>
        <v>2.6463388550827625</v>
      </c>
      <c r="EX118" s="21">
        <f>EXP(-LN(2)/2)*EX117+(1-EXP(-LN(2)/2))/(LN(2)/2)*ER118*EU118*VLOOKUP('Données projet'!$B$15,Paramètres!$A$1:$I$89,3,0)*0.475*44/12</f>
        <v>7.8241967920494309E-14</v>
      </c>
      <c r="EY118" s="22">
        <f t="shared" si="75"/>
        <v>38.553495485317349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789.00000000000045</v>
      </c>
      <c r="FF118" s="17">
        <f>FE118*VLOOKUP('Données projet'!$B$16,Paramètres!$A$1:$I$89,3,0)*VLOOKUP('Données projet'!$B$16,Paramètres!$A$1:$I$89,5,0)</f>
        <v>358.99500000000023</v>
      </c>
      <c r="FG118" s="13">
        <f t="shared" si="101"/>
        <v>83.411930940690553</v>
      </c>
      <c r="FH118" s="20">
        <f t="shared" si="76"/>
        <v>770.52540472170313</v>
      </c>
      <c r="FI118" s="59">
        <f t="shared" si="77"/>
        <v>1063.8587380550364</v>
      </c>
      <c r="FJ118" s="59">
        <f ca="1">AVERAGE(OFFSET($FI$3,0,0,'Données projet'!$E$16+1,1))-AVERAGE(OFFSET($H$3,0,0,'Données projet'!$E$16+1,1))</f>
        <v>367.36535411813264</v>
      </c>
      <c r="FK118" s="59">
        <f t="shared" si="102"/>
        <v>293.19545174980556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43.87425333941222</v>
      </c>
      <c r="FR118" s="21">
        <f>EXP(-LN(2)/25)*FR117+(1-EXP(-LN(2)/25))/(LN(2)/25)*Calculateur!FM118*Calculateur!FO118*VLOOKUP('Données projet'!$B$16,Paramètres!$A$1:$I$89,3,0)*0.475*44/12</f>
        <v>4.1016121546170021</v>
      </c>
      <c r="FS118" s="21">
        <f>EXP(-LN(2)/2)*FS117+(1-EXP(-LN(2)/2))/(LN(2)/2)*FM118*FP118*VLOOKUP('Données projet'!$B$16,Paramètres!$A$1:$I$89,3,0)*0.475*44/12</f>
        <v>1.1647551935234179E-13</v>
      </c>
      <c r="FT118" s="22">
        <f t="shared" si="78"/>
        <v>47.975865494029335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669.99999999999989</v>
      </c>
      <c r="GA118" s="17">
        <f>FZ118*VLOOKUP('Données projet'!$B$17,Paramètres!$A$1:$I$89,3,0)*VLOOKUP('Données projet'!$B$17,Paramètres!$A$1:$I$89,5,0)</f>
        <v>322.26999999999992</v>
      </c>
      <c r="GB118" s="13">
        <f t="shared" si="103"/>
        <v>75.825476822885776</v>
      </c>
      <c r="GC118" s="20">
        <f t="shared" si="79"/>
        <v>693.34962213319261</v>
      </c>
      <c r="GD118" s="59">
        <f t="shared" si="80"/>
        <v>986.68295546652598</v>
      </c>
      <c r="GE118" s="59">
        <f ca="1">AVERAGE(OFFSET($GD$3,0,0,'Données projet'!$E$17+1,1))-AVERAGE(OFFSET($H$3,0,0,'Données projet'!$E$17+1,1))</f>
        <v>312.64506496298173</v>
      </c>
      <c r="GF118" s="59">
        <f t="shared" si="104"/>
        <v>259.97532509897508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56.637530631125976</v>
      </c>
      <c r="GM118" s="21">
        <f>EXP(-LN(2)/25)*GM117+(1-EXP(-LN(2)/25))/(LN(2)/25)*Calculateur!GH118*Calculateur!GJ118*VLOOKUP('Données projet'!$B$17,Paramètres!$A$1:$I$89,3,0)*0.475*44/12</f>
        <v>1.8544230034105815</v>
      </c>
      <c r="GN118" s="21">
        <f>EXP(-LN(2)/2)*GN117+(1-EXP(-LN(2)/2))/(LN(2)/2)*GH118*GK118*VLOOKUP('Données projet'!$B$17,Paramètres!$A$1:$I$89,3,0)*0.475*44/12</f>
        <v>6.1914276456062687E-13</v>
      </c>
      <c r="GO118" s="21">
        <f t="shared" si="81"/>
        <v>58.491953634537175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>
        <f>VLOOKUP(A118,'Données projet'!$A$269:$I$289,2,0)</f>
        <v>285</v>
      </c>
      <c r="GS118" s="12">
        <f>VLOOKUP(A118,'Données projet'!$A$269:$I$289,9,0)</f>
        <v>3.8</v>
      </c>
      <c r="GT118" s="12">
        <f t="array" ref="GT118">INDEX(GS:GS,MIN(IF(ISNUMBER(GS118:GS314),ROW(GS118:GS314),"")))</f>
        <v>3.8</v>
      </c>
      <c r="GU118" s="12">
        <f>IF('Données projet'!$A$270&gt;35,GU117+GT118-HC117,IF(A118&lt;'Données projet'!$A$270,$GR$205^A118,IF(A118='Données projet'!$A$270,'Données projet'!$B$270,GU117+GT118-HC117)))</f>
        <v>285</v>
      </c>
      <c r="GV118" s="17">
        <f>GU118*VLOOKUP('Données projet'!$B$18,Paramètres!$A$1:$I$89,3,0)*VLOOKUP('Données projet'!$B$18,Paramètres!$A$1:$I$89,5,0)</f>
        <v>288.99</v>
      </c>
      <c r="GW118" s="13">
        <f t="shared" si="105"/>
        <v>68.863345904836791</v>
      </c>
      <c r="GX118" s="20">
        <f t="shared" si="82"/>
        <v>623.26124411759076</v>
      </c>
      <c r="GY118" s="59">
        <f t="shared" si="83"/>
        <v>916.59457745092413</v>
      </c>
      <c r="GZ118" s="59">
        <f ca="1">AVERAGE(OFFSET($GY$3,0,0,'Données projet'!$E$18+1,1))-AVERAGE(OFFSET($H$3,0,0,'Données projet'!$E$18+1,1))</f>
        <v>308.80022073574963</v>
      </c>
      <c r="HA118" s="59">
        <f t="shared" si="106"/>
        <v>183.96267407004115</v>
      </c>
      <c r="HB118" s="15">
        <f>IF(ISNA(VLOOKUP(A118,'Données projet'!$A$269:$I$289,3,0)),0,VLOOKUP(A118,'Données projet'!$A$269:$I$289,3,0))</f>
        <v>19</v>
      </c>
      <c r="HC118" s="15">
        <f>IF(ISNA(VLOOKUP(A118,'Données projet'!$A$269:$I$289,4,0)),0,VLOOKUP(A118,'Données projet'!$A$269:$I$289,4,0))</f>
        <v>18</v>
      </c>
      <c r="HD118" s="16">
        <f>IF(ISNA(VLOOKUP(A118,'Données projet'!$A$269:$I$289,5,0)),0%,VLOOKUP(A118,'Données projet'!$A$269:$I$289,5,0)*VLOOKUP('Données projet'!$B$18,Paramètres!$A$1:$I$89,7,0))</f>
        <v>0.43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84.708956302944273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84.708956302944273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344.49457749226184</v>
      </c>
      <c r="T119" s="59">
        <f t="shared" si="88"/>
        <v>207.92972431357452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2.6</v>
      </c>
      <c r="AI119" s="13">
        <f>IF('Données projet'!$A$62&gt;35,AI118+AH119-AQ118,IF(A119&lt;'Données projet'!$A$62,$AF$205^A119,IF(A119='Données projet'!$A$62,'Données projet'!$B$62,AI118+AH119-AQ118)))</f>
        <v>210.59999999999991</v>
      </c>
      <c r="AJ119" s="13">
        <f>AI119*VLOOKUP('Données projet'!$B$10,Paramètres!$A$1:$I$89,3,0)*VLOOKUP('Données projet'!$B$10,Paramètres!$A$1:$I$89,5,0)</f>
        <v>190.55087999999992</v>
      </c>
      <c r="AK119" s="13">
        <f t="shared" si="89"/>
        <v>47.661724068321917</v>
      </c>
      <c r="AL119" s="20">
        <f t="shared" si="58"/>
        <v>414.88695208566054</v>
      </c>
      <c r="AM119" s="59">
        <f t="shared" si="59"/>
        <v>708.22028541899385</v>
      </c>
      <c r="AN119" s="59">
        <f ca="1">AVERAGE(OFFSET($AM$3,0,0,'Données projet'!$E$10+1,1))-AVERAGE(OFFSET($H$3,0,0,'Données projet'!$E$10+1,1))</f>
        <v>183.0147113277086</v>
      </c>
      <c r="AO119" s="59">
        <f t="shared" si="90"/>
        <v>76.413905647258389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50.095929093688355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50.095929093688355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253.79640000000001</v>
      </c>
      <c r="BF119" s="13">
        <f t="shared" si="91"/>
        <v>61.39816832228076</v>
      </c>
      <c r="BG119" s="20">
        <f t="shared" si="61"/>
        <v>548.96387316130563</v>
      </c>
      <c r="BH119" s="59">
        <f t="shared" si="62"/>
        <v>842.29720649463889</v>
      </c>
      <c r="BI119" s="59">
        <f ca="1">AVERAGE(OFFSET($BH$3,0,0,'Données projet'!$E$11+1,1))-AVERAGE(OFFSET($H$3,0,0,'Données projet'!$E$11+1,1))</f>
        <v>279.49721661620544</v>
      </c>
      <c r="BJ119" s="59">
        <f t="shared" si="92"/>
        <v>275.18739333988754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26.062820467012276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26.062820467012276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754.68411025369562</v>
      </c>
      <c r="CD119" s="59">
        <f ca="1">AVERAGE(OFFSET($CC$3,0,0,'Données projet'!$E$12+1,1))-AVERAGE(OFFSET($H$3,0,0,'Données projet'!$E$12+1,1))</f>
        <v>225.2323446080772</v>
      </c>
      <c r="CE119" s="59">
        <f t="shared" si="94"/>
        <v>222.29030402759292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21.267994335081699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21.267994335081699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213.00000000000003</v>
      </c>
      <c r="CU119" s="17">
        <f>CT119*VLOOKUP('Données projet'!$B$13,Paramètres!$A$1:$I$89,3,0)*VLOOKUP('Données projet'!$B$13,Paramètres!$A$1:$I$89,5,0)</f>
        <v>229.2732</v>
      </c>
      <c r="CV119" s="13">
        <f t="shared" si="95"/>
        <v>56.125501442527366</v>
      </c>
      <c r="CW119" s="20">
        <f t="shared" si="67"/>
        <v>497.06940501240177</v>
      </c>
      <c r="CX119" s="59">
        <f t="shared" si="68"/>
        <v>790.40273834573509</v>
      </c>
      <c r="CY119" s="59">
        <f ca="1">AVERAGE(OFFSET($CX$3,0,0,'Données projet'!$E$13+1,1))-AVERAGE(OFFSET($H$3,0,0,'Données projet'!$E$13+1,1))</f>
        <v>240.57184010337932</v>
      </c>
      <c r="CZ119" s="59">
        <f t="shared" si="96"/>
        <v>236.36473521227072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18.0358216995681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18.0358216995681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670.99999999999977</v>
      </c>
      <c r="DP119" s="17">
        <f>DO119*VLOOKUP('Données projet'!$B$14,Paramètres!$A$1:$I$89,3,0)*VLOOKUP('Données projet'!$B$14,Paramètres!$A$1:$I$89,5,0)</f>
        <v>314.02799999999991</v>
      </c>
      <c r="DQ119" s="13">
        <f t="shared" si="97"/>
        <v>74.109403804428752</v>
      </c>
      <c r="DR119" s="20">
        <f t="shared" si="70"/>
        <v>676.00597829271317</v>
      </c>
      <c r="DS119" s="59">
        <f t="shared" si="71"/>
        <v>969.33931162604654</v>
      </c>
      <c r="DT119" s="59">
        <f ca="1">AVERAGE(OFFSET($DS$3,0,0,'Données projet'!$E$14+1,1))-AVERAGE(OFFSET($H$3,0,0,'Données projet'!$E$14+1,1))</f>
        <v>304.29617570272939</v>
      </c>
      <c r="DU119" s="59">
        <f t="shared" si="98"/>
        <v>246.20695736161576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48.658230500198712</v>
      </c>
      <c r="EB119" s="21">
        <f>EXP(-LN(2)/25)*EB118+(1-EXP(-LN(2)/25))/(LN(2)/25)*Calculateur!DW119*Calculateur!DY119*VLOOKUP('Données projet'!$B$14,Paramètres!$A$1:$I$89,3,0)*0.475*44/12</f>
        <v>3.7708897418448819</v>
      </c>
      <c r="EC119" s="21">
        <f>EXP(-LN(2)/2)*EC118+(1-EXP(-LN(2)/2))/(LN(2)/2)*DW119*DZ119*VLOOKUP('Données projet'!$B$14,Paramètres!$A$1:$I$89,3,0)*0.475*44/12</f>
        <v>4.472659943129956E-13</v>
      </c>
      <c r="ED119" s="22">
        <f t="shared" si="72"/>
        <v>52.429120242044043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477.9999999999996</v>
      </c>
      <c r="EK119" s="17">
        <f>EJ119*VLOOKUP('Données projet'!$B$15,Paramètres!$A$1:$I$89,3,0)*VLOOKUP('Données projet'!$B$15,Paramètres!$A$1:$I$89,5,0)</f>
        <v>285.84399999999977</v>
      </c>
      <c r="EL119" s="13">
        <f t="shared" si="99"/>
        <v>68.200525419065656</v>
      </c>
      <c r="EM119" s="20">
        <f t="shared" si="73"/>
        <v>616.62754843820551</v>
      </c>
      <c r="EN119" s="59">
        <f t="shared" si="74"/>
        <v>909.96088177153888</v>
      </c>
      <c r="EO119" s="59">
        <f ca="1">AVERAGE(OFFSET($EN$3,0,0,'Données projet'!$E$15+1,1))-AVERAGE(OFFSET($H$3,0,0,'Données projet'!$E$15+1,1))</f>
        <v>288.41846134875794</v>
      </c>
      <c r="EP119" s="59">
        <f t="shared" si="100"/>
        <v>248.93951719818972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35.203039189918591</v>
      </c>
      <c r="EW119" s="21">
        <f>EXP(-LN(2)/25)*EW118+(1-EXP(-LN(2)/25))/(LN(2)/25)*Calculateur!ER119*Calculateur!ET119*VLOOKUP('Données projet'!$B$15,Paramètres!$A$1:$I$89,3,0)*0.475*44/12</f>
        <v>2.5739745799256122</v>
      </c>
      <c r="EX119" s="21">
        <f>EXP(-LN(2)/2)*EX118+(1-EXP(-LN(2)/2))/(LN(2)/2)*ER119*EU119*VLOOKUP('Données projet'!$B$15,Paramètres!$A$1:$I$89,3,0)*0.475*44/12</f>
        <v>5.5325426089961842E-14</v>
      </c>
      <c r="EY119" s="22">
        <f t="shared" si="75"/>
        <v>37.77701376984426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789.00000000000045</v>
      </c>
      <c r="FF119" s="17">
        <f>FE119*VLOOKUP('Données projet'!$B$16,Paramètres!$A$1:$I$89,3,0)*VLOOKUP('Données projet'!$B$16,Paramètres!$A$1:$I$89,5,0)</f>
        <v>358.99500000000023</v>
      </c>
      <c r="FG119" s="13">
        <f t="shared" si="101"/>
        <v>83.411930940690553</v>
      </c>
      <c r="FH119" s="20">
        <f t="shared" si="76"/>
        <v>770.52540472170313</v>
      </c>
      <c r="FI119" s="59">
        <f t="shared" si="77"/>
        <v>1063.8587380550364</v>
      </c>
      <c r="FJ119" s="59">
        <f ca="1">AVERAGE(OFFSET($FI$3,0,0,'Données projet'!$E$16+1,1))-AVERAGE(OFFSET($H$3,0,0,'Données projet'!$E$16+1,1))</f>
        <v>367.36535411813264</v>
      </c>
      <c r="FK119" s="59">
        <f t="shared" si="102"/>
        <v>293.19545174980556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43.013905992078492</v>
      </c>
      <c r="FR119" s="21">
        <f>EXP(-LN(2)/25)*FR118+(1-EXP(-LN(2)/25))/(LN(2)/25)*Calculateur!FM119*Calculateur!FO119*VLOOKUP('Données projet'!$B$16,Paramètres!$A$1:$I$89,3,0)*0.475*44/12</f>
        <v>3.9894533545545912</v>
      </c>
      <c r="FS119" s="21">
        <f>EXP(-LN(2)/2)*FS118+(1-EXP(-LN(2)/2))/(LN(2)/2)*FM119*FP119*VLOOKUP('Données projet'!$B$16,Paramètres!$A$1:$I$89,3,0)*0.475*44/12</f>
        <v>8.2360629576265828E-14</v>
      </c>
      <c r="FT119" s="22">
        <f t="shared" si="78"/>
        <v>47.003359346633168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669.99999999999989</v>
      </c>
      <c r="GA119" s="17">
        <f>FZ119*VLOOKUP('Données projet'!$B$17,Paramètres!$A$1:$I$89,3,0)*VLOOKUP('Données projet'!$B$17,Paramètres!$A$1:$I$89,5,0)</f>
        <v>322.26999999999992</v>
      </c>
      <c r="GB119" s="13">
        <f t="shared" si="103"/>
        <v>75.825476822885776</v>
      </c>
      <c r="GC119" s="20">
        <f t="shared" si="79"/>
        <v>693.34962213319261</v>
      </c>
      <c r="GD119" s="59">
        <f t="shared" si="80"/>
        <v>986.68295546652598</v>
      </c>
      <c r="GE119" s="59">
        <f ca="1">AVERAGE(OFFSET($GD$3,0,0,'Données projet'!$E$17+1,1))-AVERAGE(OFFSET($H$3,0,0,'Données projet'!$E$17+1,1))</f>
        <v>312.64506496298173</v>
      </c>
      <c r="GF119" s="59">
        <f t="shared" si="104"/>
        <v>259.97532509897508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55.526903200932196</v>
      </c>
      <c r="GM119" s="21">
        <f>EXP(-LN(2)/25)*GM118+(1-EXP(-LN(2)/25))/(LN(2)/25)*Calculateur!GH119*Calculateur!GJ119*VLOOKUP('Données projet'!$B$17,Paramètres!$A$1:$I$89,3,0)*0.475*44/12</f>
        <v>1.8037137088624517</v>
      </c>
      <c r="GN119" s="21">
        <f>EXP(-LN(2)/2)*GN118+(1-EXP(-LN(2)/2))/(LN(2)/2)*GH119*GK119*VLOOKUP('Données projet'!$B$17,Paramètres!$A$1:$I$89,3,0)*0.475*44/12</f>
        <v>4.378000473434053E-13</v>
      </c>
      <c r="GO119" s="21">
        <f t="shared" si="81"/>
        <v>57.33061690979509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267</v>
      </c>
      <c r="GV119" s="17">
        <f>GU119*VLOOKUP('Données projet'!$B$18,Paramètres!$A$1:$I$89,3,0)*VLOOKUP('Données projet'!$B$18,Paramètres!$A$1:$I$89,5,0)</f>
        <v>270.738</v>
      </c>
      <c r="GW119" s="13">
        <f t="shared" si="105"/>
        <v>65.005866623551711</v>
      </c>
      <c r="GX119" s="20">
        <f t="shared" si="82"/>
        <v>584.7539010360191</v>
      </c>
      <c r="GY119" s="59">
        <f t="shared" si="83"/>
        <v>878.08723436935247</v>
      </c>
      <c r="GZ119" s="59">
        <f ca="1">AVERAGE(OFFSET($GY$3,0,0,'Données projet'!$E$18+1,1))-AVERAGE(OFFSET($H$3,0,0,'Données projet'!$E$18+1,1))</f>
        <v>308.80022073574963</v>
      </c>
      <c r="HA119" s="59">
        <f t="shared" si="106"/>
        <v>183.96267407004115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83.047865337205153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83.047865337205153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344.49457749226184</v>
      </c>
      <c r="T120" s="59">
        <f t="shared" si="88"/>
        <v>207.92972431357452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2.6</v>
      </c>
      <c r="AI120" s="13">
        <f>IF('Données projet'!$A$62&gt;35,AI119+AH120-AQ119,IF(A120&lt;'Données projet'!$A$62,$AF$205^A120,IF(A120='Données projet'!$A$62,'Données projet'!$B$62,AI119+AH120-AQ119)))</f>
        <v>213.1999999999999</v>
      </c>
      <c r="AJ120" s="13">
        <f>AI120*VLOOKUP('Données projet'!$B$10,Paramètres!$A$1:$I$89,3,0)*VLOOKUP('Données projet'!$B$10,Paramètres!$A$1:$I$89,5,0)</f>
        <v>192.90335999999991</v>
      </c>
      <c r="AK120" s="13">
        <f t="shared" si="89"/>
        <v>48.181276881765257</v>
      </c>
      <c r="AL120" s="20">
        <f t="shared" si="58"/>
        <v>419.88907590240768</v>
      </c>
      <c r="AM120" s="59">
        <f t="shared" si="59"/>
        <v>713.222409235741</v>
      </c>
      <c r="AN120" s="59">
        <f ca="1">AVERAGE(OFFSET($AM$3,0,0,'Données projet'!$E$10+1,1))-AVERAGE(OFFSET($H$3,0,0,'Données projet'!$E$10+1,1))</f>
        <v>183.0147113277086</v>
      </c>
      <c r="AO120" s="59">
        <f t="shared" si="90"/>
        <v>76.413905647258389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49.113578479660767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49.113578479660767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253.79640000000001</v>
      </c>
      <c r="BF120" s="13">
        <f t="shared" si="91"/>
        <v>61.39816832228076</v>
      </c>
      <c r="BG120" s="20">
        <f t="shared" si="61"/>
        <v>548.96387316130563</v>
      </c>
      <c r="BH120" s="59">
        <f t="shared" si="62"/>
        <v>842.29720649463889</v>
      </c>
      <c r="BI120" s="59">
        <f ca="1">AVERAGE(OFFSET($BH$3,0,0,'Données projet'!$E$11+1,1))-AVERAGE(OFFSET($H$3,0,0,'Données projet'!$E$11+1,1))</f>
        <v>279.49721661620544</v>
      </c>
      <c r="BJ120" s="59">
        <f t="shared" si="92"/>
        <v>275.18739333988754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25.551744454404975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25.551744454404975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754.68411025369562</v>
      </c>
      <c r="CD120" s="59">
        <f ca="1">AVERAGE(OFFSET($CC$3,0,0,'Données projet'!$E$12+1,1))-AVERAGE(OFFSET($H$3,0,0,'Données projet'!$E$12+1,1))</f>
        <v>225.2323446080772</v>
      </c>
      <c r="CE120" s="59">
        <f t="shared" si="94"/>
        <v>222.29030402759292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20.850941938366393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20.850941938366393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213.00000000000003</v>
      </c>
      <c r="CU120" s="17">
        <f>CT120*VLOOKUP('Données projet'!$B$13,Paramètres!$A$1:$I$89,3,0)*VLOOKUP('Données projet'!$B$13,Paramètres!$A$1:$I$89,5,0)</f>
        <v>229.2732</v>
      </c>
      <c r="CV120" s="13">
        <f t="shared" si="95"/>
        <v>56.125501442527366</v>
      </c>
      <c r="CW120" s="20">
        <f t="shared" si="67"/>
        <v>497.06940501240177</v>
      </c>
      <c r="CX120" s="59">
        <f t="shared" si="68"/>
        <v>790.40273834573509</v>
      </c>
      <c r="CY120" s="59">
        <f ca="1">AVERAGE(OFFSET($CX$3,0,0,'Données projet'!$E$13+1,1))-AVERAGE(OFFSET($H$3,0,0,'Données projet'!$E$13+1,1))</f>
        <v>240.57184010337932</v>
      </c>
      <c r="CZ120" s="59">
        <f t="shared" si="96"/>
        <v>236.36473521227072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17.682150236804571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17.682150236804571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670.99999999999977</v>
      </c>
      <c r="DP120" s="17">
        <f>DO120*VLOOKUP('Données projet'!$B$14,Paramètres!$A$1:$I$89,3,0)*VLOOKUP('Données projet'!$B$14,Paramètres!$A$1:$I$89,5,0)</f>
        <v>314.02799999999991</v>
      </c>
      <c r="DQ120" s="13">
        <f t="shared" si="97"/>
        <v>74.109403804428752</v>
      </c>
      <c r="DR120" s="20">
        <f t="shared" si="70"/>
        <v>676.00597829271317</v>
      </c>
      <c r="DS120" s="59">
        <f t="shared" si="71"/>
        <v>969.33931162604654</v>
      </c>
      <c r="DT120" s="59">
        <f ca="1">AVERAGE(OFFSET($DS$3,0,0,'Données projet'!$E$14+1,1))-AVERAGE(OFFSET($H$3,0,0,'Données projet'!$E$14+1,1))</f>
        <v>304.29617570272939</v>
      </c>
      <c r="DU120" s="59">
        <f t="shared" si="98"/>
        <v>246.20695736161576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47.704072278679902</v>
      </c>
      <c r="EB120" s="21">
        <f>EXP(-LN(2)/25)*EB119+(1-EXP(-LN(2)/25))/(LN(2)/25)*Calculateur!DW120*Calculateur!DY120*VLOOKUP('Données projet'!$B$14,Paramètres!$A$1:$I$89,3,0)*0.475*44/12</f>
        <v>3.6677745635516605</v>
      </c>
      <c r="EC120" s="21">
        <f>EXP(-LN(2)/2)*EC119+(1-EXP(-LN(2)/2))/(LN(2)/2)*DW120*DZ120*VLOOKUP('Données projet'!$B$14,Paramètres!$A$1:$I$89,3,0)*0.475*44/12</f>
        <v>3.1626481757286303E-13</v>
      </c>
      <c r="ED120" s="22">
        <f t="shared" si="72"/>
        <v>51.371846842231882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477.9999999999996</v>
      </c>
      <c r="EK120" s="17">
        <f>EJ120*VLOOKUP('Données projet'!$B$15,Paramètres!$A$1:$I$89,3,0)*VLOOKUP('Données projet'!$B$15,Paramètres!$A$1:$I$89,5,0)</f>
        <v>285.84399999999977</v>
      </c>
      <c r="EL120" s="13">
        <f t="shared" si="99"/>
        <v>68.200525419065656</v>
      </c>
      <c r="EM120" s="20">
        <f t="shared" si="73"/>
        <v>616.62754843820551</v>
      </c>
      <c r="EN120" s="59">
        <f t="shared" si="74"/>
        <v>909.96088177153888</v>
      </c>
      <c r="EO120" s="59">
        <f ca="1">AVERAGE(OFFSET($EN$3,0,0,'Données projet'!$E$15+1,1))-AVERAGE(OFFSET($H$3,0,0,'Données projet'!$E$15+1,1))</f>
        <v>288.41846134875794</v>
      </c>
      <c r="EP120" s="59">
        <f t="shared" si="100"/>
        <v>248.93951719818972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34.512729063138039</v>
      </c>
      <c r="EW120" s="21">
        <f>EXP(-LN(2)/25)*EW119+(1-EXP(-LN(2)/25))/(LN(2)/25)*Calculateur!ER120*Calculateur!ET120*VLOOKUP('Données projet'!$B$15,Paramètres!$A$1:$I$89,3,0)*0.475*44/12</f>
        <v>2.503589109678106</v>
      </c>
      <c r="EX120" s="21">
        <f>EXP(-LN(2)/2)*EX119+(1-EXP(-LN(2)/2))/(LN(2)/2)*ER120*EU120*VLOOKUP('Données projet'!$B$15,Paramètres!$A$1:$I$89,3,0)*0.475*44/12</f>
        <v>3.9120983960247161E-14</v>
      </c>
      <c r="EY120" s="22">
        <f t="shared" si="75"/>
        <v>37.016318172816185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789.00000000000045</v>
      </c>
      <c r="FF120" s="17">
        <f>FE120*VLOOKUP('Données projet'!$B$16,Paramètres!$A$1:$I$89,3,0)*VLOOKUP('Données projet'!$B$16,Paramètres!$A$1:$I$89,5,0)</f>
        <v>358.99500000000023</v>
      </c>
      <c r="FG120" s="13">
        <f t="shared" si="101"/>
        <v>83.411930940690553</v>
      </c>
      <c r="FH120" s="20">
        <f t="shared" si="76"/>
        <v>770.52540472170313</v>
      </c>
      <c r="FI120" s="59">
        <f t="shared" si="77"/>
        <v>1063.8587380550364</v>
      </c>
      <c r="FJ120" s="59">
        <f ca="1">AVERAGE(OFFSET($FI$3,0,0,'Données projet'!$E$16+1,1))-AVERAGE(OFFSET($H$3,0,0,'Données projet'!$E$16+1,1))</f>
        <v>367.36535411813264</v>
      </c>
      <c r="FK120" s="59">
        <f t="shared" si="102"/>
        <v>293.19545174980556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42.170429531465906</v>
      </c>
      <c r="FR120" s="21">
        <f>EXP(-LN(2)/25)*FR119+(1-EXP(-LN(2)/25))/(LN(2)/25)*Calculateur!FM120*Calculateur!FO120*VLOOKUP('Données projet'!$B$16,Paramètres!$A$1:$I$89,3,0)*0.475*44/12</f>
        <v>3.8803615427780618</v>
      </c>
      <c r="FS120" s="21">
        <f>EXP(-LN(2)/2)*FS119+(1-EXP(-LN(2)/2))/(LN(2)/2)*FM120*FP120*VLOOKUP('Données projet'!$B$16,Paramètres!$A$1:$I$89,3,0)*0.475*44/12</f>
        <v>5.8237759676170894E-14</v>
      </c>
      <c r="FT120" s="22">
        <f t="shared" si="78"/>
        <v>46.050791074244025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669.99999999999989</v>
      </c>
      <c r="GA120" s="17">
        <f>FZ120*VLOOKUP('Données projet'!$B$17,Paramètres!$A$1:$I$89,3,0)*VLOOKUP('Données projet'!$B$17,Paramètres!$A$1:$I$89,5,0)</f>
        <v>322.26999999999992</v>
      </c>
      <c r="GB120" s="13">
        <f t="shared" si="103"/>
        <v>75.825476822885776</v>
      </c>
      <c r="GC120" s="20">
        <f t="shared" si="79"/>
        <v>693.34962213319261</v>
      </c>
      <c r="GD120" s="59">
        <f t="shared" si="80"/>
        <v>986.68295546652598</v>
      </c>
      <c r="GE120" s="59">
        <f ca="1">AVERAGE(OFFSET($GD$3,0,0,'Données projet'!$E$17+1,1))-AVERAGE(OFFSET($H$3,0,0,'Données projet'!$E$17+1,1))</f>
        <v>312.64506496298173</v>
      </c>
      <c r="GF120" s="59">
        <f t="shared" si="104"/>
        <v>259.97532509897508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54.438054497228677</v>
      </c>
      <c r="GM120" s="21">
        <f>EXP(-LN(2)/25)*GM119+(1-EXP(-LN(2)/25))/(LN(2)/25)*Calculateur!GH120*Calculateur!GJ120*VLOOKUP('Données projet'!$B$17,Paramètres!$A$1:$I$89,3,0)*0.475*44/12</f>
        <v>1.7543910626404264</v>
      </c>
      <c r="GN120" s="21">
        <f>EXP(-LN(2)/2)*GN119+(1-EXP(-LN(2)/2))/(LN(2)/2)*GH120*GK120*VLOOKUP('Données projet'!$B$17,Paramètres!$A$1:$I$89,3,0)*0.475*44/12</f>
        <v>3.0957138228031343E-13</v>
      </c>
      <c r="GO120" s="21">
        <f t="shared" si="81"/>
        <v>56.192445559869419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267</v>
      </c>
      <c r="GV120" s="17">
        <f>GU120*VLOOKUP('Données projet'!$B$18,Paramètres!$A$1:$I$89,3,0)*VLOOKUP('Données projet'!$B$18,Paramètres!$A$1:$I$89,5,0)</f>
        <v>270.738</v>
      </c>
      <c r="GW120" s="13">
        <f t="shared" si="105"/>
        <v>65.005866623551711</v>
      </c>
      <c r="GX120" s="20">
        <f t="shared" si="82"/>
        <v>584.7539010360191</v>
      </c>
      <c r="GY120" s="59">
        <f t="shared" si="83"/>
        <v>878.08723436935247</v>
      </c>
      <c r="GZ120" s="59">
        <f ca="1">AVERAGE(OFFSET($GY$3,0,0,'Données projet'!$E$18+1,1))-AVERAGE(OFFSET($H$3,0,0,'Données projet'!$E$18+1,1))</f>
        <v>308.80022073574963</v>
      </c>
      <c r="HA120" s="59">
        <f t="shared" si="106"/>
        <v>183.96267407004115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81.419347352138729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81.419347352138729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344.49457749226184</v>
      </c>
      <c r="T121" s="59">
        <f t="shared" si="88"/>
        <v>207.92972431357452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2.6</v>
      </c>
      <c r="AI121" s="13">
        <f>IF('Données projet'!$A$62&gt;35,AI120+AH121-AQ120,IF(A121&lt;'Données projet'!$A$62,$AF$205^A121,IF(A121='Données projet'!$A$62,'Données projet'!$B$62,AI120+AH121-AQ120)))</f>
        <v>215.7999999999999</v>
      </c>
      <c r="AJ121" s="13">
        <f>AI121*VLOOKUP('Données projet'!$B$10,Paramètres!$A$1:$I$89,3,0)*VLOOKUP('Données projet'!$B$10,Paramètres!$A$1:$I$89,5,0)</f>
        <v>195.25583999999989</v>
      </c>
      <c r="AK121" s="13">
        <f t="shared" si="89"/>
        <v>48.700092687541371</v>
      </c>
      <c r="AL121" s="20">
        <f t="shared" si="58"/>
        <v>424.88991609746768</v>
      </c>
      <c r="AM121" s="59">
        <f t="shared" si="59"/>
        <v>718.22324943080093</v>
      </c>
      <c r="AN121" s="59">
        <f ca="1">AVERAGE(OFFSET($AM$3,0,0,'Données projet'!$E$10+1,1))-AVERAGE(OFFSET($H$3,0,0,'Données projet'!$E$10+1,1))</f>
        <v>183.0147113277086</v>
      </c>
      <c r="AO121" s="59">
        <f t="shared" si="90"/>
        <v>76.413905647258389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48.150491161999547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48.150491161999547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253.79640000000001</v>
      </c>
      <c r="BF121" s="13">
        <f t="shared" si="91"/>
        <v>61.39816832228076</v>
      </c>
      <c r="BG121" s="20">
        <f t="shared" si="61"/>
        <v>548.96387316130563</v>
      </c>
      <c r="BH121" s="59">
        <f t="shared" si="62"/>
        <v>842.29720649463889</v>
      </c>
      <c r="BI121" s="59">
        <f ca="1">AVERAGE(OFFSET($BH$3,0,0,'Données projet'!$E$11+1,1))-AVERAGE(OFFSET($H$3,0,0,'Données projet'!$E$11+1,1))</f>
        <v>279.49721661620544</v>
      </c>
      <c r="BJ121" s="59">
        <f t="shared" si="92"/>
        <v>275.18739333988754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25.050690330679316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25.050690330679316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754.68411025369562</v>
      </c>
      <c r="CD121" s="59">
        <f ca="1">AVERAGE(OFFSET($CC$3,0,0,'Données projet'!$E$12+1,1))-AVERAGE(OFFSET($H$3,0,0,'Données projet'!$E$12+1,1))</f>
        <v>225.2323446080772</v>
      </c>
      <c r="CE121" s="59">
        <f t="shared" si="94"/>
        <v>222.29030402759292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20.442067684773832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20.442067684773832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213.00000000000003</v>
      </c>
      <c r="CU121" s="17">
        <f>CT121*VLOOKUP('Données projet'!$B$13,Paramètres!$A$1:$I$89,3,0)*VLOOKUP('Données projet'!$B$13,Paramètres!$A$1:$I$89,5,0)</f>
        <v>229.2732</v>
      </c>
      <c r="CV121" s="13">
        <f t="shared" si="95"/>
        <v>56.125501442527366</v>
      </c>
      <c r="CW121" s="20">
        <f t="shared" si="67"/>
        <v>497.06940501240177</v>
      </c>
      <c r="CX121" s="59">
        <f t="shared" si="68"/>
        <v>790.40273834573509</v>
      </c>
      <c r="CY121" s="59">
        <f ca="1">AVERAGE(OFFSET($CX$3,0,0,'Données projet'!$E$13+1,1))-AVERAGE(OFFSET($H$3,0,0,'Données projet'!$E$13+1,1))</f>
        <v>240.57184010337932</v>
      </c>
      <c r="CZ121" s="59">
        <f t="shared" si="96"/>
        <v>236.36473521227072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17.335414055707542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17.335414055707542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670.99999999999977</v>
      </c>
      <c r="DP121" s="17">
        <f>DO121*VLOOKUP('Données projet'!$B$14,Paramètres!$A$1:$I$89,3,0)*VLOOKUP('Données projet'!$B$14,Paramètres!$A$1:$I$89,5,0)</f>
        <v>314.02799999999991</v>
      </c>
      <c r="DQ121" s="13">
        <f t="shared" si="97"/>
        <v>74.109403804428752</v>
      </c>
      <c r="DR121" s="20">
        <f t="shared" si="70"/>
        <v>676.00597829271317</v>
      </c>
      <c r="DS121" s="59">
        <f t="shared" si="71"/>
        <v>969.33931162604654</v>
      </c>
      <c r="DT121" s="59">
        <f ca="1">AVERAGE(OFFSET($DS$3,0,0,'Données projet'!$E$14+1,1))-AVERAGE(OFFSET($H$3,0,0,'Données projet'!$E$14+1,1))</f>
        <v>304.29617570272939</v>
      </c>
      <c r="DU121" s="59">
        <f t="shared" si="98"/>
        <v>246.20695736161576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46.768624517906026</v>
      </c>
      <c r="EB121" s="21">
        <f>EXP(-LN(2)/25)*EB120+(1-EXP(-LN(2)/25))/(LN(2)/25)*Calculateur!DW121*Calculateur!DY121*VLOOKUP('Données projet'!$B$14,Paramètres!$A$1:$I$89,3,0)*0.475*44/12</f>
        <v>3.5674790752314589</v>
      </c>
      <c r="EC121" s="21">
        <f>EXP(-LN(2)/2)*EC120+(1-EXP(-LN(2)/2))/(LN(2)/2)*DW121*DZ121*VLOOKUP('Données projet'!$B$14,Paramètres!$A$1:$I$89,3,0)*0.475*44/12</f>
        <v>2.2363299715649785E-13</v>
      </c>
      <c r="ED121" s="22">
        <f t="shared" si="72"/>
        <v>50.336103593137707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477.9999999999996</v>
      </c>
      <c r="EK121" s="17">
        <f>EJ121*VLOOKUP('Données projet'!$B$15,Paramètres!$A$1:$I$89,3,0)*VLOOKUP('Données projet'!$B$15,Paramètres!$A$1:$I$89,5,0)</f>
        <v>285.84399999999977</v>
      </c>
      <c r="EL121" s="13">
        <f t="shared" si="99"/>
        <v>68.200525419065656</v>
      </c>
      <c r="EM121" s="20">
        <f t="shared" si="73"/>
        <v>616.62754843820551</v>
      </c>
      <c r="EN121" s="59">
        <f t="shared" si="74"/>
        <v>909.96088177153888</v>
      </c>
      <c r="EO121" s="59">
        <f ca="1">AVERAGE(OFFSET($EN$3,0,0,'Données projet'!$E$15+1,1))-AVERAGE(OFFSET($H$3,0,0,'Données projet'!$E$15+1,1))</f>
        <v>288.41846134875794</v>
      </c>
      <c r="EP121" s="59">
        <f t="shared" si="100"/>
        <v>248.93951719818972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33.835955496896048</v>
      </c>
      <c r="EW121" s="21">
        <f>EXP(-LN(2)/25)*EW120+(1-EXP(-LN(2)/25))/(LN(2)/25)*Calculateur!ER121*Calculateur!ET121*VLOOKUP('Données projet'!$B$15,Paramètres!$A$1:$I$89,3,0)*0.475*44/12</f>
        <v>2.4351283338159289</v>
      </c>
      <c r="EX121" s="21">
        <f>EXP(-LN(2)/2)*EX120+(1-EXP(-LN(2)/2))/(LN(2)/2)*ER121*EU121*VLOOKUP('Données projet'!$B$15,Paramètres!$A$1:$I$89,3,0)*0.475*44/12</f>
        <v>2.7662713044980927E-14</v>
      </c>
      <c r="EY121" s="22">
        <f t="shared" si="75"/>
        <v>36.271083830712008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789.00000000000045</v>
      </c>
      <c r="FF121" s="17">
        <f>FE121*VLOOKUP('Données projet'!$B$16,Paramètres!$A$1:$I$89,3,0)*VLOOKUP('Données projet'!$B$16,Paramètres!$A$1:$I$89,5,0)</f>
        <v>358.99500000000023</v>
      </c>
      <c r="FG121" s="13">
        <f t="shared" si="101"/>
        <v>83.411930940690553</v>
      </c>
      <c r="FH121" s="20">
        <f t="shared" si="76"/>
        <v>770.52540472170313</v>
      </c>
      <c r="FI121" s="59">
        <f t="shared" si="77"/>
        <v>1063.8587380550364</v>
      </c>
      <c r="FJ121" s="59">
        <f ca="1">AVERAGE(OFFSET($FI$3,0,0,'Données projet'!$E$16+1,1))-AVERAGE(OFFSET($H$3,0,0,'Données projet'!$E$16+1,1))</f>
        <v>367.36535411813264</v>
      </c>
      <c r="FK121" s="59">
        <f t="shared" si="102"/>
        <v>293.19545174980556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41.343493129776093</v>
      </c>
      <c r="FR121" s="21">
        <f>EXP(-LN(2)/25)*FR120+(1-EXP(-LN(2)/25))/(LN(2)/25)*Calculateur!FM121*Calculateur!FO121*VLOOKUP('Données projet'!$B$16,Paramètres!$A$1:$I$89,3,0)*0.475*44/12</f>
        <v>3.7742528523314509</v>
      </c>
      <c r="FS121" s="21">
        <f>EXP(-LN(2)/2)*FS120+(1-EXP(-LN(2)/2))/(LN(2)/2)*FM121*FP121*VLOOKUP('Données projet'!$B$16,Paramètres!$A$1:$I$89,3,0)*0.475*44/12</f>
        <v>4.1180314788132914E-14</v>
      </c>
      <c r="FT121" s="22">
        <f t="shared" si="78"/>
        <v>45.117745982107586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669.99999999999989</v>
      </c>
      <c r="GA121" s="17">
        <f>FZ121*VLOOKUP('Données projet'!$B$17,Paramètres!$A$1:$I$89,3,0)*VLOOKUP('Données projet'!$B$17,Paramètres!$A$1:$I$89,5,0)</f>
        <v>322.26999999999992</v>
      </c>
      <c r="GB121" s="13">
        <f t="shared" si="103"/>
        <v>75.825476822885776</v>
      </c>
      <c r="GC121" s="20">
        <f t="shared" si="79"/>
        <v>693.34962213319261</v>
      </c>
      <c r="GD121" s="59">
        <f t="shared" si="80"/>
        <v>986.68295546652598</v>
      </c>
      <c r="GE121" s="59">
        <f ca="1">AVERAGE(OFFSET($GD$3,0,0,'Données projet'!$E$17+1,1))-AVERAGE(OFFSET($H$3,0,0,'Données projet'!$E$17+1,1))</f>
        <v>312.64506496298173</v>
      </c>
      <c r="GF121" s="59">
        <f t="shared" si="104"/>
        <v>259.97532509897508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53.370557452472653</v>
      </c>
      <c r="GM121" s="21">
        <f>EXP(-LN(2)/25)*GM120+(1-EXP(-LN(2)/25))/(LN(2)/25)*Calculateur!GH121*Calculateur!GJ121*VLOOKUP('Données projet'!$B$17,Paramètres!$A$1:$I$89,3,0)*0.475*44/12</f>
        <v>1.7064171467731077</v>
      </c>
      <c r="GN121" s="21">
        <f>EXP(-LN(2)/2)*GN120+(1-EXP(-LN(2)/2))/(LN(2)/2)*GH121*GK121*VLOOKUP('Données projet'!$B$17,Paramètres!$A$1:$I$89,3,0)*0.475*44/12</f>
        <v>2.1890002367170265E-13</v>
      </c>
      <c r="GO121" s="21">
        <f t="shared" si="81"/>
        <v>55.076974599245979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267</v>
      </c>
      <c r="GV121" s="17">
        <f>GU121*VLOOKUP('Données projet'!$B$18,Paramètres!$A$1:$I$89,3,0)*VLOOKUP('Données projet'!$B$18,Paramètres!$A$1:$I$89,5,0)</f>
        <v>270.738</v>
      </c>
      <c r="GW121" s="13">
        <f t="shared" si="105"/>
        <v>65.005866623551711</v>
      </c>
      <c r="GX121" s="20">
        <f t="shared" si="82"/>
        <v>584.7539010360191</v>
      </c>
      <c r="GY121" s="59">
        <f t="shared" si="83"/>
        <v>878.08723436935247</v>
      </c>
      <c r="GZ121" s="59">
        <f ca="1">AVERAGE(OFFSET($GY$3,0,0,'Données projet'!$E$18+1,1))-AVERAGE(OFFSET($H$3,0,0,'Données projet'!$E$18+1,1))</f>
        <v>308.80022073574963</v>
      </c>
      <c r="HA121" s="59">
        <f t="shared" si="106"/>
        <v>183.96267407004115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79.822763611461568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79.822763611461568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344.49457749226184</v>
      </c>
      <c r="T122" s="59">
        <f t="shared" si="88"/>
        <v>207.92972431357452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2.6</v>
      </c>
      <c r="AI122" s="13">
        <f>IF('Données projet'!$A$62&gt;35,AI121+AH122-AQ121,IF(A122&lt;'Données projet'!$A$62,$AF$205^A122,IF(A122='Données projet'!$A$62,'Données projet'!$B$62,AI121+AH122-AQ121)))</f>
        <v>218.39999999999989</v>
      </c>
      <c r="AJ122" s="13">
        <f>AI122*VLOOKUP('Données projet'!$B$10,Paramètres!$A$1:$I$89,3,0)*VLOOKUP('Données projet'!$B$10,Paramètres!$A$1:$I$89,5,0)</f>
        <v>197.60831999999988</v>
      </c>
      <c r="AK122" s="13">
        <f t="shared" si="89"/>
        <v>49.218181392381318</v>
      </c>
      <c r="AL122" s="20">
        <f t="shared" si="58"/>
        <v>429.88948992506386</v>
      </c>
      <c r="AM122" s="59">
        <f t="shared" si="59"/>
        <v>723.22282325839717</v>
      </c>
      <c r="AN122" s="59">
        <f ca="1">AVERAGE(OFFSET($AM$3,0,0,'Données projet'!$E$10+1,1))-AVERAGE(OFFSET($H$3,0,0,'Données projet'!$E$10+1,1))</f>
        <v>183.0147113277086</v>
      </c>
      <c r="AO122" s="59">
        <f t="shared" si="90"/>
        <v>76.413905647258389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47.206289399212409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47.206289399212409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253.79640000000001</v>
      </c>
      <c r="BF122" s="13">
        <f t="shared" si="91"/>
        <v>61.39816832228076</v>
      </c>
      <c r="BG122" s="20">
        <f t="shared" si="61"/>
        <v>548.96387316130563</v>
      </c>
      <c r="BH122" s="59">
        <f t="shared" si="62"/>
        <v>842.29720649463889</v>
      </c>
      <c r="BI122" s="59">
        <f ca="1">AVERAGE(OFFSET($BH$3,0,0,'Données projet'!$E$11+1,1))-AVERAGE(OFFSET($H$3,0,0,'Données projet'!$E$11+1,1))</f>
        <v>279.49721661620544</v>
      </c>
      <c r="BJ122" s="59">
        <f t="shared" si="92"/>
        <v>275.18739333988754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24.559461572707079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24.559461572707079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754.68411025369562</v>
      </c>
      <c r="CD122" s="59">
        <f ca="1">AVERAGE(OFFSET($CC$3,0,0,'Données projet'!$E$12+1,1))-AVERAGE(OFFSET($H$3,0,0,'Données projet'!$E$12+1,1))</f>
        <v>225.2323446080772</v>
      </c>
      <c r="CE122" s="59">
        <f t="shared" si="94"/>
        <v>222.29030402759292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20.041211205905551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20.041211205905551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213.00000000000003</v>
      </c>
      <c r="CU122" s="17">
        <f>CT122*VLOOKUP('Données projet'!$B$13,Paramètres!$A$1:$I$89,3,0)*VLOOKUP('Données projet'!$B$13,Paramètres!$A$1:$I$89,5,0)</f>
        <v>229.2732</v>
      </c>
      <c r="CV122" s="13">
        <f t="shared" si="95"/>
        <v>56.125501442527366</v>
      </c>
      <c r="CW122" s="20">
        <f t="shared" si="67"/>
        <v>497.06940501240177</v>
      </c>
      <c r="CX122" s="59">
        <f t="shared" si="68"/>
        <v>790.40273834573509</v>
      </c>
      <c r="CY122" s="59">
        <f ca="1">AVERAGE(OFFSET($CX$3,0,0,'Données projet'!$E$13+1,1))-AVERAGE(OFFSET($H$3,0,0,'Données projet'!$E$13+1,1))</f>
        <v>240.57184010337932</v>
      </c>
      <c r="CZ122" s="59">
        <f t="shared" si="96"/>
        <v>236.36473521227072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16.995477159633637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16.995477159633637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670.99999999999977</v>
      </c>
      <c r="DP122" s="17">
        <f>DO122*VLOOKUP('Données projet'!$B$14,Paramètres!$A$1:$I$89,3,0)*VLOOKUP('Données projet'!$B$14,Paramètres!$A$1:$I$89,5,0)</f>
        <v>314.02799999999991</v>
      </c>
      <c r="DQ122" s="13">
        <f t="shared" si="97"/>
        <v>74.109403804428752</v>
      </c>
      <c r="DR122" s="20">
        <f t="shared" si="70"/>
        <v>676.00597829271317</v>
      </c>
      <c r="DS122" s="59">
        <f t="shared" si="71"/>
        <v>969.33931162604654</v>
      </c>
      <c r="DT122" s="59">
        <f ca="1">AVERAGE(OFFSET($DS$3,0,0,'Données projet'!$E$14+1,1))-AVERAGE(OFFSET($H$3,0,0,'Données projet'!$E$14+1,1))</f>
        <v>304.29617570272939</v>
      </c>
      <c r="DU122" s="59">
        <f t="shared" si="98"/>
        <v>246.20695736161576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45.851520317154133</v>
      </c>
      <c r="EB122" s="21">
        <f>EXP(-LN(2)/25)*EB121+(1-EXP(-LN(2)/25))/(LN(2)/25)*Calculateur!DW122*Calculateur!DY122*VLOOKUP('Données projet'!$B$14,Paramètres!$A$1:$I$89,3,0)*0.475*44/12</f>
        <v>3.4699261723136838</v>
      </c>
      <c r="EC122" s="21">
        <f>EXP(-LN(2)/2)*EC121+(1-EXP(-LN(2)/2))/(LN(2)/2)*DW122*DZ122*VLOOKUP('Données projet'!$B$14,Paramètres!$A$1:$I$89,3,0)*0.475*44/12</f>
        <v>1.5813240878643154E-13</v>
      </c>
      <c r="ED122" s="22">
        <f t="shared" si="72"/>
        <v>49.321446489467974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477.9999999999996</v>
      </c>
      <c r="EK122" s="17">
        <f>EJ122*VLOOKUP('Données projet'!$B$15,Paramètres!$A$1:$I$89,3,0)*VLOOKUP('Données projet'!$B$15,Paramètres!$A$1:$I$89,5,0)</f>
        <v>285.84399999999977</v>
      </c>
      <c r="EL122" s="13">
        <f t="shared" si="99"/>
        <v>68.200525419065656</v>
      </c>
      <c r="EM122" s="20">
        <f t="shared" si="73"/>
        <v>616.62754843820551</v>
      </c>
      <c r="EN122" s="59">
        <f t="shared" si="74"/>
        <v>909.96088177153888</v>
      </c>
      <c r="EO122" s="59">
        <f ca="1">AVERAGE(OFFSET($EN$3,0,0,'Données projet'!$E$15+1,1))-AVERAGE(OFFSET($H$3,0,0,'Données projet'!$E$15+1,1))</f>
        <v>288.41846134875794</v>
      </c>
      <c r="EP122" s="59">
        <f t="shared" si="100"/>
        <v>248.93951719818972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33.172453047496944</v>
      </c>
      <c r="EW122" s="21">
        <f>EXP(-LN(2)/25)*EW121+(1-EXP(-LN(2)/25))/(LN(2)/25)*Calculateur!ER122*Calculateur!ET122*VLOOKUP('Données projet'!$B$15,Paramètres!$A$1:$I$89,3,0)*0.475*44/12</f>
        <v>2.3685396214698988</v>
      </c>
      <c r="EX122" s="21">
        <f>EXP(-LN(2)/2)*EX121+(1-EXP(-LN(2)/2))/(LN(2)/2)*ER122*EU122*VLOOKUP('Données projet'!$B$15,Paramètres!$A$1:$I$89,3,0)*0.475*44/12</f>
        <v>1.9560491980123583E-14</v>
      </c>
      <c r="EY122" s="22">
        <f t="shared" si="75"/>
        <v>35.540992668966865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789.00000000000045</v>
      </c>
      <c r="FF122" s="17">
        <f>FE122*VLOOKUP('Données projet'!$B$16,Paramètres!$A$1:$I$89,3,0)*VLOOKUP('Données projet'!$B$16,Paramètres!$A$1:$I$89,5,0)</f>
        <v>358.99500000000023</v>
      </c>
      <c r="FG122" s="13">
        <f t="shared" si="101"/>
        <v>83.411930940690553</v>
      </c>
      <c r="FH122" s="20">
        <f t="shared" si="76"/>
        <v>770.52540472170313</v>
      </c>
      <c r="FI122" s="59">
        <f t="shared" si="77"/>
        <v>1063.8587380550364</v>
      </c>
      <c r="FJ122" s="59">
        <f ca="1">AVERAGE(OFFSET($FI$3,0,0,'Données projet'!$E$16+1,1))-AVERAGE(OFFSET($H$3,0,0,'Données projet'!$E$16+1,1))</f>
        <v>367.36535411813264</v>
      </c>
      <c r="FK122" s="59">
        <f t="shared" si="102"/>
        <v>293.19545174980556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40.532772446542019</v>
      </c>
      <c r="FR122" s="21">
        <f>EXP(-LN(2)/25)*FR121+(1-EXP(-LN(2)/25))/(LN(2)/25)*Calculateur!FM122*Calculateur!FO122*VLOOKUP('Données projet'!$B$16,Paramètres!$A$1:$I$89,3,0)*0.475*44/12</f>
        <v>3.6710457096051159</v>
      </c>
      <c r="FS122" s="21">
        <f>EXP(-LN(2)/2)*FS121+(1-EXP(-LN(2)/2))/(LN(2)/2)*FM122*FP122*VLOOKUP('Données projet'!$B$16,Paramètres!$A$1:$I$89,3,0)*0.475*44/12</f>
        <v>2.9118879838085447E-14</v>
      </c>
      <c r="FT122" s="22">
        <f t="shared" si="78"/>
        <v>44.203818156147165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669.99999999999989</v>
      </c>
      <c r="GA122" s="17">
        <f>FZ122*VLOOKUP('Données projet'!$B$17,Paramètres!$A$1:$I$89,3,0)*VLOOKUP('Données projet'!$B$17,Paramètres!$A$1:$I$89,5,0)</f>
        <v>322.26999999999992</v>
      </c>
      <c r="GB122" s="13">
        <f t="shared" si="103"/>
        <v>75.825476822885776</v>
      </c>
      <c r="GC122" s="20">
        <f t="shared" si="79"/>
        <v>693.34962213319261</v>
      </c>
      <c r="GD122" s="59">
        <f t="shared" si="80"/>
        <v>986.68295546652598</v>
      </c>
      <c r="GE122" s="59">
        <f ca="1">AVERAGE(OFFSET($GD$3,0,0,'Données projet'!$E$17+1,1))-AVERAGE(OFFSET($H$3,0,0,'Données projet'!$E$17+1,1))</f>
        <v>312.64506496298173</v>
      </c>
      <c r="GF122" s="59">
        <f t="shared" si="104"/>
        <v>259.97532509897508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52.323993373655384</v>
      </c>
      <c r="GM122" s="21">
        <f>EXP(-LN(2)/25)*GM121+(1-EXP(-LN(2)/25))/(LN(2)/25)*Calculateur!GH122*Calculateur!GJ122*VLOOKUP('Données projet'!$B$17,Paramètres!$A$1:$I$89,3,0)*0.475*44/12</f>
        <v>1.6597550801580194</v>
      </c>
      <c r="GN122" s="21">
        <f>EXP(-LN(2)/2)*GN121+(1-EXP(-LN(2)/2))/(LN(2)/2)*GH122*GK122*VLOOKUP('Données projet'!$B$17,Paramètres!$A$1:$I$89,3,0)*0.475*44/12</f>
        <v>1.5478569114015672E-13</v>
      </c>
      <c r="GO122" s="21">
        <f t="shared" si="81"/>
        <v>53.983748453813561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267</v>
      </c>
      <c r="GV122" s="17">
        <f>GU122*VLOOKUP('Données projet'!$B$18,Paramètres!$A$1:$I$89,3,0)*VLOOKUP('Données projet'!$B$18,Paramètres!$A$1:$I$89,5,0)</f>
        <v>270.738</v>
      </c>
      <c r="GW122" s="13">
        <f t="shared" si="105"/>
        <v>65.005866623551711</v>
      </c>
      <c r="GX122" s="20">
        <f t="shared" si="82"/>
        <v>584.7539010360191</v>
      </c>
      <c r="GY122" s="59">
        <f t="shared" si="83"/>
        <v>878.08723436935247</v>
      </c>
      <c r="GZ122" s="59">
        <f ca="1">AVERAGE(OFFSET($GY$3,0,0,'Données projet'!$E$18+1,1))-AVERAGE(OFFSET($H$3,0,0,'Données projet'!$E$18+1,1))</f>
        <v>308.80022073574963</v>
      </c>
      <c r="HA122" s="59">
        <f t="shared" si="106"/>
        <v>183.96267407004115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78.257487904119159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78.257487904119159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344.49457749226184</v>
      </c>
      <c r="T123" s="59">
        <f t="shared" si="88"/>
        <v>207.92972431357452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221</v>
      </c>
      <c r="AG123" s="12">
        <f>VLOOKUP(A123,'Données projet'!$A$61:$I$81,9,0)</f>
        <v>2.6</v>
      </c>
      <c r="AH123" s="12">
        <f t="array" ref="AH123">INDEX(AG:AG,MIN(IF(ISNUMBER(AG123:AG319),ROW(AG123:AG319),"")))</f>
        <v>2.6</v>
      </c>
      <c r="AI123" s="13">
        <f>IF('Données projet'!$A$62&gt;35,AI122+AH123-AQ122,IF(A123&lt;'Données projet'!$A$62,$AF$205^A123,IF(A123='Données projet'!$A$62,'Données projet'!$B$62,AI122+AH123-AQ122)))</f>
        <v>220.99999999999989</v>
      </c>
      <c r="AJ123" s="13">
        <f>AI123*VLOOKUP('Données projet'!$B$10,Paramètres!$A$1:$I$89,3,0)*VLOOKUP('Données projet'!$B$10,Paramètres!$A$1:$I$89,5,0)</f>
        <v>199.96079999999989</v>
      </c>
      <c r="AK123" s="13">
        <f t="shared" si="89"/>
        <v>49.735552653569222</v>
      </c>
      <c r="AL123" s="20">
        <f t="shared" si="58"/>
        <v>434.88781420496616</v>
      </c>
      <c r="AM123" s="59">
        <f t="shared" si="59"/>
        <v>728.22114753829942</v>
      </c>
      <c r="AN123" s="59">
        <f ca="1">AVERAGE(OFFSET($AM$3,0,0,'Données projet'!$E$10+1,1))-AVERAGE(OFFSET($H$3,0,0,'Données projet'!$E$10+1,1))</f>
        <v>183.0147113277086</v>
      </c>
      <c r="AO123" s="59">
        <f t="shared" si="90"/>
        <v>76.413905647258389</v>
      </c>
      <c r="AP123" s="15">
        <f>IF(ISNA(VLOOKUP(A123,'Données projet'!$A$61:$I$81,3,0)),0,VLOOKUP(A123,'Données projet'!$A$61:$I$81,3,0))</f>
        <v>18</v>
      </c>
      <c r="AQ123" s="15">
        <f>IF(ISNA(VLOOKUP(A123,'Données projet'!$A$61:$I$81,4,0)),0,VLOOKUP(A123,'Données projet'!$A$61:$I$81,4,0))</f>
        <v>12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51.441787589998611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51.441787589998611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253.79640000000001</v>
      </c>
      <c r="BF123" s="13">
        <f t="shared" si="91"/>
        <v>61.39816832228076</v>
      </c>
      <c r="BG123" s="20">
        <f t="shared" si="61"/>
        <v>548.96387316130563</v>
      </c>
      <c r="BH123" s="59">
        <f t="shared" si="62"/>
        <v>842.29720649463889</v>
      </c>
      <c r="BI123" s="59">
        <f ca="1">AVERAGE(OFFSET($BH$3,0,0,'Données projet'!$E$11+1,1))-AVERAGE(OFFSET($H$3,0,0,'Données projet'!$E$11+1,1))</f>
        <v>279.49721661620544</v>
      </c>
      <c r="BJ123" s="59">
        <f t="shared" si="92"/>
        <v>275.18739333988754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24.077865511058722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24.077865511058722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754.68411025369562</v>
      </c>
      <c r="CD123" s="59">
        <f ca="1">AVERAGE(OFFSET($CC$3,0,0,'Données projet'!$E$12+1,1))-AVERAGE(OFFSET($H$3,0,0,'Données projet'!$E$12+1,1))</f>
        <v>225.2323446080772</v>
      </c>
      <c r="CE123" s="59">
        <f t="shared" si="94"/>
        <v>222.29030402759292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19.648215278089566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19.648215278089566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213.00000000000003</v>
      </c>
      <c r="CU123" s="17">
        <f>CT123*VLOOKUP('Données projet'!$B$13,Paramètres!$A$1:$I$89,3,0)*VLOOKUP('Données projet'!$B$13,Paramètres!$A$1:$I$89,5,0)</f>
        <v>229.2732</v>
      </c>
      <c r="CV123" s="13">
        <f t="shared" si="95"/>
        <v>56.125501442527366</v>
      </c>
      <c r="CW123" s="20">
        <f t="shared" si="67"/>
        <v>497.06940501240177</v>
      </c>
      <c r="CX123" s="59">
        <f t="shared" si="68"/>
        <v>790.40273834573509</v>
      </c>
      <c r="CY123" s="59">
        <f ca="1">AVERAGE(OFFSET($CX$3,0,0,'Données projet'!$E$13+1,1))-AVERAGE(OFFSET($H$3,0,0,'Données projet'!$E$13+1,1))</f>
        <v>240.57184010337932</v>
      </c>
      <c r="CZ123" s="59">
        <f t="shared" si="96"/>
        <v>236.36473521227072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16.662206218750711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16.662206218750711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670.99999999999977</v>
      </c>
      <c r="DP123" s="17">
        <f>DO123*VLOOKUP('Données projet'!$B$14,Paramètres!$A$1:$I$89,3,0)*VLOOKUP('Données projet'!$B$14,Paramètres!$A$1:$I$89,5,0)</f>
        <v>314.02799999999991</v>
      </c>
      <c r="DQ123" s="13">
        <f t="shared" si="97"/>
        <v>74.109403804428752</v>
      </c>
      <c r="DR123" s="20">
        <f t="shared" si="70"/>
        <v>676.00597829271317</v>
      </c>
      <c r="DS123" s="59">
        <f t="shared" si="71"/>
        <v>969.33931162604654</v>
      </c>
      <c r="DT123" s="59">
        <f ca="1">AVERAGE(OFFSET($DS$3,0,0,'Données projet'!$E$14+1,1))-AVERAGE(OFFSET($H$3,0,0,'Données projet'!$E$14+1,1))</f>
        <v>304.29617570272939</v>
      </c>
      <c r="DU123" s="59">
        <f t="shared" si="98"/>
        <v>246.20695736161576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44.952399970400656</v>
      </c>
      <c r="EB123" s="21">
        <f>EXP(-LN(2)/25)*EB122+(1-EXP(-LN(2)/25))/(LN(2)/25)*Calculateur!DW123*Calculateur!DY123*VLOOKUP('Données projet'!$B$14,Paramètres!$A$1:$I$89,3,0)*0.475*44/12</f>
        <v>3.3750408586562792</v>
      </c>
      <c r="EC123" s="21">
        <f>EXP(-LN(2)/2)*EC122+(1-EXP(-LN(2)/2))/(LN(2)/2)*DW123*DZ123*VLOOKUP('Données projet'!$B$14,Paramètres!$A$1:$I$89,3,0)*0.475*44/12</f>
        <v>1.1181649857824894E-13</v>
      </c>
      <c r="ED123" s="22">
        <f t="shared" si="72"/>
        <v>48.327440829057046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477.9999999999996</v>
      </c>
      <c r="EK123" s="17">
        <f>EJ123*VLOOKUP('Données projet'!$B$15,Paramètres!$A$1:$I$89,3,0)*VLOOKUP('Données projet'!$B$15,Paramètres!$A$1:$I$89,5,0)</f>
        <v>285.84399999999977</v>
      </c>
      <c r="EL123" s="13">
        <f t="shared" si="99"/>
        <v>68.200525419065656</v>
      </c>
      <c r="EM123" s="20">
        <f t="shared" si="73"/>
        <v>616.62754843820551</v>
      </c>
      <c r="EN123" s="59">
        <f t="shared" si="74"/>
        <v>909.96088177153888</v>
      </c>
      <c r="EO123" s="59">
        <f ca="1">AVERAGE(OFFSET($EN$3,0,0,'Données projet'!$E$15+1,1))-AVERAGE(OFFSET($H$3,0,0,'Données projet'!$E$15+1,1))</f>
        <v>288.41846134875794</v>
      </c>
      <c r="EP123" s="59">
        <f t="shared" si="100"/>
        <v>248.93951719818972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32.521961476434022</v>
      </c>
      <c r="EW123" s="21">
        <f>EXP(-LN(2)/25)*EW122+(1-EXP(-LN(2)/25))/(LN(2)/25)*Calculateur!ER123*Calculateur!ET123*VLOOKUP('Données projet'!$B$15,Paramètres!$A$1:$I$89,3,0)*0.475*44/12</f>
        <v>2.3037717809647189</v>
      </c>
      <c r="EX123" s="21">
        <f>EXP(-LN(2)/2)*EX122+(1-EXP(-LN(2)/2))/(LN(2)/2)*ER123*EU123*VLOOKUP('Données projet'!$B$15,Paramètres!$A$1:$I$89,3,0)*0.475*44/12</f>
        <v>1.3831356522490465E-14</v>
      </c>
      <c r="EY123" s="22">
        <f t="shared" si="75"/>
        <v>34.825733257398753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789.00000000000045</v>
      </c>
      <c r="FF123" s="17">
        <f>FE123*VLOOKUP('Données projet'!$B$16,Paramètres!$A$1:$I$89,3,0)*VLOOKUP('Données projet'!$B$16,Paramètres!$A$1:$I$89,5,0)</f>
        <v>358.99500000000023</v>
      </c>
      <c r="FG123" s="13">
        <f t="shared" si="101"/>
        <v>83.411930940690553</v>
      </c>
      <c r="FH123" s="20">
        <f t="shared" si="76"/>
        <v>770.52540472170313</v>
      </c>
      <c r="FI123" s="59">
        <f t="shared" si="77"/>
        <v>1063.8587380550364</v>
      </c>
      <c r="FJ123" s="59">
        <f ca="1">AVERAGE(OFFSET($FI$3,0,0,'Données projet'!$E$16+1,1))-AVERAGE(OFFSET($H$3,0,0,'Données projet'!$E$16+1,1))</f>
        <v>367.36535411813264</v>
      </c>
      <c r="FK123" s="59">
        <f t="shared" si="102"/>
        <v>293.19545174980556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39.737949501415372</v>
      </c>
      <c r="FR123" s="21">
        <f>EXP(-LN(2)/25)*FR122+(1-EXP(-LN(2)/25))/(LN(2)/25)*Calculateur!FM123*Calculateur!FO123*VLOOKUP('Données projet'!$B$16,Paramètres!$A$1:$I$89,3,0)*0.475*44/12</f>
        <v>3.5706607716240604</v>
      </c>
      <c r="FS123" s="21">
        <f>EXP(-LN(2)/2)*FS122+(1-EXP(-LN(2)/2))/(LN(2)/2)*FM123*FP123*VLOOKUP('Données projet'!$B$16,Paramètres!$A$1:$I$89,3,0)*0.475*44/12</f>
        <v>2.0590157394066457E-14</v>
      </c>
      <c r="FT123" s="22">
        <f t="shared" si="78"/>
        <v>43.308610273039456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669.99999999999989</v>
      </c>
      <c r="GA123" s="17">
        <f>FZ123*VLOOKUP('Données projet'!$B$17,Paramètres!$A$1:$I$89,3,0)*VLOOKUP('Données projet'!$B$17,Paramètres!$A$1:$I$89,5,0)</f>
        <v>322.26999999999992</v>
      </c>
      <c r="GB123" s="13">
        <f t="shared" si="103"/>
        <v>75.825476822885776</v>
      </c>
      <c r="GC123" s="20">
        <f t="shared" si="79"/>
        <v>693.34962213319261</v>
      </c>
      <c r="GD123" s="59">
        <f t="shared" si="80"/>
        <v>986.68295546652598</v>
      </c>
      <c r="GE123" s="59">
        <f ca="1">AVERAGE(OFFSET($GD$3,0,0,'Données projet'!$E$17+1,1))-AVERAGE(OFFSET($H$3,0,0,'Données projet'!$E$17+1,1))</f>
        <v>312.64506496298173</v>
      </c>
      <c r="GF123" s="59">
        <f t="shared" si="104"/>
        <v>259.97532509897508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51.297951778082663</v>
      </c>
      <c r="GM123" s="21">
        <f>EXP(-LN(2)/25)*GM122+(1-EXP(-LN(2)/25))/(LN(2)/25)*Calculateur!GH123*Calculateur!GJ123*VLOOKUP('Données projet'!$B$17,Paramètres!$A$1:$I$89,3,0)*0.475*44/12</f>
        <v>1.6143689902083722</v>
      </c>
      <c r="GN123" s="21">
        <f>EXP(-LN(2)/2)*GN122+(1-EXP(-LN(2)/2))/(LN(2)/2)*GH123*GK123*VLOOKUP('Données projet'!$B$17,Paramètres!$A$1:$I$89,3,0)*0.475*44/12</f>
        <v>1.0945001183585132E-13</v>
      </c>
      <c r="GO123" s="21">
        <f t="shared" si="81"/>
        <v>52.912320768291139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267</v>
      </c>
      <c r="GV123" s="17">
        <f>GU123*VLOOKUP('Données projet'!$B$18,Paramètres!$A$1:$I$89,3,0)*VLOOKUP('Données projet'!$B$18,Paramètres!$A$1:$I$89,5,0)</f>
        <v>270.738</v>
      </c>
      <c r="GW123" s="13">
        <f t="shared" si="105"/>
        <v>65.005866623551711</v>
      </c>
      <c r="GX123" s="20">
        <f t="shared" si="82"/>
        <v>584.7539010360191</v>
      </c>
      <c r="GY123" s="59">
        <f t="shared" si="83"/>
        <v>878.08723436935247</v>
      </c>
      <c r="GZ123" s="59">
        <f ca="1">AVERAGE(OFFSET($GY$3,0,0,'Données projet'!$E$18+1,1))-AVERAGE(OFFSET($H$3,0,0,'Données projet'!$E$18+1,1))</f>
        <v>308.80022073574963</v>
      </c>
      <c r="HA123" s="59">
        <f t="shared" si="106"/>
        <v>183.96267407004115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76.72290629867382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76.72290629867382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344.49457749226184</v>
      </c>
      <c r="T124" s="59">
        <f t="shared" si="88"/>
        <v>207.92972431357452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208.99999999999989</v>
      </c>
      <c r="AJ124" s="13">
        <f>AI124*VLOOKUP('Données projet'!$B$10,Paramètres!$A$1:$I$89,3,0)*VLOOKUP('Données projet'!$B$10,Paramètres!$A$1:$I$89,5,0)</f>
        <v>189.1031999999999</v>
      </c>
      <c r="AK124" s="13">
        <f t="shared" si="89"/>
        <v>47.34162854278712</v>
      </c>
      <c r="AL124" s="20">
        <f t="shared" si="58"/>
        <v>411.80807637868742</v>
      </c>
      <c r="AM124" s="59">
        <f t="shared" si="59"/>
        <v>705.14140971202073</v>
      </c>
      <c r="AN124" s="59">
        <f ca="1">AVERAGE(OFFSET($AM$3,0,0,'Données projet'!$E$10+1,1))-AVERAGE(OFFSET($H$3,0,0,'Données projet'!$E$10+1,1))</f>
        <v>183.0147113277086</v>
      </c>
      <c r="AO124" s="59">
        <f t="shared" si="90"/>
        <v>76.413905647258389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50.433045511751004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50.433045511751004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253.79640000000001</v>
      </c>
      <c r="BF124" s="13">
        <f t="shared" si="91"/>
        <v>61.39816832228076</v>
      </c>
      <c r="BG124" s="20">
        <f t="shared" si="61"/>
        <v>548.96387316130563</v>
      </c>
      <c r="BH124" s="59">
        <f t="shared" si="62"/>
        <v>842.29720649463889</v>
      </c>
      <c r="BI124" s="59">
        <f ca="1">AVERAGE(OFFSET($BH$3,0,0,'Données projet'!$E$11+1,1))-AVERAGE(OFFSET($H$3,0,0,'Données projet'!$E$11+1,1))</f>
        <v>279.49721661620544</v>
      </c>
      <c r="BJ124" s="59">
        <f t="shared" si="92"/>
        <v>275.18739333988754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23.605713254434693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23.605713254434693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754.68411025369562</v>
      </c>
      <c r="CD124" s="59">
        <f ca="1">AVERAGE(OFFSET($CC$3,0,0,'Données projet'!$E$12+1,1))-AVERAGE(OFFSET($H$3,0,0,'Données projet'!$E$12+1,1))</f>
        <v>225.2323446080772</v>
      </c>
      <c r="CE124" s="59">
        <f t="shared" si="94"/>
        <v>222.29030402759292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19.262925760714204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19.262925760714204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213.00000000000003</v>
      </c>
      <c r="CU124" s="17">
        <f>CT124*VLOOKUP('Données projet'!$B$13,Paramètres!$A$1:$I$89,3,0)*VLOOKUP('Données projet'!$B$13,Paramètres!$A$1:$I$89,5,0)</f>
        <v>229.2732</v>
      </c>
      <c r="CV124" s="13">
        <f t="shared" si="95"/>
        <v>56.125501442527366</v>
      </c>
      <c r="CW124" s="20">
        <f t="shared" si="67"/>
        <v>497.06940501240177</v>
      </c>
      <c r="CX124" s="59">
        <f t="shared" si="68"/>
        <v>790.40273834573509</v>
      </c>
      <c r="CY124" s="59">
        <f ca="1">AVERAGE(OFFSET($CX$3,0,0,'Données projet'!$E$13+1,1))-AVERAGE(OFFSET($H$3,0,0,'Données projet'!$E$13+1,1))</f>
        <v>240.57184010337932</v>
      </c>
      <c r="CZ124" s="59">
        <f t="shared" si="96"/>
        <v>236.36473521227072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16.335470517743296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16.335470517743296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670.99999999999977</v>
      </c>
      <c r="DP124" s="17">
        <f>DO124*VLOOKUP('Données projet'!$B$14,Paramètres!$A$1:$I$89,3,0)*VLOOKUP('Données projet'!$B$14,Paramètres!$A$1:$I$89,5,0)</f>
        <v>314.02799999999991</v>
      </c>
      <c r="DQ124" s="13">
        <f t="shared" si="97"/>
        <v>74.109403804428752</v>
      </c>
      <c r="DR124" s="20">
        <f t="shared" si="70"/>
        <v>676.00597829271317</v>
      </c>
      <c r="DS124" s="59">
        <f t="shared" si="71"/>
        <v>969.33931162604654</v>
      </c>
      <c r="DT124" s="59">
        <f ca="1">AVERAGE(OFFSET($DS$3,0,0,'Données projet'!$E$14+1,1))-AVERAGE(OFFSET($H$3,0,0,'Données projet'!$E$14+1,1))</f>
        <v>304.29617570272939</v>
      </c>
      <c r="DU124" s="59">
        <f t="shared" si="98"/>
        <v>246.20695736161576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44.070910825237753</v>
      </c>
      <c r="EB124" s="21">
        <f>EXP(-LN(2)/25)*EB123+(1-EXP(-LN(2)/25))/(LN(2)/25)*Calculateur!DW124*Calculateur!DY124*VLOOKUP('Données projet'!$B$14,Paramètres!$A$1:$I$89,3,0)*0.475*44/12</f>
        <v>3.2827501888906383</v>
      </c>
      <c r="EC124" s="21">
        <f>EXP(-LN(2)/2)*EC123+(1-EXP(-LN(2)/2))/(LN(2)/2)*DW124*DZ124*VLOOKUP('Données projet'!$B$14,Paramètres!$A$1:$I$89,3,0)*0.475*44/12</f>
        <v>7.9066204393215783E-14</v>
      </c>
      <c r="ED124" s="22">
        <f t="shared" si="72"/>
        <v>47.35366101412847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477.9999999999996</v>
      </c>
      <c r="EK124" s="17">
        <f>EJ124*VLOOKUP('Données projet'!$B$15,Paramètres!$A$1:$I$89,3,0)*VLOOKUP('Données projet'!$B$15,Paramètres!$A$1:$I$89,5,0)</f>
        <v>285.84399999999977</v>
      </c>
      <c r="EL124" s="13">
        <f t="shared" si="99"/>
        <v>68.200525419065656</v>
      </c>
      <c r="EM124" s="20">
        <f t="shared" si="73"/>
        <v>616.62754843820551</v>
      </c>
      <c r="EN124" s="59">
        <f t="shared" si="74"/>
        <v>909.96088177153888</v>
      </c>
      <c r="EO124" s="59">
        <f ca="1">AVERAGE(OFFSET($EN$3,0,0,'Données projet'!$E$15+1,1))-AVERAGE(OFFSET($H$3,0,0,'Données projet'!$E$15+1,1))</f>
        <v>288.41846134875794</v>
      </c>
      <c r="EP124" s="59">
        <f t="shared" si="100"/>
        <v>248.93951719818972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31.884225648318967</v>
      </c>
      <c r="EW124" s="21">
        <f>EXP(-LN(2)/25)*EW123+(1-EXP(-LN(2)/25))/(LN(2)/25)*Calculateur!ER124*Calculateur!ET124*VLOOKUP('Données projet'!$B$15,Paramètres!$A$1:$I$89,3,0)*0.475*44/12</f>
        <v>2.2407750204641461</v>
      </c>
      <c r="EX124" s="21">
        <f>EXP(-LN(2)/2)*EX123+(1-EXP(-LN(2)/2))/(LN(2)/2)*ER124*EU124*VLOOKUP('Données projet'!$B$15,Paramètres!$A$1:$I$89,3,0)*0.475*44/12</f>
        <v>9.7802459900617933E-15</v>
      </c>
      <c r="EY124" s="22">
        <f t="shared" si="75"/>
        <v>34.125000668783123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789.00000000000045</v>
      </c>
      <c r="FF124" s="17">
        <f>FE124*VLOOKUP('Données projet'!$B$16,Paramètres!$A$1:$I$89,3,0)*VLOOKUP('Données projet'!$B$16,Paramètres!$A$1:$I$89,5,0)</f>
        <v>358.99500000000023</v>
      </c>
      <c r="FG124" s="13">
        <f t="shared" si="101"/>
        <v>83.411930940690553</v>
      </c>
      <c r="FH124" s="20">
        <f t="shared" si="76"/>
        <v>770.52540472170313</v>
      </c>
      <c r="FI124" s="59">
        <f t="shared" si="77"/>
        <v>1063.8587380550364</v>
      </c>
      <c r="FJ124" s="59">
        <f ca="1">AVERAGE(OFFSET($FI$3,0,0,'Données projet'!$E$16+1,1))-AVERAGE(OFFSET($H$3,0,0,'Données projet'!$E$16+1,1))</f>
        <v>367.36535411813264</v>
      </c>
      <c r="FK124" s="59">
        <f t="shared" si="102"/>
        <v>293.19545174980556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38.958712549448535</v>
      </c>
      <c r="FR124" s="21">
        <f>EXP(-LN(2)/25)*FR123+(1-EXP(-LN(2)/25))/(LN(2)/25)*Calculateur!FM124*Calculateur!FO124*VLOOKUP('Données projet'!$B$16,Paramètres!$A$1:$I$89,3,0)*0.475*44/12</f>
        <v>3.4730208650511112</v>
      </c>
      <c r="FS124" s="21">
        <f>EXP(-LN(2)/2)*FS123+(1-EXP(-LN(2)/2))/(LN(2)/2)*FM124*FP124*VLOOKUP('Données projet'!$B$16,Paramètres!$A$1:$I$89,3,0)*0.475*44/12</f>
        <v>1.4559439919042723E-14</v>
      </c>
      <c r="FT124" s="22">
        <f t="shared" si="78"/>
        <v>42.431733414499661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669.99999999999989</v>
      </c>
      <c r="GA124" s="17">
        <f>FZ124*VLOOKUP('Données projet'!$B$17,Paramètres!$A$1:$I$89,3,0)*VLOOKUP('Données projet'!$B$17,Paramètres!$A$1:$I$89,5,0)</f>
        <v>322.26999999999992</v>
      </c>
      <c r="GB124" s="13">
        <f t="shared" si="103"/>
        <v>75.825476822885776</v>
      </c>
      <c r="GC124" s="20">
        <f t="shared" si="79"/>
        <v>693.34962213319261</v>
      </c>
      <c r="GD124" s="59">
        <f t="shared" si="80"/>
        <v>986.68295546652598</v>
      </c>
      <c r="GE124" s="59">
        <f ca="1">AVERAGE(OFFSET($GD$3,0,0,'Données projet'!$E$17+1,1))-AVERAGE(OFFSET($H$3,0,0,'Données projet'!$E$17+1,1))</f>
        <v>312.64506496298173</v>
      </c>
      <c r="GF124" s="59">
        <f t="shared" si="104"/>
        <v>259.97532509897508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50.292030232375545</v>
      </c>
      <c r="GM124" s="21">
        <f>EXP(-LN(2)/25)*GM123+(1-EXP(-LN(2)/25))/(LN(2)/25)*Calculateur!GH124*Calculateur!GJ124*VLOOKUP('Données projet'!$B$17,Paramètres!$A$1:$I$89,3,0)*0.475*44/12</f>
        <v>1.5702239852751487</v>
      </c>
      <c r="GN124" s="21">
        <f>EXP(-LN(2)/2)*GN123+(1-EXP(-LN(2)/2))/(LN(2)/2)*GH124*GK124*VLOOKUP('Données projet'!$B$17,Paramètres!$A$1:$I$89,3,0)*0.475*44/12</f>
        <v>7.7392845570078358E-14</v>
      </c>
      <c r="GO124" s="21">
        <f t="shared" si="81"/>
        <v>51.862254217650772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267</v>
      </c>
      <c r="GV124" s="17">
        <f>GU124*VLOOKUP('Données projet'!$B$18,Paramètres!$A$1:$I$89,3,0)*VLOOKUP('Données projet'!$B$18,Paramètres!$A$1:$I$89,5,0)</f>
        <v>270.738</v>
      </c>
      <c r="GW124" s="13">
        <f t="shared" si="105"/>
        <v>65.005866623551711</v>
      </c>
      <c r="GX124" s="20">
        <f t="shared" si="82"/>
        <v>584.7539010360191</v>
      </c>
      <c r="GY124" s="59">
        <f t="shared" si="83"/>
        <v>878.08723436935247</v>
      </c>
      <c r="GZ124" s="59">
        <f ca="1">AVERAGE(OFFSET($GY$3,0,0,'Données projet'!$E$18+1,1))-AVERAGE(OFFSET($H$3,0,0,'Données projet'!$E$18+1,1))</f>
        <v>308.80022073574963</v>
      </c>
      <c r="HA124" s="59">
        <f t="shared" si="106"/>
        <v>183.96267407004115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75.218416902508906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75.218416902508906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344.49457749226184</v>
      </c>
      <c r="T125" s="59">
        <f t="shared" si="88"/>
        <v>207.92972431357452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208.99999999999989</v>
      </c>
      <c r="AJ125" s="13">
        <f>AI125*VLOOKUP('Données projet'!$B$10,Paramètres!$A$1:$I$89,3,0)*VLOOKUP('Données projet'!$B$10,Paramètres!$A$1:$I$89,5,0)</f>
        <v>189.1031999999999</v>
      </c>
      <c r="AK125" s="13">
        <f t="shared" si="89"/>
        <v>47.34162854278712</v>
      </c>
      <c r="AL125" s="20">
        <f t="shared" si="58"/>
        <v>411.80807637868742</v>
      </c>
      <c r="AM125" s="59">
        <f t="shared" si="59"/>
        <v>705.14140971202073</v>
      </c>
      <c r="AN125" s="59">
        <f ca="1">AVERAGE(OFFSET($AM$3,0,0,'Données projet'!$E$10+1,1))-AVERAGE(OFFSET($H$3,0,0,'Données projet'!$E$10+1,1))</f>
        <v>183.0147113277086</v>
      </c>
      <c r="AO125" s="59">
        <f t="shared" si="90"/>
        <v>76.413905647258389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49.44408425038592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49.44408425038592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253.79640000000001</v>
      </c>
      <c r="BF125" s="13">
        <f t="shared" si="91"/>
        <v>61.39816832228076</v>
      </c>
      <c r="BG125" s="20">
        <f t="shared" si="61"/>
        <v>548.96387316130563</v>
      </c>
      <c r="BH125" s="59">
        <f t="shared" si="62"/>
        <v>842.29720649463889</v>
      </c>
      <c r="BI125" s="59">
        <f ca="1">AVERAGE(OFFSET($BH$3,0,0,'Données projet'!$E$11+1,1))-AVERAGE(OFFSET($H$3,0,0,'Données projet'!$E$11+1,1))</f>
        <v>279.49721661620544</v>
      </c>
      <c r="BJ125" s="59">
        <f t="shared" si="92"/>
        <v>275.18739333988754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23.142819615578624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23.142819615578624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754.68411025369562</v>
      </c>
      <c r="CD125" s="59">
        <f ca="1">AVERAGE(OFFSET($CC$3,0,0,'Données projet'!$E$12+1,1))-AVERAGE(OFFSET($H$3,0,0,'Données projet'!$E$12+1,1))</f>
        <v>225.2323446080772</v>
      </c>
      <c r="CE125" s="59">
        <f t="shared" si="94"/>
        <v>222.29030402759292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18.885191535771174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18.885191535771174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213.00000000000003</v>
      </c>
      <c r="CU125" s="17">
        <f>CT125*VLOOKUP('Données projet'!$B$13,Paramètres!$A$1:$I$89,3,0)*VLOOKUP('Données projet'!$B$13,Paramètres!$A$1:$I$89,5,0)</f>
        <v>229.2732</v>
      </c>
      <c r="CV125" s="13">
        <f t="shared" si="95"/>
        <v>56.125501442527366</v>
      </c>
      <c r="CW125" s="20">
        <f t="shared" si="67"/>
        <v>497.06940501240177</v>
      </c>
      <c r="CX125" s="59">
        <f t="shared" si="68"/>
        <v>790.40273834573509</v>
      </c>
      <c r="CY125" s="59">
        <f ca="1">AVERAGE(OFFSET($CX$3,0,0,'Données projet'!$E$13+1,1))-AVERAGE(OFFSET($H$3,0,0,'Données projet'!$E$13+1,1))</f>
        <v>240.57184010337932</v>
      </c>
      <c r="CZ125" s="59">
        <f t="shared" si="96"/>
        <v>236.36473521227072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16.015141904543537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16.015141904543537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670.99999999999977</v>
      </c>
      <c r="DP125" s="17">
        <f>DO125*VLOOKUP('Données projet'!$B$14,Paramètres!$A$1:$I$89,3,0)*VLOOKUP('Données projet'!$B$14,Paramètres!$A$1:$I$89,5,0)</f>
        <v>314.02799999999991</v>
      </c>
      <c r="DQ125" s="13">
        <f t="shared" si="97"/>
        <v>74.109403804428752</v>
      </c>
      <c r="DR125" s="20">
        <f t="shared" si="70"/>
        <v>676.00597829271317</v>
      </c>
      <c r="DS125" s="59">
        <f t="shared" si="71"/>
        <v>969.33931162604654</v>
      </c>
      <c r="DT125" s="59">
        <f ca="1">AVERAGE(OFFSET($DS$3,0,0,'Données projet'!$E$14+1,1))-AVERAGE(OFFSET($H$3,0,0,'Données projet'!$E$14+1,1))</f>
        <v>304.29617570272939</v>
      </c>
      <c r="DU125" s="59">
        <f t="shared" si="98"/>
        <v>246.20695736161576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43.206707144556205</v>
      </c>
      <c r="EB125" s="21">
        <f>EXP(-LN(2)/25)*EB124+(1-EXP(-LN(2)/25))/(LN(2)/25)*Calculateur!DW125*Calculateur!DY125*VLOOKUP('Données projet'!$B$14,Paramètres!$A$1:$I$89,3,0)*0.475*44/12</f>
        <v>3.1929832123430941</v>
      </c>
      <c r="EC125" s="21">
        <f>EXP(-LN(2)/2)*EC124+(1-EXP(-LN(2)/2))/(LN(2)/2)*DW125*DZ125*VLOOKUP('Données projet'!$B$14,Paramètres!$A$1:$I$89,3,0)*0.475*44/12</f>
        <v>5.5908249289124481E-14</v>
      </c>
      <c r="ED125" s="22">
        <f t="shared" si="72"/>
        <v>46.399690356899356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477.9999999999996</v>
      </c>
      <c r="EK125" s="17">
        <f>EJ125*VLOOKUP('Données projet'!$B$15,Paramètres!$A$1:$I$89,3,0)*VLOOKUP('Données projet'!$B$15,Paramètres!$A$1:$I$89,5,0)</f>
        <v>285.84399999999977</v>
      </c>
      <c r="EL125" s="13">
        <f t="shared" si="99"/>
        <v>68.200525419065656</v>
      </c>
      <c r="EM125" s="20">
        <f t="shared" si="73"/>
        <v>616.62754843820551</v>
      </c>
      <c r="EN125" s="59">
        <f t="shared" si="74"/>
        <v>909.96088177153888</v>
      </c>
      <c r="EO125" s="59">
        <f ca="1">AVERAGE(OFFSET($EN$3,0,0,'Données projet'!$E$15+1,1))-AVERAGE(OFFSET($H$3,0,0,'Données projet'!$E$15+1,1))</f>
        <v>288.41846134875794</v>
      </c>
      <c r="EP125" s="59">
        <f t="shared" si="100"/>
        <v>248.93951719818972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31.258995430812799</v>
      </c>
      <c r="EW125" s="21">
        <f>EXP(-LN(2)/25)*EW124+(1-EXP(-LN(2)/25))/(LN(2)/25)*Calculateur!ER125*Calculateur!ET125*VLOOKUP('Données projet'!$B$15,Paramètres!$A$1:$I$89,3,0)*0.475*44/12</f>
        <v>2.179500909692317</v>
      </c>
      <c r="EX125" s="21">
        <f>EXP(-LN(2)/2)*EX124+(1-EXP(-LN(2)/2))/(LN(2)/2)*ER125*EU125*VLOOKUP('Données projet'!$B$15,Paramètres!$A$1:$I$89,3,0)*0.475*44/12</f>
        <v>6.9156782612452334E-15</v>
      </c>
      <c r="EY125" s="22">
        <f t="shared" si="75"/>
        <v>33.438496340505125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789.00000000000045</v>
      </c>
      <c r="FF125" s="17">
        <f>FE125*VLOOKUP('Données projet'!$B$16,Paramètres!$A$1:$I$89,3,0)*VLOOKUP('Données projet'!$B$16,Paramètres!$A$1:$I$89,5,0)</f>
        <v>358.99500000000023</v>
      </c>
      <c r="FG125" s="13">
        <f t="shared" si="101"/>
        <v>83.411930940690553</v>
      </c>
      <c r="FH125" s="20">
        <f t="shared" si="76"/>
        <v>770.52540472170313</v>
      </c>
      <c r="FI125" s="59">
        <f t="shared" si="77"/>
        <v>1063.8587380550364</v>
      </c>
      <c r="FJ125" s="59">
        <f ca="1">AVERAGE(OFFSET($FI$3,0,0,'Données projet'!$E$16+1,1))-AVERAGE(OFFSET($H$3,0,0,'Données projet'!$E$16+1,1))</f>
        <v>367.36535411813264</v>
      </c>
      <c r="FK125" s="59">
        <f t="shared" si="102"/>
        <v>293.19545174980556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38.194755958822157</v>
      </c>
      <c r="FR125" s="21">
        <f>EXP(-LN(2)/25)*FR124+(1-EXP(-LN(2)/25))/(LN(2)/25)*Calculateur!FM125*Calculateur!FO125*VLOOKUP('Données projet'!$B$16,Paramètres!$A$1:$I$89,3,0)*0.475*44/12</f>
        <v>3.3780509268580587</v>
      </c>
      <c r="FS125" s="21">
        <f>EXP(-LN(2)/2)*FS124+(1-EXP(-LN(2)/2))/(LN(2)/2)*FM125*FP125*VLOOKUP('Données projet'!$B$16,Paramètres!$A$1:$I$89,3,0)*0.475*44/12</f>
        <v>1.0295078697033229E-14</v>
      </c>
      <c r="FT125" s="22">
        <f t="shared" si="78"/>
        <v>41.572806885680222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669.99999999999989</v>
      </c>
      <c r="GA125" s="17">
        <f>FZ125*VLOOKUP('Données projet'!$B$17,Paramètres!$A$1:$I$89,3,0)*VLOOKUP('Données projet'!$B$17,Paramètres!$A$1:$I$89,5,0)</f>
        <v>322.26999999999992</v>
      </c>
      <c r="GB125" s="13">
        <f t="shared" si="103"/>
        <v>75.825476822885776</v>
      </c>
      <c r="GC125" s="20">
        <f t="shared" si="79"/>
        <v>693.34962213319261</v>
      </c>
      <c r="GD125" s="59">
        <f t="shared" si="80"/>
        <v>986.68295546652598</v>
      </c>
      <c r="GE125" s="59">
        <f ca="1">AVERAGE(OFFSET($GD$3,0,0,'Données projet'!$E$17+1,1))-AVERAGE(OFFSET($H$3,0,0,'Données projet'!$E$17+1,1))</f>
        <v>312.64506496298173</v>
      </c>
      <c r="GF125" s="59">
        <f t="shared" si="104"/>
        <v>259.97532509897508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49.30583419462819</v>
      </c>
      <c r="GM125" s="21">
        <f>EXP(-LN(2)/25)*GM124+(1-EXP(-LN(2)/25))/(LN(2)/25)*Calculateur!GH125*Calculateur!GJ125*VLOOKUP('Données projet'!$B$17,Paramètres!$A$1:$I$89,3,0)*0.475*44/12</f>
        <v>1.5272861278233092</v>
      </c>
      <c r="GN125" s="21">
        <f>EXP(-LN(2)/2)*GN124+(1-EXP(-LN(2)/2))/(LN(2)/2)*GH125*GK125*VLOOKUP('Données projet'!$B$17,Paramètres!$A$1:$I$89,3,0)*0.475*44/12</f>
        <v>5.4725005917925662E-14</v>
      </c>
      <c r="GO125" s="21">
        <f t="shared" si="81"/>
        <v>50.833120322451556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267</v>
      </c>
      <c r="GV125" s="17">
        <f>GU125*VLOOKUP('Données projet'!$B$18,Paramètres!$A$1:$I$89,3,0)*VLOOKUP('Données projet'!$B$18,Paramètres!$A$1:$I$89,5,0)</f>
        <v>270.738</v>
      </c>
      <c r="GW125" s="13">
        <f t="shared" si="105"/>
        <v>65.005866623551711</v>
      </c>
      <c r="GX125" s="20">
        <f t="shared" si="82"/>
        <v>584.7539010360191</v>
      </c>
      <c r="GY125" s="59">
        <f t="shared" si="83"/>
        <v>878.08723436935247</v>
      </c>
      <c r="GZ125" s="59">
        <f ca="1">AVERAGE(OFFSET($GY$3,0,0,'Données projet'!$E$18+1,1))-AVERAGE(OFFSET($H$3,0,0,'Données projet'!$E$18+1,1))</f>
        <v>308.80022073574963</v>
      </c>
      <c r="HA125" s="59">
        <f t="shared" si="106"/>
        <v>183.96267407004115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73.743429625754871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73.743429625754871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344.49457749226184</v>
      </c>
      <c r="T126" s="59">
        <f t="shared" si="88"/>
        <v>207.92972431357452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208.99999999999989</v>
      </c>
      <c r="AJ126" s="13">
        <f>AI126*VLOOKUP('Données projet'!$B$10,Paramètres!$A$1:$I$89,3,0)*VLOOKUP('Données projet'!$B$10,Paramètres!$A$1:$I$89,5,0)</f>
        <v>189.1031999999999</v>
      </c>
      <c r="AK126" s="13">
        <f t="shared" si="89"/>
        <v>47.34162854278712</v>
      </c>
      <c r="AL126" s="20">
        <f t="shared" si="58"/>
        <v>411.80807637868742</v>
      </c>
      <c r="AM126" s="59">
        <f t="shared" si="59"/>
        <v>705.14140971202073</v>
      </c>
      <c r="AN126" s="59">
        <f ca="1">AVERAGE(OFFSET($AM$3,0,0,'Données projet'!$E$10+1,1))-AVERAGE(OFFSET($H$3,0,0,'Données projet'!$E$10+1,1))</f>
        <v>183.0147113277086</v>
      </c>
      <c r="AO126" s="59">
        <f t="shared" si="90"/>
        <v>76.413905647258389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48.4745159161494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48.4745159161494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253.79640000000001</v>
      </c>
      <c r="BF126" s="13">
        <f t="shared" si="91"/>
        <v>61.39816832228076</v>
      </c>
      <c r="BG126" s="20">
        <f t="shared" si="61"/>
        <v>548.96387316130563</v>
      </c>
      <c r="BH126" s="59">
        <f t="shared" si="62"/>
        <v>842.29720649463889</v>
      </c>
      <c r="BI126" s="59">
        <f ca="1">AVERAGE(OFFSET($BH$3,0,0,'Données projet'!$E$11+1,1))-AVERAGE(OFFSET($H$3,0,0,'Données projet'!$E$11+1,1))</f>
        <v>279.49721661620544</v>
      </c>
      <c r="BJ126" s="59">
        <f t="shared" si="92"/>
        <v>275.18739333988754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22.689003038643282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22.689003038643282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754.68411025369562</v>
      </c>
      <c r="CD126" s="59">
        <f ca="1">AVERAGE(OFFSET($CC$3,0,0,'Données projet'!$E$12+1,1))-AVERAGE(OFFSET($H$3,0,0,'Données projet'!$E$12+1,1))</f>
        <v>225.2323446080772</v>
      </c>
      <c r="CE126" s="59">
        <f t="shared" si="94"/>
        <v>222.29030402759292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18.514864448584149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18.514864448584149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213.00000000000003</v>
      </c>
      <c r="CU126" s="17">
        <f>CT126*VLOOKUP('Données projet'!$B$13,Paramètres!$A$1:$I$89,3,0)*VLOOKUP('Données projet'!$B$13,Paramètres!$A$1:$I$89,5,0)</f>
        <v>229.2732</v>
      </c>
      <c r="CV126" s="13">
        <f t="shared" si="95"/>
        <v>56.125501442527366</v>
      </c>
      <c r="CW126" s="20">
        <f t="shared" si="67"/>
        <v>497.06940501240177</v>
      </c>
      <c r="CX126" s="59">
        <f t="shared" si="68"/>
        <v>790.40273834573509</v>
      </c>
      <c r="CY126" s="59">
        <f ca="1">AVERAGE(OFFSET($CX$3,0,0,'Données projet'!$E$13+1,1))-AVERAGE(OFFSET($H$3,0,0,'Données projet'!$E$13+1,1))</f>
        <v>240.57184010337932</v>
      </c>
      <c r="CZ126" s="59">
        <f t="shared" si="96"/>
        <v>236.36473521227072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15.701094740067463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15.701094740067463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670.99999999999977</v>
      </c>
      <c r="DP126" s="17">
        <f>DO126*VLOOKUP('Données projet'!$B$14,Paramètres!$A$1:$I$89,3,0)*VLOOKUP('Données projet'!$B$14,Paramètres!$A$1:$I$89,5,0)</f>
        <v>314.02799999999991</v>
      </c>
      <c r="DQ126" s="13">
        <f t="shared" si="97"/>
        <v>74.109403804428752</v>
      </c>
      <c r="DR126" s="20">
        <f t="shared" si="70"/>
        <v>676.00597829271317</v>
      </c>
      <c r="DS126" s="59">
        <f t="shared" si="71"/>
        <v>969.33931162604654</v>
      </c>
      <c r="DT126" s="59">
        <f ca="1">AVERAGE(OFFSET($DS$3,0,0,'Données projet'!$E$14+1,1))-AVERAGE(OFFSET($H$3,0,0,'Données projet'!$E$14+1,1))</f>
        <v>304.29617570272939</v>
      </c>
      <c r="DU126" s="59">
        <f t="shared" si="98"/>
        <v>246.20695736161576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42.359449970940624</v>
      </c>
      <c r="EB126" s="21">
        <f>EXP(-LN(2)/25)*EB125+(1-EXP(-LN(2)/25))/(LN(2)/25)*Calculateur!DW126*Calculateur!DY126*VLOOKUP('Données projet'!$B$14,Paramètres!$A$1:$I$89,3,0)*0.475*44/12</f>
        <v>3.1056709184898827</v>
      </c>
      <c r="EC126" s="21">
        <f>EXP(-LN(2)/2)*EC125+(1-EXP(-LN(2)/2))/(LN(2)/2)*DW126*DZ126*VLOOKUP('Données projet'!$B$14,Paramètres!$A$1:$I$89,3,0)*0.475*44/12</f>
        <v>3.9533102196607898E-14</v>
      </c>
      <c r="ED126" s="22">
        <f t="shared" si="72"/>
        <v>45.465120889430551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477.9999999999996</v>
      </c>
      <c r="EK126" s="17">
        <f>EJ126*VLOOKUP('Données projet'!$B$15,Paramètres!$A$1:$I$89,3,0)*VLOOKUP('Données projet'!$B$15,Paramètres!$A$1:$I$89,5,0)</f>
        <v>285.84399999999977</v>
      </c>
      <c r="EL126" s="13">
        <f t="shared" si="99"/>
        <v>68.200525419065656</v>
      </c>
      <c r="EM126" s="20">
        <f t="shared" si="73"/>
        <v>616.62754843820551</v>
      </c>
      <c r="EN126" s="59">
        <f t="shared" si="74"/>
        <v>909.96088177153888</v>
      </c>
      <c r="EO126" s="59">
        <f ca="1">AVERAGE(OFFSET($EN$3,0,0,'Données projet'!$E$15+1,1))-AVERAGE(OFFSET($H$3,0,0,'Données projet'!$E$15+1,1))</f>
        <v>288.41846134875794</v>
      </c>
      <c r="EP126" s="59">
        <f t="shared" si="100"/>
        <v>248.93951719818972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30.646025596519152</v>
      </c>
      <c r="EW126" s="21">
        <f>EXP(-LN(2)/25)*EW125+(1-EXP(-LN(2)/25))/(LN(2)/25)*Calculateur!ER126*Calculateur!ET126*VLOOKUP('Données projet'!$B$15,Paramètres!$A$1:$I$89,3,0)*0.475*44/12</f>
        <v>2.1199023427018089</v>
      </c>
      <c r="EX126" s="21">
        <f>EXP(-LN(2)/2)*EX125+(1-EXP(-LN(2)/2))/(LN(2)/2)*ER126*EU126*VLOOKUP('Données projet'!$B$15,Paramètres!$A$1:$I$89,3,0)*0.475*44/12</f>
        <v>4.8901229950308974E-15</v>
      </c>
      <c r="EY126" s="22">
        <f t="shared" si="75"/>
        <v>32.765927939220965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789.00000000000045</v>
      </c>
      <c r="FF126" s="17">
        <f>FE126*VLOOKUP('Données projet'!$B$16,Paramètres!$A$1:$I$89,3,0)*VLOOKUP('Données projet'!$B$16,Paramètres!$A$1:$I$89,5,0)</f>
        <v>358.99500000000023</v>
      </c>
      <c r="FG126" s="13">
        <f t="shared" si="101"/>
        <v>83.411930940690553</v>
      </c>
      <c r="FH126" s="20">
        <f t="shared" si="76"/>
        <v>770.52540472170313</v>
      </c>
      <c r="FI126" s="59">
        <f t="shared" si="77"/>
        <v>1063.8587380550364</v>
      </c>
      <c r="FJ126" s="59">
        <f ca="1">AVERAGE(OFFSET($FI$3,0,0,'Données projet'!$E$16+1,1))-AVERAGE(OFFSET($H$3,0,0,'Données projet'!$E$16+1,1))</f>
        <v>367.36535411813264</v>
      </c>
      <c r="FK126" s="59">
        <f t="shared" si="102"/>
        <v>293.19545174980556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37.445780090970452</v>
      </c>
      <c r="FR126" s="21">
        <f>EXP(-LN(2)/25)*FR125+(1-EXP(-LN(2)/25))/(LN(2)/25)*Calculateur!FM126*Calculateur!FO126*VLOOKUP('Données projet'!$B$16,Paramètres!$A$1:$I$89,3,0)*0.475*44/12</f>
        <v>3.2856779466191477</v>
      </c>
      <c r="FS126" s="21">
        <f>EXP(-LN(2)/2)*FS125+(1-EXP(-LN(2)/2))/(LN(2)/2)*FM126*FP126*VLOOKUP('Données projet'!$B$16,Paramètres!$A$1:$I$89,3,0)*0.475*44/12</f>
        <v>7.2797199595213617E-15</v>
      </c>
      <c r="FT126" s="22">
        <f t="shared" si="78"/>
        <v>40.731458037589604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669.99999999999989</v>
      </c>
      <c r="GA126" s="17">
        <f>FZ126*VLOOKUP('Données projet'!$B$17,Paramètres!$A$1:$I$89,3,0)*VLOOKUP('Données projet'!$B$17,Paramètres!$A$1:$I$89,5,0)</f>
        <v>322.26999999999992</v>
      </c>
      <c r="GB126" s="13">
        <f t="shared" si="103"/>
        <v>75.825476822885776</v>
      </c>
      <c r="GC126" s="20">
        <f t="shared" si="79"/>
        <v>693.34962213319261</v>
      </c>
      <c r="GD126" s="59">
        <f t="shared" si="80"/>
        <v>986.68295546652598</v>
      </c>
      <c r="GE126" s="59">
        <f ca="1">AVERAGE(OFFSET($GD$3,0,0,'Données projet'!$E$17+1,1))-AVERAGE(OFFSET($H$3,0,0,'Données projet'!$E$17+1,1))</f>
        <v>312.64506496298173</v>
      </c>
      <c r="GF126" s="59">
        <f t="shared" si="104"/>
        <v>259.97532509897508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48.338976859660868</v>
      </c>
      <c r="GM126" s="21">
        <f>EXP(-LN(2)/25)*GM125+(1-EXP(-LN(2)/25))/(LN(2)/25)*Calculateur!GH126*Calculateur!GJ126*VLOOKUP('Données projet'!$B$17,Paramètres!$A$1:$I$89,3,0)*0.475*44/12</f>
        <v>1.485522408341494</v>
      </c>
      <c r="GN126" s="21">
        <f>EXP(-LN(2)/2)*GN125+(1-EXP(-LN(2)/2))/(LN(2)/2)*GH126*GK126*VLOOKUP('Données projet'!$B$17,Paramètres!$A$1:$I$89,3,0)*0.475*44/12</f>
        <v>3.8696422785039179E-14</v>
      </c>
      <c r="GO126" s="21">
        <f t="shared" si="81"/>
        <v>49.824499268002398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267</v>
      </c>
      <c r="GV126" s="17">
        <f>GU126*VLOOKUP('Données projet'!$B$18,Paramètres!$A$1:$I$89,3,0)*VLOOKUP('Données projet'!$B$18,Paramètres!$A$1:$I$89,5,0)</f>
        <v>270.738</v>
      </c>
      <c r="GW126" s="13">
        <f t="shared" si="105"/>
        <v>65.005866623551711</v>
      </c>
      <c r="GX126" s="20">
        <f t="shared" si="82"/>
        <v>584.7539010360191</v>
      </c>
      <c r="GY126" s="59">
        <f t="shared" si="83"/>
        <v>878.08723436935247</v>
      </c>
      <c r="GZ126" s="59">
        <f ca="1">AVERAGE(OFFSET($GY$3,0,0,'Données projet'!$E$18+1,1))-AVERAGE(OFFSET($H$3,0,0,'Données projet'!$E$18+1,1))</f>
        <v>308.80022073574963</v>
      </c>
      <c r="HA126" s="59">
        <f t="shared" si="106"/>
        <v>183.96267407004115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72.297365949844576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72.297365949844576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344.49457749226184</v>
      </c>
      <c r="T127" s="59">
        <f t="shared" si="88"/>
        <v>207.92972431357452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208.99999999999989</v>
      </c>
      <c r="AJ127" s="13">
        <f>AI127*VLOOKUP('Données projet'!$B$10,Paramètres!$A$1:$I$89,3,0)*VLOOKUP('Données projet'!$B$10,Paramètres!$A$1:$I$89,5,0)</f>
        <v>189.1031999999999</v>
      </c>
      <c r="AK127" s="13">
        <f t="shared" si="89"/>
        <v>47.34162854278712</v>
      </c>
      <c r="AL127" s="20">
        <f t="shared" si="58"/>
        <v>411.80807637868742</v>
      </c>
      <c r="AM127" s="59">
        <f t="shared" si="59"/>
        <v>705.14140971202073</v>
      </c>
      <c r="AN127" s="59">
        <f ca="1">AVERAGE(OFFSET($AM$3,0,0,'Données projet'!$E$10+1,1))-AVERAGE(OFFSET($H$3,0,0,'Données projet'!$E$10+1,1))</f>
        <v>183.0147113277086</v>
      </c>
      <c r="AO127" s="59">
        <f t="shared" si="90"/>
        <v>76.413905647258389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47.523960225568963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47.523960225568963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253.79640000000001</v>
      </c>
      <c r="BF127" s="13">
        <f t="shared" si="91"/>
        <v>61.39816832228076</v>
      </c>
      <c r="BG127" s="20">
        <f t="shared" si="61"/>
        <v>548.96387316130563</v>
      </c>
      <c r="BH127" s="59">
        <f t="shared" si="62"/>
        <v>842.29720649463889</v>
      </c>
      <c r="BI127" s="59">
        <f ca="1">AVERAGE(OFFSET($BH$3,0,0,'Données projet'!$E$11+1,1))-AVERAGE(OFFSET($H$3,0,0,'Données projet'!$E$11+1,1))</f>
        <v>279.49721661620544</v>
      </c>
      <c r="BJ127" s="59">
        <f t="shared" si="92"/>
        <v>275.18739333988754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22.244085527980861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22.244085527980861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754.68411025369562</v>
      </c>
      <c r="CD127" s="59">
        <f ca="1">AVERAGE(OFFSET($CC$3,0,0,'Données projet'!$E$12+1,1))-AVERAGE(OFFSET($H$3,0,0,'Données projet'!$E$12+1,1))</f>
        <v>225.2323446080772</v>
      </c>
      <c r="CE127" s="59">
        <f t="shared" si="94"/>
        <v>222.29030402759292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18.151799249699639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18.151799249699639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213.00000000000003</v>
      </c>
      <c r="CU127" s="17">
        <f>CT127*VLOOKUP('Données projet'!$B$13,Paramètres!$A$1:$I$89,3,0)*VLOOKUP('Données projet'!$B$13,Paramètres!$A$1:$I$89,5,0)</f>
        <v>229.2732</v>
      </c>
      <c r="CV127" s="13">
        <f t="shared" si="95"/>
        <v>56.125501442527366</v>
      </c>
      <c r="CW127" s="20">
        <f t="shared" si="67"/>
        <v>497.06940501240177</v>
      </c>
      <c r="CX127" s="59">
        <f t="shared" si="68"/>
        <v>790.40273834573509</v>
      </c>
      <c r="CY127" s="59">
        <f ca="1">AVERAGE(OFFSET($CX$3,0,0,'Données projet'!$E$13+1,1))-AVERAGE(OFFSET($H$3,0,0,'Données projet'!$E$13+1,1))</f>
        <v>240.57184010337932</v>
      </c>
      <c r="CZ127" s="59">
        <f t="shared" si="96"/>
        <v>236.36473521227072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15.393205848936908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15.393205848936908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670.99999999999977</v>
      </c>
      <c r="DP127" s="17">
        <f>DO127*VLOOKUP('Données projet'!$B$14,Paramètres!$A$1:$I$89,3,0)*VLOOKUP('Données projet'!$B$14,Paramètres!$A$1:$I$89,5,0)</f>
        <v>314.02799999999991</v>
      </c>
      <c r="DQ127" s="13">
        <f t="shared" si="97"/>
        <v>74.109403804428752</v>
      </c>
      <c r="DR127" s="20">
        <f t="shared" si="70"/>
        <v>676.00597829271317</v>
      </c>
      <c r="DS127" s="59">
        <f t="shared" si="71"/>
        <v>969.33931162604654</v>
      </c>
      <c r="DT127" s="59">
        <f ca="1">AVERAGE(OFFSET($DS$3,0,0,'Données projet'!$E$14+1,1))-AVERAGE(OFFSET($H$3,0,0,'Données projet'!$E$14+1,1))</f>
        <v>304.29617570272939</v>
      </c>
      <c r="DU127" s="59">
        <f t="shared" si="98"/>
        <v>246.20695736161576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41.528806993723798</v>
      </c>
      <c r="EB127" s="21">
        <f>EXP(-LN(2)/25)*EB126+(1-EXP(-LN(2)/25))/(LN(2)/25)*Calculateur!DW127*Calculateur!DY127*VLOOKUP('Données projet'!$B$14,Paramètres!$A$1:$I$89,3,0)*0.475*44/12</f>
        <v>3.0207461839036416</v>
      </c>
      <c r="EC127" s="21">
        <f>EXP(-LN(2)/2)*EC126+(1-EXP(-LN(2)/2))/(LN(2)/2)*DW127*DZ127*VLOOKUP('Données projet'!$B$14,Paramètres!$A$1:$I$89,3,0)*0.475*44/12</f>
        <v>2.7954124644562244E-14</v>
      </c>
      <c r="ED127" s="22">
        <f t="shared" si="72"/>
        <v>44.549553177627466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477.9999999999996</v>
      </c>
      <c r="EK127" s="17">
        <f>EJ127*VLOOKUP('Données projet'!$B$15,Paramètres!$A$1:$I$89,3,0)*VLOOKUP('Données projet'!$B$15,Paramètres!$A$1:$I$89,5,0)</f>
        <v>285.84399999999977</v>
      </c>
      <c r="EL127" s="13">
        <f t="shared" si="99"/>
        <v>68.200525419065656</v>
      </c>
      <c r="EM127" s="20">
        <f t="shared" si="73"/>
        <v>616.62754843820551</v>
      </c>
      <c r="EN127" s="59">
        <f t="shared" si="74"/>
        <v>909.96088177153888</v>
      </c>
      <c r="EO127" s="59">
        <f ca="1">AVERAGE(OFFSET($EN$3,0,0,'Données projet'!$E$15+1,1))-AVERAGE(OFFSET($H$3,0,0,'Données projet'!$E$15+1,1))</f>
        <v>288.41846134875794</v>
      </c>
      <c r="EP127" s="59">
        <f t="shared" si="100"/>
        <v>248.93951719818972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30.045075726801322</v>
      </c>
      <c r="EW127" s="21">
        <f>EXP(-LN(2)/25)*EW126+(1-EXP(-LN(2)/25))/(LN(2)/25)*Calculateur!ER127*Calculateur!ET127*VLOOKUP('Données projet'!$B$15,Paramètres!$A$1:$I$89,3,0)*0.475*44/12</f>
        <v>2.0619335016598086</v>
      </c>
      <c r="EX127" s="21">
        <f>EXP(-LN(2)/2)*EX126+(1-EXP(-LN(2)/2))/(LN(2)/2)*ER127*EU127*VLOOKUP('Données projet'!$B$15,Paramètres!$A$1:$I$89,3,0)*0.475*44/12</f>
        <v>3.4578391306226175E-15</v>
      </c>
      <c r="EY127" s="22">
        <f t="shared" si="75"/>
        <v>32.107009228461131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789.00000000000045</v>
      </c>
      <c r="FF127" s="17">
        <f>FE127*VLOOKUP('Données projet'!$B$16,Paramètres!$A$1:$I$89,3,0)*VLOOKUP('Données projet'!$B$16,Paramètres!$A$1:$I$89,5,0)</f>
        <v>358.99500000000023</v>
      </c>
      <c r="FG127" s="13">
        <f t="shared" si="101"/>
        <v>83.411930940690553</v>
      </c>
      <c r="FH127" s="20">
        <f t="shared" si="76"/>
        <v>770.52540472170313</v>
      </c>
      <c r="FI127" s="59">
        <f t="shared" si="77"/>
        <v>1063.8587380550364</v>
      </c>
      <c r="FJ127" s="59">
        <f ca="1">AVERAGE(OFFSET($FI$3,0,0,'Données projet'!$E$16+1,1))-AVERAGE(OFFSET($H$3,0,0,'Données projet'!$E$16+1,1))</f>
        <v>367.36535411813264</v>
      </c>
      <c r="FK127" s="59">
        <f t="shared" si="102"/>
        <v>293.19545174980556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36.711491183057149</v>
      </c>
      <c r="FR127" s="21">
        <f>EXP(-LN(2)/25)*FR126+(1-EXP(-LN(2)/25))/(LN(2)/25)*Calculateur!FM127*Calculateur!FO127*VLOOKUP('Données projet'!$B$16,Paramètres!$A$1:$I$89,3,0)*0.475*44/12</f>
        <v>3.1958309103825533</v>
      </c>
      <c r="FS127" s="21">
        <f>EXP(-LN(2)/2)*FS126+(1-EXP(-LN(2)/2))/(LN(2)/2)*FM127*FP127*VLOOKUP('Données projet'!$B$16,Paramètres!$A$1:$I$89,3,0)*0.475*44/12</f>
        <v>5.1475393485166143E-15</v>
      </c>
      <c r="FT127" s="22">
        <f t="shared" si="78"/>
        <v>39.90732209343971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669.99999999999989</v>
      </c>
      <c r="GA127" s="17">
        <f>FZ127*VLOOKUP('Données projet'!$B$17,Paramètres!$A$1:$I$89,3,0)*VLOOKUP('Données projet'!$B$17,Paramètres!$A$1:$I$89,5,0)</f>
        <v>322.26999999999992</v>
      </c>
      <c r="GB127" s="13">
        <f t="shared" si="103"/>
        <v>75.825476822885776</v>
      </c>
      <c r="GC127" s="20">
        <f t="shared" si="79"/>
        <v>693.34962213319261</v>
      </c>
      <c r="GD127" s="59">
        <f t="shared" si="80"/>
        <v>986.68295546652598</v>
      </c>
      <c r="GE127" s="59">
        <f ca="1">AVERAGE(OFFSET($GD$3,0,0,'Données projet'!$E$17+1,1))-AVERAGE(OFFSET($H$3,0,0,'Données projet'!$E$17+1,1))</f>
        <v>312.64506496298173</v>
      </c>
      <c r="GF127" s="59">
        <f t="shared" si="104"/>
        <v>259.97532509897508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47.391079007307511</v>
      </c>
      <c r="GM127" s="21">
        <f>EXP(-LN(2)/25)*GM126+(1-EXP(-LN(2)/25))/(LN(2)/25)*Calculateur!GH127*Calculateur!GJ127*VLOOKUP('Données projet'!$B$17,Paramètres!$A$1:$I$89,3,0)*0.475*44/12</f>
        <v>1.4449007199651676</v>
      </c>
      <c r="GN127" s="21">
        <f>EXP(-LN(2)/2)*GN126+(1-EXP(-LN(2)/2))/(LN(2)/2)*GH127*GK127*VLOOKUP('Données projet'!$B$17,Paramètres!$A$1:$I$89,3,0)*0.475*44/12</f>
        <v>2.7362502958962831E-14</v>
      </c>
      <c r="GO127" s="21">
        <f t="shared" si="81"/>
        <v>48.835979727272708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267</v>
      </c>
      <c r="GV127" s="17">
        <f>GU127*VLOOKUP('Données projet'!$B$18,Paramètres!$A$1:$I$89,3,0)*VLOOKUP('Données projet'!$B$18,Paramètres!$A$1:$I$89,5,0)</f>
        <v>270.738</v>
      </c>
      <c r="GW127" s="13">
        <f t="shared" si="105"/>
        <v>65.005866623551711</v>
      </c>
      <c r="GX127" s="20">
        <f t="shared" si="82"/>
        <v>584.7539010360191</v>
      </c>
      <c r="GY127" s="59">
        <f t="shared" si="83"/>
        <v>878.08723436935247</v>
      </c>
      <c r="GZ127" s="59">
        <f ca="1">AVERAGE(OFFSET($GY$3,0,0,'Données projet'!$E$18+1,1))-AVERAGE(OFFSET($H$3,0,0,'Données projet'!$E$18+1,1))</f>
        <v>308.80022073574963</v>
      </c>
      <c r="HA127" s="59">
        <f t="shared" si="106"/>
        <v>183.96267407004115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70.879658700607138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70.879658700607138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344.49457749226184</v>
      </c>
      <c r="T128" s="59">
        <f t="shared" si="88"/>
        <v>207.92972431357452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208.99999999999989</v>
      </c>
      <c r="AJ128" s="13">
        <f>AI128*VLOOKUP('Données projet'!$B$10,Paramètres!$A$1:$I$89,3,0)*VLOOKUP('Données projet'!$B$10,Paramètres!$A$1:$I$89,5,0)</f>
        <v>189.1031999999999</v>
      </c>
      <c r="AK128" s="13">
        <f t="shared" si="89"/>
        <v>47.34162854278712</v>
      </c>
      <c r="AL128" s="20">
        <f t="shared" si="58"/>
        <v>411.80807637868742</v>
      </c>
      <c r="AM128" s="59">
        <f t="shared" si="59"/>
        <v>705.14140971202073</v>
      </c>
      <c r="AN128" s="59">
        <f ca="1">AVERAGE(OFFSET($AM$3,0,0,'Données projet'!$E$10+1,1))-AVERAGE(OFFSET($H$3,0,0,'Données projet'!$E$10+1,1))</f>
        <v>183.0147113277086</v>
      </c>
      <c r="AO128" s="59">
        <f t="shared" si="90"/>
        <v>76.413905647258389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46.592044352299091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46.592044352299091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253.79640000000001</v>
      </c>
      <c r="BF128" s="13">
        <f t="shared" si="91"/>
        <v>61.39816832228076</v>
      </c>
      <c r="BG128" s="20">
        <f t="shared" si="61"/>
        <v>548.96387316130563</v>
      </c>
      <c r="BH128" s="59">
        <f t="shared" si="62"/>
        <v>842.29720649463889</v>
      </c>
      <c r="BI128" s="59">
        <f ca="1">AVERAGE(OFFSET($BH$3,0,0,'Données projet'!$E$11+1,1))-AVERAGE(OFFSET($H$3,0,0,'Données projet'!$E$11+1,1))</f>
        <v>279.49721661620544</v>
      </c>
      <c r="BJ128" s="59">
        <f t="shared" si="92"/>
        <v>275.18739333988754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21.807892578329643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21.807892578329643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754.68411025369562</v>
      </c>
      <c r="CD128" s="59">
        <f ca="1">AVERAGE(OFFSET($CC$3,0,0,'Données projet'!$E$12+1,1))-AVERAGE(OFFSET($H$3,0,0,'Données projet'!$E$12+1,1))</f>
        <v>225.2323446080772</v>
      </c>
      <c r="CE128" s="59">
        <f t="shared" si="94"/>
        <v>222.29030402759292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17.795853537917353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17.795853537917353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213.00000000000003</v>
      </c>
      <c r="CU128" s="17">
        <f>CT128*VLOOKUP('Données projet'!$B$13,Paramètres!$A$1:$I$89,3,0)*VLOOKUP('Données projet'!$B$13,Paramètres!$A$1:$I$89,5,0)</f>
        <v>229.2732</v>
      </c>
      <c r="CV128" s="13">
        <f t="shared" si="95"/>
        <v>56.125501442527366</v>
      </c>
      <c r="CW128" s="20">
        <f t="shared" si="67"/>
        <v>497.06940501240177</v>
      </c>
      <c r="CX128" s="59">
        <f t="shared" si="68"/>
        <v>790.40273834573509</v>
      </c>
      <c r="CY128" s="59">
        <f ca="1">AVERAGE(OFFSET($CX$3,0,0,'Données projet'!$E$13+1,1))-AVERAGE(OFFSET($H$3,0,0,'Données projet'!$E$13+1,1))</f>
        <v>240.57184010337932</v>
      </c>
      <c r="CZ128" s="59">
        <f t="shared" si="96"/>
        <v>236.36473521227072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15.091354471167744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15.091354471167744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670.99999999999977</v>
      </c>
      <c r="DP128" s="17">
        <f>DO128*VLOOKUP('Données projet'!$B$14,Paramètres!$A$1:$I$89,3,0)*VLOOKUP('Données projet'!$B$14,Paramètres!$A$1:$I$89,5,0)</f>
        <v>314.02799999999991</v>
      </c>
      <c r="DQ128" s="13">
        <f t="shared" si="97"/>
        <v>74.109403804428752</v>
      </c>
      <c r="DR128" s="20">
        <f t="shared" si="70"/>
        <v>676.00597829271317</v>
      </c>
      <c r="DS128" s="59">
        <f t="shared" si="71"/>
        <v>969.33931162604654</v>
      </c>
      <c r="DT128" s="59">
        <f ca="1">AVERAGE(OFFSET($DS$3,0,0,'Données projet'!$E$14+1,1))-AVERAGE(OFFSET($H$3,0,0,'Données projet'!$E$14+1,1))</f>
        <v>304.29617570272939</v>
      </c>
      <c r="DU128" s="59">
        <f t="shared" si="98"/>
        <v>246.20695736161576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40.714452418648001</v>
      </c>
      <c r="EB128" s="21">
        <f>EXP(-LN(2)/25)*EB127+(1-EXP(-LN(2)/25))/(LN(2)/25)*Calculateur!DW128*Calculateur!DY128*VLOOKUP('Données projet'!$B$14,Paramètres!$A$1:$I$89,3,0)*0.475*44/12</f>
        <v>2.9381437206506589</v>
      </c>
      <c r="EC128" s="21">
        <f>EXP(-LN(2)/2)*EC127+(1-EXP(-LN(2)/2))/(LN(2)/2)*DW128*DZ128*VLOOKUP('Données projet'!$B$14,Paramètres!$A$1:$I$89,3,0)*0.475*44/12</f>
        <v>1.9766551098303952E-14</v>
      </c>
      <c r="ED128" s="22">
        <f t="shared" si="72"/>
        <v>43.65259613929868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477.9999999999996</v>
      </c>
      <c r="EK128" s="17">
        <f>EJ128*VLOOKUP('Données projet'!$B$15,Paramètres!$A$1:$I$89,3,0)*VLOOKUP('Données projet'!$B$15,Paramètres!$A$1:$I$89,5,0)</f>
        <v>285.84399999999977</v>
      </c>
      <c r="EL128" s="13">
        <f t="shared" si="99"/>
        <v>68.200525419065656</v>
      </c>
      <c r="EM128" s="20">
        <f t="shared" si="73"/>
        <v>616.62754843820551</v>
      </c>
      <c r="EN128" s="59">
        <f t="shared" si="74"/>
        <v>909.96088177153888</v>
      </c>
      <c r="EO128" s="59">
        <f ca="1">AVERAGE(OFFSET($EN$3,0,0,'Données projet'!$E$15+1,1))-AVERAGE(OFFSET($H$3,0,0,'Données projet'!$E$15+1,1))</f>
        <v>288.41846134875794</v>
      </c>
      <c r="EP128" s="59">
        <f t="shared" si="100"/>
        <v>248.93951719818972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29.455910117485431</v>
      </c>
      <c r="EW128" s="21">
        <f>EXP(-LN(2)/25)*EW127+(1-EXP(-LN(2)/25))/(LN(2)/25)*Calculateur!ER128*Calculateur!ET128*VLOOKUP('Données projet'!$B$15,Paramètres!$A$1:$I$89,3,0)*0.475*44/12</f>
        <v>2.0055498216245509</v>
      </c>
      <c r="EX128" s="21">
        <f>EXP(-LN(2)/2)*EX127+(1-EXP(-LN(2)/2))/(LN(2)/2)*ER128*EU128*VLOOKUP('Données projet'!$B$15,Paramètres!$A$1:$I$89,3,0)*0.475*44/12</f>
        <v>2.4450614975154491E-15</v>
      </c>
      <c r="EY128" s="22">
        <f t="shared" si="75"/>
        <v>31.461459939109986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789.00000000000045</v>
      </c>
      <c r="FF128" s="17">
        <f>FE128*VLOOKUP('Données projet'!$B$16,Paramètres!$A$1:$I$89,3,0)*VLOOKUP('Données projet'!$B$16,Paramètres!$A$1:$I$89,5,0)</f>
        <v>358.99500000000023</v>
      </c>
      <c r="FG128" s="13">
        <f t="shared" si="101"/>
        <v>83.411930940690553</v>
      </c>
      <c r="FH128" s="20">
        <f t="shared" si="76"/>
        <v>770.52540472170313</v>
      </c>
      <c r="FI128" s="59">
        <f t="shared" si="77"/>
        <v>1063.8587380550364</v>
      </c>
      <c r="FJ128" s="59">
        <f ca="1">AVERAGE(OFFSET($FI$3,0,0,'Données projet'!$E$16+1,1))-AVERAGE(OFFSET($H$3,0,0,'Données projet'!$E$16+1,1))</f>
        <v>367.36535411813264</v>
      </c>
      <c r="FK128" s="59">
        <f t="shared" si="102"/>
        <v>293.19545174980556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35.991601232756011</v>
      </c>
      <c r="FR128" s="21">
        <f>EXP(-LN(2)/25)*FR127+(1-EXP(-LN(2)/25))/(LN(2)/25)*Calculateur!FM128*Calculateur!FO128*VLOOKUP('Données projet'!$B$16,Paramètres!$A$1:$I$89,3,0)*0.475*44/12</f>
        <v>3.108440746076699</v>
      </c>
      <c r="FS128" s="21">
        <f>EXP(-LN(2)/2)*FS127+(1-EXP(-LN(2)/2))/(LN(2)/2)*FM128*FP128*VLOOKUP('Données projet'!$B$16,Paramètres!$A$1:$I$89,3,0)*0.475*44/12</f>
        <v>3.6398599797606808E-15</v>
      </c>
      <c r="FT128" s="22">
        <f t="shared" si="78"/>
        <v>39.100041978832714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669.99999999999989</v>
      </c>
      <c r="GA128" s="17">
        <f>FZ128*VLOOKUP('Données projet'!$B$17,Paramètres!$A$1:$I$89,3,0)*VLOOKUP('Données projet'!$B$17,Paramètres!$A$1:$I$89,5,0)</f>
        <v>322.26999999999992</v>
      </c>
      <c r="GB128" s="13">
        <f t="shared" si="103"/>
        <v>75.825476822885776</v>
      </c>
      <c r="GC128" s="20">
        <f t="shared" si="79"/>
        <v>693.34962213319261</v>
      </c>
      <c r="GD128" s="59">
        <f t="shared" si="80"/>
        <v>986.68295546652598</v>
      </c>
      <c r="GE128" s="59">
        <f ca="1">AVERAGE(OFFSET($GD$3,0,0,'Données projet'!$E$17+1,1))-AVERAGE(OFFSET($H$3,0,0,'Données projet'!$E$17+1,1))</f>
        <v>312.64506496298173</v>
      </c>
      <c r="GF128" s="59">
        <f t="shared" si="104"/>
        <v>259.97532509897508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46.461768853678201</v>
      </c>
      <c r="GM128" s="21">
        <f>EXP(-LN(2)/25)*GM127+(1-EXP(-LN(2)/25))/(LN(2)/25)*Calculateur!GH128*Calculateur!GJ128*VLOOKUP('Données projet'!$B$17,Paramètres!$A$1:$I$89,3,0)*0.475*44/12</f>
        <v>1.4053898337936936</v>
      </c>
      <c r="GN128" s="21">
        <f>EXP(-LN(2)/2)*GN127+(1-EXP(-LN(2)/2))/(LN(2)/2)*GH128*GK128*VLOOKUP('Données projet'!$B$17,Paramètres!$A$1:$I$89,3,0)*0.475*44/12</f>
        <v>1.934821139251959E-14</v>
      </c>
      <c r="GO128" s="21">
        <f t="shared" si="81"/>
        <v>47.867158687471914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267</v>
      </c>
      <c r="GV128" s="17">
        <f>GU128*VLOOKUP('Données projet'!$B$18,Paramètres!$A$1:$I$89,3,0)*VLOOKUP('Données projet'!$B$18,Paramètres!$A$1:$I$89,5,0)</f>
        <v>270.738</v>
      </c>
      <c r="GW128" s="13">
        <f t="shared" si="105"/>
        <v>65.005866623551711</v>
      </c>
      <c r="GX128" s="20">
        <f t="shared" si="82"/>
        <v>584.7539010360191</v>
      </c>
      <c r="GY128" s="59">
        <f t="shared" si="83"/>
        <v>878.08723436935247</v>
      </c>
      <c r="GZ128" s="59">
        <f ca="1">AVERAGE(OFFSET($GY$3,0,0,'Données projet'!$E$18+1,1))-AVERAGE(OFFSET($H$3,0,0,'Données projet'!$E$18+1,1))</f>
        <v>308.80022073574963</v>
      </c>
      <c r="HA128" s="59">
        <f t="shared" si="106"/>
        <v>183.96267407004115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69.489751825811197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69.489751825811197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344.49457749226184</v>
      </c>
      <c r="T129" s="59">
        <f t="shared" si="88"/>
        <v>207.92972431357452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208.99999999999989</v>
      </c>
      <c r="AJ129" s="13">
        <f>AI129*VLOOKUP('Données projet'!$B$10,Paramètres!$A$1:$I$89,3,0)*VLOOKUP('Données projet'!$B$10,Paramètres!$A$1:$I$89,5,0)</f>
        <v>189.1031999999999</v>
      </c>
      <c r="AK129" s="13">
        <f t="shared" si="89"/>
        <v>47.34162854278712</v>
      </c>
      <c r="AL129" s="20">
        <f t="shared" si="58"/>
        <v>411.80807637868742</v>
      </c>
      <c r="AM129" s="59">
        <f t="shared" si="59"/>
        <v>705.14140971202073</v>
      </c>
      <c r="AN129" s="59">
        <f ca="1">AVERAGE(OFFSET($AM$3,0,0,'Données projet'!$E$10+1,1))-AVERAGE(OFFSET($H$3,0,0,'Données projet'!$E$10+1,1))</f>
        <v>183.0147113277086</v>
      </c>
      <c r="AO129" s="59">
        <f t="shared" si="90"/>
        <v>76.413905647258389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45.678402780891481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45.678402780891481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253.79640000000001</v>
      </c>
      <c r="BF129" s="13">
        <f t="shared" si="91"/>
        <v>61.39816832228076</v>
      </c>
      <c r="BG129" s="20">
        <f t="shared" si="61"/>
        <v>548.96387316130563</v>
      </c>
      <c r="BH129" s="59">
        <f t="shared" si="62"/>
        <v>842.29720649463889</v>
      </c>
      <c r="BI129" s="59">
        <f ca="1">AVERAGE(OFFSET($BH$3,0,0,'Données projet'!$E$11+1,1))-AVERAGE(OFFSET($H$3,0,0,'Données projet'!$E$11+1,1))</f>
        <v>279.49721661620544</v>
      </c>
      <c r="BJ129" s="59">
        <f t="shared" si="92"/>
        <v>275.18739333988754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21.380253106369658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21.380253106369658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754.68411025369562</v>
      </c>
      <c r="CD129" s="59">
        <f ca="1">AVERAGE(OFFSET($CC$3,0,0,'Données projet'!$E$12+1,1))-AVERAGE(OFFSET($H$3,0,0,'Données projet'!$E$12+1,1))</f>
        <v>225.2323446080772</v>
      </c>
      <c r="CE129" s="59">
        <f t="shared" si="94"/>
        <v>222.29030402759292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17.446887704437668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17.446887704437668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213.00000000000003</v>
      </c>
      <c r="CU129" s="17">
        <f>CT129*VLOOKUP('Données projet'!$B$13,Paramètres!$A$1:$I$89,3,0)*VLOOKUP('Données projet'!$B$13,Paramètres!$A$1:$I$89,5,0)</f>
        <v>229.2732</v>
      </c>
      <c r="CV129" s="13">
        <f t="shared" si="95"/>
        <v>56.125501442527366</v>
      </c>
      <c r="CW129" s="20">
        <f t="shared" si="67"/>
        <v>497.06940501240177</v>
      </c>
      <c r="CX129" s="59">
        <f t="shared" si="68"/>
        <v>790.40273834573509</v>
      </c>
      <c r="CY129" s="59">
        <f ca="1">AVERAGE(OFFSET($CX$3,0,0,'Données projet'!$E$13+1,1))-AVERAGE(OFFSET($H$3,0,0,'Données projet'!$E$13+1,1))</f>
        <v>240.57184010337932</v>
      </c>
      <c r="CZ129" s="59">
        <f t="shared" si="96"/>
        <v>236.36473521227072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14.795422214805471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14.795422214805471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670.99999999999977</v>
      </c>
      <c r="DP129" s="17">
        <f>DO129*VLOOKUP('Données projet'!$B$14,Paramètres!$A$1:$I$89,3,0)*VLOOKUP('Données projet'!$B$14,Paramètres!$A$1:$I$89,5,0)</f>
        <v>314.02799999999991</v>
      </c>
      <c r="DQ129" s="13">
        <f t="shared" si="97"/>
        <v>74.109403804428752</v>
      </c>
      <c r="DR129" s="20">
        <f t="shared" si="70"/>
        <v>676.00597829271317</v>
      </c>
      <c r="DS129" s="59">
        <f t="shared" si="71"/>
        <v>969.33931162604654</v>
      </c>
      <c r="DT129" s="59">
        <f ca="1">AVERAGE(OFFSET($DS$3,0,0,'Données projet'!$E$14+1,1))-AVERAGE(OFFSET($H$3,0,0,'Données projet'!$E$14+1,1))</f>
        <v>304.29617570272939</v>
      </c>
      <c r="DU129" s="59">
        <f t="shared" si="98"/>
        <v>246.20695736161576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39.916066840082195</v>
      </c>
      <c r="EB129" s="21">
        <f>EXP(-LN(2)/25)*EB128+(1-EXP(-LN(2)/25))/(LN(2)/25)*Calculateur!DW129*Calculateur!DY129*VLOOKUP('Données projet'!$B$14,Paramètres!$A$1:$I$89,3,0)*0.475*44/12</f>
        <v>2.8578000260992034</v>
      </c>
      <c r="EC129" s="21">
        <f>EXP(-LN(2)/2)*EC128+(1-EXP(-LN(2)/2))/(LN(2)/2)*DW129*DZ129*VLOOKUP('Données projet'!$B$14,Paramètres!$A$1:$I$89,3,0)*0.475*44/12</f>
        <v>1.3977062322281125E-14</v>
      </c>
      <c r="ED129" s="22">
        <f t="shared" si="72"/>
        <v>42.773866866181415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477.9999999999996</v>
      </c>
      <c r="EK129" s="17">
        <f>EJ129*VLOOKUP('Données projet'!$B$15,Paramètres!$A$1:$I$89,3,0)*VLOOKUP('Données projet'!$B$15,Paramètres!$A$1:$I$89,5,0)</f>
        <v>285.84399999999977</v>
      </c>
      <c r="EL129" s="13">
        <f t="shared" si="99"/>
        <v>68.200525419065656</v>
      </c>
      <c r="EM129" s="20">
        <f t="shared" si="73"/>
        <v>616.62754843820551</v>
      </c>
      <c r="EN129" s="59">
        <f t="shared" si="74"/>
        <v>909.96088177153888</v>
      </c>
      <c r="EO129" s="59">
        <f ca="1">AVERAGE(OFFSET($EN$3,0,0,'Données projet'!$E$15+1,1))-AVERAGE(OFFSET($H$3,0,0,'Données projet'!$E$15+1,1))</f>
        <v>288.41846134875794</v>
      </c>
      <c r="EP129" s="59">
        <f t="shared" si="100"/>
        <v>248.93951719818972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28.878297686412687</v>
      </c>
      <c r="EW129" s="21">
        <f>EXP(-LN(2)/25)*EW128+(1-EXP(-LN(2)/25))/(LN(2)/25)*Calculateur!ER129*Calculateur!ET129*VLOOKUP('Données projet'!$B$15,Paramètres!$A$1:$I$89,3,0)*0.475*44/12</f>
        <v>1.9507079562849461</v>
      </c>
      <c r="EX129" s="21">
        <f>EXP(-LN(2)/2)*EX128+(1-EXP(-LN(2)/2))/(LN(2)/2)*ER129*EU129*VLOOKUP('Données projet'!$B$15,Paramètres!$A$1:$I$89,3,0)*0.475*44/12</f>
        <v>1.7289195653113089E-15</v>
      </c>
      <c r="EY129" s="22">
        <f t="shared" si="75"/>
        <v>30.829005642697634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789.00000000000045</v>
      </c>
      <c r="FF129" s="17">
        <f>FE129*VLOOKUP('Données projet'!$B$16,Paramètres!$A$1:$I$89,3,0)*VLOOKUP('Données projet'!$B$16,Paramètres!$A$1:$I$89,5,0)</f>
        <v>358.99500000000023</v>
      </c>
      <c r="FG129" s="13">
        <f t="shared" si="101"/>
        <v>83.411930940690553</v>
      </c>
      <c r="FH129" s="20">
        <f t="shared" si="76"/>
        <v>770.52540472170313</v>
      </c>
      <c r="FI129" s="59">
        <f t="shared" si="77"/>
        <v>1063.8587380550364</v>
      </c>
      <c r="FJ129" s="59">
        <f ca="1">AVERAGE(OFFSET($FI$3,0,0,'Données projet'!$E$16+1,1))-AVERAGE(OFFSET($H$3,0,0,'Données projet'!$E$16+1,1))</f>
        <v>367.36535411813264</v>
      </c>
      <c r="FK129" s="59">
        <f t="shared" si="102"/>
        <v>293.19545174980556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35.285827885290765</v>
      </c>
      <c r="FR129" s="21">
        <f>EXP(-LN(2)/25)*FR128+(1-EXP(-LN(2)/25))/(LN(2)/25)*Calculateur!FM129*Calculateur!FO129*VLOOKUP('Données projet'!$B$16,Paramètres!$A$1:$I$89,3,0)*0.475*44/12</f>
        <v>3.0234402704094374</v>
      </c>
      <c r="FS129" s="21">
        <f>EXP(-LN(2)/2)*FS128+(1-EXP(-LN(2)/2))/(LN(2)/2)*FM129*FP129*VLOOKUP('Données projet'!$B$16,Paramètres!$A$1:$I$89,3,0)*0.475*44/12</f>
        <v>2.5737696742583071E-15</v>
      </c>
      <c r="FT129" s="22">
        <f t="shared" si="78"/>
        <v>38.309268155700202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669.99999999999989</v>
      </c>
      <c r="GA129" s="17">
        <f>FZ129*VLOOKUP('Données projet'!$B$17,Paramètres!$A$1:$I$89,3,0)*VLOOKUP('Données projet'!$B$17,Paramètres!$A$1:$I$89,5,0)</f>
        <v>322.26999999999992</v>
      </c>
      <c r="GB129" s="13">
        <f t="shared" si="103"/>
        <v>75.825476822885776</v>
      </c>
      <c r="GC129" s="20">
        <f t="shared" si="79"/>
        <v>693.34962213319261</v>
      </c>
      <c r="GD129" s="59">
        <f t="shared" si="80"/>
        <v>986.68295546652598</v>
      </c>
      <c r="GE129" s="59">
        <f ca="1">AVERAGE(OFFSET($GD$3,0,0,'Données projet'!$E$17+1,1))-AVERAGE(OFFSET($H$3,0,0,'Données projet'!$E$17+1,1))</f>
        <v>312.64506496298173</v>
      </c>
      <c r="GF129" s="59">
        <f t="shared" si="104"/>
        <v>259.97532509897508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45.550681905338344</v>
      </c>
      <c r="GM129" s="21">
        <f>EXP(-LN(2)/25)*GM128+(1-EXP(-LN(2)/25))/(LN(2)/25)*Calculateur!GH129*Calculateur!GJ129*VLOOKUP('Données projet'!$B$17,Paramètres!$A$1:$I$89,3,0)*0.475*44/12</f>
        <v>1.3669593748823659</v>
      </c>
      <c r="GN129" s="21">
        <f>EXP(-LN(2)/2)*GN128+(1-EXP(-LN(2)/2))/(LN(2)/2)*GH129*GK129*VLOOKUP('Données projet'!$B$17,Paramètres!$A$1:$I$89,3,0)*0.475*44/12</f>
        <v>1.3681251479481416E-14</v>
      </c>
      <c r="GO129" s="21">
        <f t="shared" si="81"/>
        <v>46.917641280220721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267</v>
      </c>
      <c r="GV129" s="17">
        <f>GU129*VLOOKUP('Données projet'!$B$18,Paramètres!$A$1:$I$89,3,0)*VLOOKUP('Données projet'!$B$18,Paramètres!$A$1:$I$89,5,0)</f>
        <v>270.738</v>
      </c>
      <c r="GW129" s="13">
        <f t="shared" si="105"/>
        <v>65.005866623551711</v>
      </c>
      <c r="GX129" s="20">
        <f t="shared" si="82"/>
        <v>584.7539010360191</v>
      </c>
      <c r="GY129" s="59">
        <f t="shared" si="83"/>
        <v>878.08723436935247</v>
      </c>
      <c r="GZ129" s="59">
        <f ca="1">AVERAGE(OFFSET($GY$3,0,0,'Données projet'!$E$18+1,1))-AVERAGE(OFFSET($H$3,0,0,'Données projet'!$E$18+1,1))</f>
        <v>308.80022073574963</v>
      </c>
      <c r="HA129" s="59">
        <f t="shared" si="106"/>
        <v>183.96267407004115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68.127100177070531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68.127100177070531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344.49457749226184</v>
      </c>
      <c r="T130" s="59">
        <f t="shared" si="88"/>
        <v>207.92972431357452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208.99999999999989</v>
      </c>
      <c r="AJ130" s="13">
        <f>AI130*VLOOKUP('Données projet'!$B$10,Paramètres!$A$1:$I$89,3,0)*VLOOKUP('Données projet'!$B$10,Paramètres!$A$1:$I$89,5,0)</f>
        <v>189.1031999999999</v>
      </c>
      <c r="AK130" s="13">
        <f t="shared" si="89"/>
        <v>47.34162854278712</v>
      </c>
      <c r="AL130" s="20">
        <f t="shared" si="58"/>
        <v>411.80807637868742</v>
      </c>
      <c r="AM130" s="59">
        <f t="shared" si="59"/>
        <v>705.14140971202073</v>
      </c>
      <c r="AN130" s="59">
        <f ca="1">AVERAGE(OFFSET($AM$3,0,0,'Données projet'!$E$10+1,1))-AVERAGE(OFFSET($H$3,0,0,'Données projet'!$E$10+1,1))</f>
        <v>183.0147113277086</v>
      </c>
      <c r="AO130" s="59">
        <f t="shared" si="90"/>
        <v>76.413905647258389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44.782677163432844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44.782677163432844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253.79640000000001</v>
      </c>
      <c r="BF130" s="13">
        <f t="shared" si="91"/>
        <v>61.39816832228076</v>
      </c>
      <c r="BG130" s="20">
        <f t="shared" si="61"/>
        <v>548.96387316130563</v>
      </c>
      <c r="BH130" s="59">
        <f t="shared" si="62"/>
        <v>842.29720649463889</v>
      </c>
      <c r="BI130" s="59">
        <f ca="1">AVERAGE(OFFSET($BH$3,0,0,'Données projet'!$E$11+1,1))-AVERAGE(OFFSET($H$3,0,0,'Données projet'!$E$11+1,1))</f>
        <v>279.49721661620544</v>
      </c>
      <c r="BJ130" s="59">
        <f t="shared" si="92"/>
        <v>275.18739333988754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20.960999383620486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20.960999383620486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754.68411025369562</v>
      </c>
      <c r="CD130" s="59">
        <f ca="1">AVERAGE(OFFSET($CC$3,0,0,'Données projet'!$E$12+1,1))-AVERAGE(OFFSET($H$3,0,0,'Données projet'!$E$12+1,1))</f>
        <v>225.2323446080772</v>
      </c>
      <c r="CE130" s="59">
        <f t="shared" si="94"/>
        <v>222.29030402759292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17.10476487810438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17.10476487810438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213.00000000000003</v>
      </c>
      <c r="CU130" s="17">
        <f>CT130*VLOOKUP('Données projet'!$B$13,Paramètres!$A$1:$I$89,3,0)*VLOOKUP('Données projet'!$B$13,Paramètres!$A$1:$I$89,5,0)</f>
        <v>229.2732</v>
      </c>
      <c r="CV130" s="13">
        <f t="shared" si="95"/>
        <v>56.125501442527366</v>
      </c>
      <c r="CW130" s="20">
        <f t="shared" si="67"/>
        <v>497.06940501240177</v>
      </c>
      <c r="CX130" s="59">
        <f t="shared" si="68"/>
        <v>790.40273834573509</v>
      </c>
      <c r="CY130" s="59">
        <f ca="1">AVERAGE(OFFSET($CX$3,0,0,'Données projet'!$E$13+1,1))-AVERAGE(OFFSET($H$3,0,0,'Données projet'!$E$13+1,1))</f>
        <v>240.57184010337932</v>
      </c>
      <c r="CZ130" s="59">
        <f t="shared" si="96"/>
        <v>236.36473521227072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14.505293009489609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14.505293009489609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670.99999999999977</v>
      </c>
      <c r="DP130" s="17">
        <f>DO130*VLOOKUP('Données projet'!$B$14,Paramètres!$A$1:$I$89,3,0)*VLOOKUP('Données projet'!$B$14,Paramètres!$A$1:$I$89,5,0)</f>
        <v>314.02799999999991</v>
      </c>
      <c r="DQ130" s="13">
        <f t="shared" si="97"/>
        <v>74.109403804428752</v>
      </c>
      <c r="DR130" s="20">
        <f t="shared" si="70"/>
        <v>676.00597829271317</v>
      </c>
      <c r="DS130" s="59">
        <f t="shared" si="71"/>
        <v>969.33931162604654</v>
      </c>
      <c r="DT130" s="59">
        <f ca="1">AVERAGE(OFFSET($DS$3,0,0,'Données projet'!$E$14+1,1))-AVERAGE(OFFSET($H$3,0,0,'Données projet'!$E$14+1,1))</f>
        <v>304.29617570272939</v>
      </c>
      <c r="DU130" s="59">
        <f t="shared" si="98"/>
        <v>246.20695736161576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39.133337115744951</v>
      </c>
      <c r="EB130" s="21">
        <f>EXP(-LN(2)/25)*EB129+(1-EXP(-LN(2)/25))/(LN(2)/25)*Calculateur!DW130*Calculateur!DY130*VLOOKUP('Données projet'!$B$14,Paramètres!$A$1:$I$89,3,0)*0.475*44/12</f>
        <v>2.7796533341003489</v>
      </c>
      <c r="EC130" s="21">
        <f>EXP(-LN(2)/2)*EC129+(1-EXP(-LN(2)/2))/(LN(2)/2)*DW130*DZ130*VLOOKUP('Données projet'!$B$14,Paramètres!$A$1:$I$89,3,0)*0.475*44/12</f>
        <v>9.8832755491519776E-15</v>
      </c>
      <c r="ED130" s="22">
        <f t="shared" si="72"/>
        <v>41.912990449845303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477.9999999999996</v>
      </c>
      <c r="EK130" s="17">
        <f>EJ130*VLOOKUP('Données projet'!$B$15,Paramètres!$A$1:$I$89,3,0)*VLOOKUP('Données projet'!$B$15,Paramètres!$A$1:$I$89,5,0)</f>
        <v>285.84399999999977</v>
      </c>
      <c r="EL130" s="13">
        <f t="shared" si="99"/>
        <v>68.200525419065656</v>
      </c>
      <c r="EM130" s="20">
        <f t="shared" si="73"/>
        <v>616.62754843820551</v>
      </c>
      <c r="EN130" s="59">
        <f t="shared" si="74"/>
        <v>909.96088177153888</v>
      </c>
      <c r="EO130" s="59">
        <f ca="1">AVERAGE(OFFSET($EN$3,0,0,'Données projet'!$E$15+1,1))-AVERAGE(OFFSET($H$3,0,0,'Données projet'!$E$15+1,1))</f>
        <v>288.41846134875794</v>
      </c>
      <c r="EP130" s="59">
        <f t="shared" si="100"/>
        <v>248.93951719818972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28.312011882804484</v>
      </c>
      <c r="EW130" s="21">
        <f>EXP(-LN(2)/25)*EW129+(1-EXP(-LN(2)/25))/(LN(2)/25)*Calculateur!ER130*Calculateur!ET130*VLOOKUP('Données projet'!$B$15,Paramètres!$A$1:$I$89,3,0)*0.475*44/12</f>
        <v>1.8973657446370613</v>
      </c>
      <c r="EX130" s="21">
        <f>EXP(-LN(2)/2)*EX129+(1-EXP(-LN(2)/2))/(LN(2)/2)*ER130*EU130*VLOOKUP('Données projet'!$B$15,Paramètres!$A$1:$I$89,3,0)*0.475*44/12</f>
        <v>1.2225307487577248E-15</v>
      </c>
      <c r="EY130" s="22">
        <f t="shared" si="75"/>
        <v>30.209377627441544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789.00000000000045</v>
      </c>
      <c r="FF130" s="17">
        <f>FE130*VLOOKUP('Données projet'!$B$16,Paramètres!$A$1:$I$89,3,0)*VLOOKUP('Données projet'!$B$16,Paramètres!$A$1:$I$89,5,0)</f>
        <v>358.99500000000023</v>
      </c>
      <c r="FG130" s="13">
        <f t="shared" si="101"/>
        <v>83.411930940690553</v>
      </c>
      <c r="FH130" s="20">
        <f t="shared" si="76"/>
        <v>770.52540472170313</v>
      </c>
      <c r="FI130" s="59">
        <f t="shared" si="77"/>
        <v>1063.8587380550364</v>
      </c>
      <c r="FJ130" s="59">
        <f ca="1">AVERAGE(OFFSET($FI$3,0,0,'Données projet'!$E$16+1,1))-AVERAGE(OFFSET($H$3,0,0,'Données projet'!$E$16+1,1))</f>
        <v>367.36535411813264</v>
      </c>
      <c r="FK130" s="59">
        <f t="shared" si="102"/>
        <v>293.19545174980556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34.593894322690076</v>
      </c>
      <c r="FR130" s="21">
        <f>EXP(-LN(2)/25)*FR129+(1-EXP(-LN(2)/25))/(LN(2)/25)*Calculateur!FM130*Calculateur!FO130*VLOOKUP('Données projet'!$B$16,Paramètres!$A$1:$I$89,3,0)*0.475*44/12</f>
        <v>2.9407641372192779</v>
      </c>
      <c r="FS130" s="21">
        <f>EXP(-LN(2)/2)*FS129+(1-EXP(-LN(2)/2))/(LN(2)/2)*FM130*FP130*VLOOKUP('Données projet'!$B$16,Paramètres!$A$1:$I$89,3,0)*0.475*44/12</f>
        <v>1.8199299898803404E-15</v>
      </c>
      <c r="FT130" s="22">
        <f t="shared" si="78"/>
        <v>37.534658459909352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669.99999999999989</v>
      </c>
      <c r="GA130" s="17">
        <f>FZ130*VLOOKUP('Données projet'!$B$17,Paramètres!$A$1:$I$89,3,0)*VLOOKUP('Données projet'!$B$17,Paramètres!$A$1:$I$89,5,0)</f>
        <v>322.26999999999992</v>
      </c>
      <c r="GB130" s="13">
        <f t="shared" si="103"/>
        <v>75.825476822885776</v>
      </c>
      <c r="GC130" s="20">
        <f t="shared" si="79"/>
        <v>693.34962213319261</v>
      </c>
      <c r="GD130" s="59">
        <f t="shared" si="80"/>
        <v>986.68295546652598</v>
      </c>
      <c r="GE130" s="59">
        <f ca="1">AVERAGE(OFFSET($GD$3,0,0,'Données projet'!$E$17+1,1))-AVERAGE(OFFSET($H$3,0,0,'Données projet'!$E$17+1,1))</f>
        <v>312.64506496298173</v>
      </c>
      <c r="GF130" s="59">
        <f t="shared" si="104"/>
        <v>259.97532509897508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44.65746081634726</v>
      </c>
      <c r="GM130" s="21">
        <f>EXP(-LN(2)/25)*GM129+(1-EXP(-LN(2)/25))/(LN(2)/25)*Calculateur!GH130*Calculateur!GJ130*VLOOKUP('Données projet'!$B$17,Paramètres!$A$1:$I$89,3,0)*0.475*44/12</f>
        <v>1.3295797988909384</v>
      </c>
      <c r="GN130" s="21">
        <f>EXP(-LN(2)/2)*GN129+(1-EXP(-LN(2)/2))/(LN(2)/2)*GH130*GK130*VLOOKUP('Données projet'!$B$17,Paramètres!$A$1:$I$89,3,0)*0.475*44/12</f>
        <v>9.6741056962597948E-15</v>
      </c>
      <c r="GO130" s="21">
        <f t="shared" si="81"/>
        <v>45.987040615238207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267</v>
      </c>
      <c r="GV130" s="17">
        <f>GU130*VLOOKUP('Données projet'!$B$18,Paramètres!$A$1:$I$89,3,0)*VLOOKUP('Données projet'!$B$18,Paramètres!$A$1:$I$89,5,0)</f>
        <v>270.738</v>
      </c>
      <c r="GW130" s="13">
        <f t="shared" si="105"/>
        <v>65.005866623551711</v>
      </c>
      <c r="GX130" s="20">
        <f t="shared" si="82"/>
        <v>584.7539010360191</v>
      </c>
      <c r="GY130" s="59">
        <f t="shared" si="83"/>
        <v>878.08723436935247</v>
      </c>
      <c r="GZ130" s="59">
        <f ca="1">AVERAGE(OFFSET($GY$3,0,0,'Données projet'!$E$18+1,1))-AVERAGE(OFFSET($H$3,0,0,'Données projet'!$E$18+1,1))</f>
        <v>308.80022073574963</v>
      </c>
      <c r="HA130" s="59">
        <f t="shared" si="106"/>
        <v>183.96267407004115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66.791169296026226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66.791169296026226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344.49457749226184</v>
      </c>
      <c r="T131" s="59">
        <f t="shared" si="88"/>
        <v>207.92972431357452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208.99999999999989</v>
      </c>
      <c r="AJ131" s="13">
        <f>AI131*VLOOKUP('Données projet'!$B$10,Paramètres!$A$1:$I$89,3,0)*VLOOKUP('Données projet'!$B$10,Paramètres!$A$1:$I$89,5,0)</f>
        <v>189.1031999999999</v>
      </c>
      <c r="AK131" s="13">
        <f t="shared" si="89"/>
        <v>47.34162854278712</v>
      </c>
      <c r="AL131" s="20">
        <f t="shared" si="58"/>
        <v>411.80807637868742</v>
      </c>
      <c r="AM131" s="59">
        <f t="shared" si="59"/>
        <v>705.14140971202073</v>
      </c>
      <c r="AN131" s="59">
        <f ca="1">AVERAGE(OFFSET($AM$3,0,0,'Données projet'!$E$10+1,1))-AVERAGE(OFFSET($H$3,0,0,'Données projet'!$E$10+1,1))</f>
        <v>183.0147113277086</v>
      </c>
      <c r="AO131" s="59">
        <f t="shared" si="90"/>
        <v>76.413905647258389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43.904516178993887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43.904516178993887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253.79640000000001</v>
      </c>
      <c r="BF131" s="13">
        <f t="shared" si="91"/>
        <v>61.39816832228076</v>
      </c>
      <c r="BG131" s="20">
        <f t="shared" si="61"/>
        <v>548.96387316130563</v>
      </c>
      <c r="BH131" s="59">
        <f t="shared" si="62"/>
        <v>842.29720649463889</v>
      </c>
      <c r="BI131" s="59">
        <f ca="1">AVERAGE(OFFSET($BH$3,0,0,'Données projet'!$E$11+1,1))-AVERAGE(OFFSET($H$3,0,0,'Données projet'!$E$11+1,1))</f>
        <v>279.49721661620544</v>
      </c>
      <c r="BJ131" s="59">
        <f t="shared" si="92"/>
        <v>275.18739333988754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20.549966970654904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20.549966970654904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754.68411025369562</v>
      </c>
      <c r="CD131" s="59">
        <f ca="1">AVERAGE(OFFSET($CC$3,0,0,'Données projet'!$E$12+1,1))-AVERAGE(OFFSET($H$3,0,0,'Données projet'!$E$12+1,1))</f>
        <v>225.2323446080772</v>
      </c>
      <c r="CE131" s="59">
        <f t="shared" si="94"/>
        <v>222.29030402759292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16.769350871721169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16.769350871721169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213.00000000000003</v>
      </c>
      <c r="CU131" s="17">
        <f>CT131*VLOOKUP('Données projet'!$B$13,Paramètres!$A$1:$I$89,3,0)*VLOOKUP('Données projet'!$B$13,Paramètres!$A$1:$I$89,5,0)</f>
        <v>229.2732</v>
      </c>
      <c r="CV131" s="13">
        <f t="shared" si="95"/>
        <v>56.125501442527366</v>
      </c>
      <c r="CW131" s="20">
        <f t="shared" si="67"/>
        <v>497.06940501240177</v>
      </c>
      <c r="CX131" s="59">
        <f t="shared" si="68"/>
        <v>790.40273834573509</v>
      </c>
      <c r="CY131" s="59">
        <f ca="1">AVERAGE(OFFSET($CX$3,0,0,'Données projet'!$E$13+1,1))-AVERAGE(OFFSET($H$3,0,0,'Données projet'!$E$13+1,1))</f>
        <v>240.57184010337932</v>
      </c>
      <c r="CZ131" s="59">
        <f t="shared" si="96"/>
        <v>236.36473521227072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14.220853060928651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14.220853060928651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670.99999999999977</v>
      </c>
      <c r="DP131" s="17">
        <f>DO131*VLOOKUP('Données projet'!$B$14,Paramètres!$A$1:$I$89,3,0)*VLOOKUP('Données projet'!$B$14,Paramètres!$A$1:$I$89,5,0)</f>
        <v>314.02799999999991</v>
      </c>
      <c r="DQ131" s="13">
        <f t="shared" si="97"/>
        <v>74.109403804428752</v>
      </c>
      <c r="DR131" s="20">
        <f t="shared" si="70"/>
        <v>676.00597829271317</v>
      </c>
      <c r="DS131" s="59">
        <f t="shared" si="71"/>
        <v>969.33931162604654</v>
      </c>
      <c r="DT131" s="59">
        <f ca="1">AVERAGE(OFFSET($DS$3,0,0,'Données projet'!$E$14+1,1))-AVERAGE(OFFSET($H$3,0,0,'Données projet'!$E$14+1,1))</f>
        <v>304.29617570272939</v>
      </c>
      <c r="DU131" s="59">
        <f t="shared" si="98"/>
        <v>246.20695736161576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38.365956243883964</v>
      </c>
      <c r="EB131" s="21">
        <f>EXP(-LN(2)/25)*EB130+(1-EXP(-LN(2)/25))/(LN(2)/25)*Calculateur!DW131*Calculateur!DY131*VLOOKUP('Données projet'!$B$14,Paramètres!$A$1:$I$89,3,0)*0.475*44/12</f>
        <v>2.7036435675037591</v>
      </c>
      <c r="EC131" s="21">
        <f>EXP(-LN(2)/2)*EC130+(1-EXP(-LN(2)/2))/(LN(2)/2)*DW131*DZ131*VLOOKUP('Données projet'!$B$14,Paramètres!$A$1:$I$89,3,0)*0.475*44/12</f>
        <v>6.9885311611405633E-15</v>
      </c>
      <c r="ED131" s="22">
        <f t="shared" si="72"/>
        <v>41.069599811387732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477.9999999999996</v>
      </c>
      <c r="EK131" s="17">
        <f>EJ131*VLOOKUP('Données projet'!$B$15,Paramètres!$A$1:$I$89,3,0)*VLOOKUP('Données projet'!$B$15,Paramètres!$A$1:$I$89,5,0)</f>
        <v>285.84399999999977</v>
      </c>
      <c r="EL131" s="13">
        <f t="shared" si="99"/>
        <v>68.200525419065656</v>
      </c>
      <c r="EM131" s="20">
        <f t="shared" si="73"/>
        <v>616.62754843820551</v>
      </c>
      <c r="EN131" s="59">
        <f t="shared" si="74"/>
        <v>909.96088177153888</v>
      </c>
      <c r="EO131" s="59">
        <f ca="1">AVERAGE(OFFSET($EN$3,0,0,'Données projet'!$E$15+1,1))-AVERAGE(OFFSET($H$3,0,0,'Données projet'!$E$15+1,1))</f>
        <v>288.41846134875794</v>
      </c>
      <c r="EP131" s="59">
        <f t="shared" si="100"/>
        <v>248.93951719818972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27.7568305984048</v>
      </c>
      <c r="EW131" s="21">
        <f>EXP(-LN(2)/25)*EW130+(1-EXP(-LN(2)/25))/(LN(2)/25)*Calculateur!ER131*Calculateur!ET131*VLOOKUP('Données projet'!$B$15,Paramètres!$A$1:$I$89,3,0)*0.475*44/12</f>
        <v>1.8454821785718329</v>
      </c>
      <c r="EX131" s="21">
        <f>EXP(-LN(2)/2)*EX130+(1-EXP(-LN(2)/2))/(LN(2)/2)*ER131*EU131*VLOOKUP('Données projet'!$B$15,Paramètres!$A$1:$I$89,3,0)*0.475*44/12</f>
        <v>8.6445978265565467E-16</v>
      </c>
      <c r="EY131" s="22">
        <f t="shared" si="75"/>
        <v>29.602312776976632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789.00000000000045</v>
      </c>
      <c r="FF131" s="17">
        <f>FE131*VLOOKUP('Données projet'!$B$16,Paramètres!$A$1:$I$89,3,0)*VLOOKUP('Données projet'!$B$16,Paramètres!$A$1:$I$89,5,0)</f>
        <v>358.99500000000023</v>
      </c>
      <c r="FG131" s="13">
        <f t="shared" si="101"/>
        <v>83.411930940690553</v>
      </c>
      <c r="FH131" s="20">
        <f t="shared" si="76"/>
        <v>770.52540472170313</v>
      </c>
      <c r="FI131" s="59">
        <f t="shared" si="77"/>
        <v>1063.8587380550364</v>
      </c>
      <c r="FJ131" s="59">
        <f ca="1">AVERAGE(OFFSET($FI$3,0,0,'Données projet'!$E$16+1,1))-AVERAGE(OFFSET($H$3,0,0,'Données projet'!$E$16+1,1))</f>
        <v>367.36535411813264</v>
      </c>
      <c r="FK131" s="59">
        <f t="shared" si="102"/>
        <v>293.19545174980556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33.915529155214188</v>
      </c>
      <c r="FR131" s="21">
        <f>EXP(-LN(2)/25)*FR130+(1-EXP(-LN(2)/25))/(LN(2)/25)*Calculateur!FM131*Calculateur!FO131*VLOOKUP('Données projet'!$B$16,Paramètres!$A$1:$I$89,3,0)*0.475*44/12</f>
        <v>2.8603487872389519</v>
      </c>
      <c r="FS131" s="21">
        <f>EXP(-LN(2)/2)*FS130+(1-EXP(-LN(2)/2))/(LN(2)/2)*FM131*FP131*VLOOKUP('Données projet'!$B$16,Paramètres!$A$1:$I$89,3,0)*0.475*44/12</f>
        <v>1.2868848371291536E-15</v>
      </c>
      <c r="FT131" s="22">
        <f t="shared" si="78"/>
        <v>36.775877942453143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669.99999999999989</v>
      </c>
      <c r="GA131" s="17">
        <f>FZ131*VLOOKUP('Données projet'!$B$17,Paramètres!$A$1:$I$89,3,0)*VLOOKUP('Données projet'!$B$17,Paramètres!$A$1:$I$89,5,0)</f>
        <v>322.26999999999992</v>
      </c>
      <c r="GB131" s="13">
        <f t="shared" si="103"/>
        <v>75.825476822885776</v>
      </c>
      <c r="GC131" s="20">
        <f t="shared" si="79"/>
        <v>693.34962213319261</v>
      </c>
      <c r="GD131" s="59">
        <f t="shared" si="80"/>
        <v>986.68295546652598</v>
      </c>
      <c r="GE131" s="59">
        <f ca="1">AVERAGE(OFFSET($GD$3,0,0,'Données projet'!$E$17+1,1))-AVERAGE(OFFSET($H$3,0,0,'Données projet'!$E$17+1,1))</f>
        <v>312.64506496298173</v>
      </c>
      <c r="GF131" s="59">
        <f t="shared" si="104"/>
        <v>259.97532509897508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43.781755248100225</v>
      </c>
      <c r="GM131" s="21">
        <f>EXP(-LN(2)/25)*GM130+(1-EXP(-LN(2)/25))/(LN(2)/25)*Calculateur!GH131*Calculateur!GJ131*VLOOKUP('Données projet'!$B$17,Paramètres!$A$1:$I$89,3,0)*0.475*44/12</f>
        <v>1.2932223693707028</v>
      </c>
      <c r="GN131" s="21">
        <f>EXP(-LN(2)/2)*GN130+(1-EXP(-LN(2)/2))/(LN(2)/2)*GH131*GK131*VLOOKUP('Données projet'!$B$17,Paramètres!$A$1:$I$89,3,0)*0.475*44/12</f>
        <v>6.8406257397407078E-15</v>
      </c>
      <c r="GO131" s="21">
        <f t="shared" si="81"/>
        <v>45.074977617470935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267</v>
      </c>
      <c r="GV131" s="17">
        <f>GU131*VLOOKUP('Données projet'!$B$18,Paramètres!$A$1:$I$89,3,0)*VLOOKUP('Données projet'!$B$18,Paramètres!$A$1:$I$89,5,0)</f>
        <v>270.738</v>
      </c>
      <c r="GW131" s="13">
        <f t="shared" si="105"/>
        <v>65.005866623551711</v>
      </c>
      <c r="GX131" s="20">
        <f t="shared" si="82"/>
        <v>584.7539010360191</v>
      </c>
      <c r="GY131" s="59">
        <f t="shared" si="83"/>
        <v>878.08723436935247</v>
      </c>
      <c r="GZ131" s="59">
        <f ca="1">AVERAGE(OFFSET($GY$3,0,0,'Données projet'!$E$18+1,1))-AVERAGE(OFFSET($H$3,0,0,'Données projet'!$E$18+1,1))</f>
        <v>308.80022073574963</v>
      </c>
      <c r="HA131" s="59">
        <f t="shared" si="106"/>
        <v>183.96267407004115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65.481435204721819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65.481435204721819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344.49457749226184</v>
      </c>
      <c r="T132" s="59">
        <f t="shared" si="88"/>
        <v>207.92972431357452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208.99999999999989</v>
      </c>
      <c r="AJ132" s="13">
        <f>AI132*VLOOKUP('Données projet'!$B$10,Paramètres!$A$1:$I$89,3,0)*VLOOKUP('Données projet'!$B$10,Paramètres!$A$1:$I$89,5,0)</f>
        <v>189.1031999999999</v>
      </c>
      <c r="AK132" s="13">
        <f t="shared" si="89"/>
        <v>47.34162854278712</v>
      </c>
      <c r="AL132" s="20">
        <f t="shared" ref="AL132:AL153" si="112">(AJ132+AK132)*0.475*44/12</f>
        <v>411.80807637868742</v>
      </c>
      <c r="AM132" s="59">
        <f t="shared" ref="AM132:AM195" si="113">AL132+(AD132+AE132)*44/12</f>
        <v>705.14140971202073</v>
      </c>
      <c r="AN132" s="59">
        <f ca="1">AVERAGE(OFFSET($AM$3,0,0,'Données projet'!$E$10+1,1))-AVERAGE(OFFSET($H$3,0,0,'Données projet'!$E$10+1,1))</f>
        <v>183.0147113277086</v>
      </c>
      <c r="AO132" s="59">
        <f t="shared" si="90"/>
        <v>76.413905647258389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43.043575395834466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43.043575395834466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253.79640000000001</v>
      </c>
      <c r="BF132" s="13">
        <f t="shared" si="91"/>
        <v>61.39816832228076</v>
      </c>
      <c r="BG132" s="20">
        <f t="shared" ref="BG132:BG153" si="115">(BE132+BF132)*0.475*44/12</f>
        <v>548.96387316130563</v>
      </c>
      <c r="BH132" s="59">
        <f t="shared" ref="BH132:BH195" si="116">BG132+(AY132+AZ132)*44/12</f>
        <v>842.29720649463889</v>
      </c>
      <c r="BI132" s="59">
        <f ca="1">AVERAGE(OFFSET($BH$3,0,0,'Données projet'!$E$11+1,1))-AVERAGE(OFFSET($H$3,0,0,'Données projet'!$E$11+1,1))</f>
        <v>279.49721661620544</v>
      </c>
      <c r="BJ132" s="59">
        <f t="shared" si="92"/>
        <v>275.18739333988754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20.146994652602558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20.146994652602558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754.68411025369562</v>
      </c>
      <c r="CD132" s="59">
        <f ca="1">AVERAGE(OFFSET($CC$3,0,0,'Données projet'!$E$12+1,1))-AVERAGE(OFFSET($H$3,0,0,'Données projet'!$E$12+1,1))</f>
        <v>225.2323446080772</v>
      </c>
      <c r="CE132" s="59">
        <f t="shared" si="94"/>
        <v>222.29030402759292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16.440514129420787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16.440514129420787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213.00000000000003</v>
      </c>
      <c r="CU132" s="17">
        <f>CT132*VLOOKUP('Données projet'!$B$13,Paramètres!$A$1:$I$89,3,0)*VLOOKUP('Données projet'!$B$13,Paramètres!$A$1:$I$89,5,0)</f>
        <v>229.2732</v>
      </c>
      <c r="CV132" s="13">
        <f t="shared" si="95"/>
        <v>56.125501442527366</v>
      </c>
      <c r="CW132" s="20">
        <f t="shared" ref="CW132:CW153" si="121">(CU132+CV132)*0.475*44/12</f>
        <v>497.06940501240177</v>
      </c>
      <c r="CX132" s="59">
        <f t="shared" ref="CX132:CX195" si="122">CW132+(CO132+CP132)*44/12</f>
        <v>790.40273834573509</v>
      </c>
      <c r="CY132" s="59">
        <f ca="1">AVERAGE(OFFSET($CX$3,0,0,'Données projet'!$E$13+1,1))-AVERAGE(OFFSET($H$3,0,0,'Données projet'!$E$13+1,1))</f>
        <v>240.57184010337932</v>
      </c>
      <c r="CZ132" s="59">
        <f t="shared" si="96"/>
        <v>236.36473521227072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13.941990806267734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13.941990806267734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670.99999999999977</v>
      </c>
      <c r="DP132" s="17">
        <f>DO132*VLOOKUP('Données projet'!$B$14,Paramètres!$A$1:$I$89,3,0)*VLOOKUP('Données projet'!$B$14,Paramètres!$A$1:$I$89,5,0)</f>
        <v>314.02799999999991</v>
      </c>
      <c r="DQ132" s="13">
        <f t="shared" si="97"/>
        <v>74.109403804428752</v>
      </c>
      <c r="DR132" s="20">
        <f t="shared" ref="DR132:DR153" si="124">(DP132+DQ132)*0.475*44/12</f>
        <v>676.00597829271317</v>
      </c>
      <c r="DS132" s="59">
        <f t="shared" ref="DS132:DS195" si="125">DR132+(DJ132+DK132)*44/12</f>
        <v>969.33931162604654</v>
      </c>
      <c r="DT132" s="59">
        <f ca="1">AVERAGE(OFFSET($DS$3,0,0,'Données projet'!$E$14+1,1))-AVERAGE(OFFSET($H$3,0,0,'Données projet'!$E$14+1,1))</f>
        <v>304.29617570272939</v>
      </c>
      <c r="DU132" s="59">
        <f t="shared" si="98"/>
        <v>246.20695736161576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37.613623242864058</v>
      </c>
      <c r="EB132" s="21">
        <f>EXP(-LN(2)/25)*EB131+(1-EXP(-LN(2)/25))/(LN(2)/25)*Calculateur!DW132*Calculateur!DY132*VLOOKUP('Données projet'!$B$14,Paramètres!$A$1:$I$89,3,0)*0.475*44/12</f>
        <v>2.6297122919719329</v>
      </c>
      <c r="EC132" s="21">
        <f>EXP(-LN(2)/2)*EC131+(1-EXP(-LN(2)/2))/(LN(2)/2)*DW132*DZ132*VLOOKUP('Données projet'!$B$14,Paramètres!$A$1:$I$89,3,0)*0.475*44/12</f>
        <v>4.9416377745759896E-15</v>
      </c>
      <c r="ED132" s="22">
        <f t="shared" ref="ED132:ED153" si="126">SUM(EA132:EC132)</f>
        <v>40.243335534836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477.9999999999996</v>
      </c>
      <c r="EK132" s="17">
        <f>EJ132*VLOOKUP('Données projet'!$B$15,Paramètres!$A$1:$I$89,3,0)*VLOOKUP('Données projet'!$B$15,Paramètres!$A$1:$I$89,5,0)</f>
        <v>285.84399999999977</v>
      </c>
      <c r="EL132" s="13">
        <f t="shared" si="99"/>
        <v>68.200525419065656</v>
      </c>
      <c r="EM132" s="20">
        <f t="shared" ref="EM132:EM153" si="127">(EK132+EL132)*0.475*44/12</f>
        <v>616.62754843820551</v>
      </c>
      <c r="EN132" s="59">
        <f t="shared" ref="EN132:EN195" si="128">EM132+(EE132+EF132)*44/12</f>
        <v>909.96088177153888</v>
      </c>
      <c r="EO132" s="59">
        <f ca="1">AVERAGE(OFFSET($EN$3,0,0,'Données projet'!$E$15+1,1))-AVERAGE(OFFSET($H$3,0,0,'Données projet'!$E$15+1,1))</f>
        <v>288.41846134875794</v>
      </c>
      <c r="EP132" s="59">
        <f t="shared" si="100"/>
        <v>248.93951719818972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27.212536080365048</v>
      </c>
      <c r="EW132" s="21">
        <f>EXP(-LN(2)/25)*EW131+(1-EXP(-LN(2)/25))/(LN(2)/25)*Calculateur!ER132*Calculateur!ET132*VLOOKUP('Données projet'!$B$15,Paramètres!$A$1:$I$89,3,0)*0.475*44/12</f>
        <v>1.7950173713490962</v>
      </c>
      <c r="EX132" s="21">
        <f>EXP(-LN(2)/2)*EX131+(1-EXP(-LN(2)/2))/(LN(2)/2)*ER132*EU132*VLOOKUP('Données projet'!$B$15,Paramètres!$A$1:$I$89,3,0)*0.475*44/12</f>
        <v>6.1126537437886248E-16</v>
      </c>
      <c r="EY132" s="22">
        <f t="shared" ref="EY132:EY153" si="129">SUM(EV132:EX132)</f>
        <v>29.007553451714145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789.00000000000045</v>
      </c>
      <c r="FF132" s="17">
        <f>FE132*VLOOKUP('Données projet'!$B$16,Paramètres!$A$1:$I$89,3,0)*VLOOKUP('Données projet'!$B$16,Paramètres!$A$1:$I$89,5,0)</f>
        <v>358.99500000000023</v>
      </c>
      <c r="FG132" s="13">
        <f t="shared" si="101"/>
        <v>83.411930940690553</v>
      </c>
      <c r="FH132" s="20">
        <f t="shared" ref="FH132:FH153" si="130">(FF132+FG132)*0.475*44/12</f>
        <v>770.52540472170313</v>
      </c>
      <c r="FI132" s="59">
        <f t="shared" ref="FI132:FI195" si="131">FH132+(EZ132+FA132)*44/12</f>
        <v>1063.8587380550364</v>
      </c>
      <c r="FJ132" s="59">
        <f ca="1">AVERAGE(OFFSET($FI$3,0,0,'Données projet'!$E$16+1,1))-AVERAGE(OFFSET($H$3,0,0,'Données projet'!$E$16+1,1))</f>
        <v>367.36535411813264</v>
      </c>
      <c r="FK132" s="59">
        <f t="shared" si="102"/>
        <v>293.19545174980556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33.250466314910604</v>
      </c>
      <c r="FR132" s="21">
        <f>EXP(-LN(2)/25)*FR131+(1-EXP(-LN(2)/25))/(LN(2)/25)*Calculateur!FM132*Calculateur!FO132*VLOOKUP('Données projet'!$B$16,Paramètres!$A$1:$I$89,3,0)*0.475*44/12</f>
        <v>2.7821323992326974</v>
      </c>
      <c r="FS132" s="21">
        <f>EXP(-LN(2)/2)*FS131+(1-EXP(-LN(2)/2))/(LN(2)/2)*FM132*FP132*VLOOKUP('Données projet'!$B$16,Paramètres!$A$1:$I$89,3,0)*0.475*44/12</f>
        <v>9.0996499494017021E-16</v>
      </c>
      <c r="FT132" s="22">
        <f t="shared" ref="FT132:FT153" si="132">SUM(FQ132:FS132)</f>
        <v>36.032598714143305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669.99999999999989</v>
      </c>
      <c r="GA132" s="17">
        <f>FZ132*VLOOKUP('Données projet'!$B$17,Paramètres!$A$1:$I$89,3,0)*VLOOKUP('Données projet'!$B$17,Paramètres!$A$1:$I$89,5,0)</f>
        <v>322.26999999999992</v>
      </c>
      <c r="GB132" s="13">
        <f t="shared" si="103"/>
        <v>75.825476822885776</v>
      </c>
      <c r="GC132" s="20">
        <f t="shared" ref="GC132:GC153" si="133">(GA132+GB132)*0.475*44/12</f>
        <v>693.34962213319261</v>
      </c>
      <c r="GD132" s="59">
        <f t="shared" ref="GD132:GD195" si="134">GC132+(FU132+FV132)*44/12</f>
        <v>986.68295546652598</v>
      </c>
      <c r="GE132" s="59">
        <f ca="1">AVERAGE(OFFSET($GD$3,0,0,'Données projet'!$E$17+1,1))-AVERAGE(OFFSET($H$3,0,0,'Données projet'!$E$17+1,1))</f>
        <v>312.64506496298173</v>
      </c>
      <c r="GF132" s="59">
        <f t="shared" si="104"/>
        <v>259.97532509897508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42.923221731918858</v>
      </c>
      <c r="GM132" s="21">
        <f>EXP(-LN(2)/25)*GM131+(1-EXP(-LN(2)/25))/(LN(2)/25)*Calculateur!GH132*Calculateur!GJ132*VLOOKUP('Données projet'!$B$17,Paramètres!$A$1:$I$89,3,0)*0.475*44/12</f>
        <v>1.2578591356726523</v>
      </c>
      <c r="GN132" s="21">
        <f>EXP(-LN(2)/2)*GN131+(1-EXP(-LN(2)/2))/(LN(2)/2)*GH132*GK132*VLOOKUP('Données projet'!$B$17,Paramètres!$A$1:$I$89,3,0)*0.475*44/12</f>
        <v>4.8370528481298974E-15</v>
      </c>
      <c r="GO132" s="21">
        <f t="shared" ref="GO132:GO153" si="135">SUM(GL132:GN132)</f>
        <v>44.181080867591518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267</v>
      </c>
      <c r="GV132" s="17">
        <f>GU132*VLOOKUP('Données projet'!$B$18,Paramètres!$A$1:$I$89,3,0)*VLOOKUP('Données projet'!$B$18,Paramètres!$A$1:$I$89,5,0)</f>
        <v>270.738</v>
      </c>
      <c r="GW132" s="13">
        <f t="shared" si="105"/>
        <v>65.005866623551711</v>
      </c>
      <c r="GX132" s="20">
        <f t="shared" ref="GX132:GX153" si="136">(GV132+GW132)*0.475*44/12</f>
        <v>584.7539010360191</v>
      </c>
      <c r="GY132" s="59">
        <f t="shared" ref="GY132:GY195" si="137">GX132+(GP132+GQ132)*44/12</f>
        <v>878.08723436935247</v>
      </c>
      <c r="GZ132" s="59">
        <f ca="1">AVERAGE(OFFSET($GY$3,0,0,'Données projet'!$E$18+1,1))-AVERAGE(OFFSET($H$3,0,0,'Données projet'!$E$18+1,1))</f>
        <v>308.80022073574963</v>
      </c>
      <c r="HA132" s="59">
        <f t="shared" si="106"/>
        <v>183.96267407004115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64.197384200088976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64.197384200088976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344.49457749226184</v>
      </c>
      <c r="T133" s="59">
        <f t="shared" ref="T133:T196" si="142">$T$3</f>
        <v>207.92972431357452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208.99999999999989</v>
      </c>
      <c r="AJ133" s="13">
        <f>AI133*VLOOKUP('Données projet'!$B$10,Paramètres!$A$1:$I$89,3,0)*VLOOKUP('Données projet'!$B$10,Paramètres!$A$1:$I$89,5,0)</f>
        <v>189.1031999999999</v>
      </c>
      <c r="AK133" s="13">
        <f t="shared" ref="AK133:AK153" si="143">EXP(-1.0587+0.8836*LN(AJ133)+0.284)</f>
        <v>47.34162854278712</v>
      </c>
      <c r="AL133" s="20">
        <f t="shared" si="112"/>
        <v>411.80807637868742</v>
      </c>
      <c r="AM133" s="59">
        <f t="shared" si="113"/>
        <v>705.14140971202073</v>
      </c>
      <c r="AN133" s="59">
        <f ca="1">AVERAGE(OFFSET($AM$3,0,0,'Données projet'!$E$10+1,1))-AVERAGE(OFFSET($H$3,0,0,'Données projet'!$E$10+1,1))</f>
        <v>183.0147113277086</v>
      </c>
      <c r="AO133" s="59">
        <f t="shared" ref="AO133:AO196" si="144">$AO$3</f>
        <v>76.413905647258389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42.199517136310774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42.199517136310774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253.79640000000001</v>
      </c>
      <c r="BF133" s="13">
        <f t="shared" ref="BF133:BF153" si="145">EXP(-1.0587+0.8836*LN(BE133)+0.284)</f>
        <v>61.39816832228076</v>
      </c>
      <c r="BG133" s="20">
        <f t="shared" si="115"/>
        <v>548.96387316130563</v>
      </c>
      <c r="BH133" s="59">
        <f t="shared" si="116"/>
        <v>842.29720649463889</v>
      </c>
      <c r="BI133" s="59">
        <f ca="1">AVERAGE(OFFSET($BH$3,0,0,'Données projet'!$E$11+1,1))-AVERAGE(OFFSET($H$3,0,0,'Données projet'!$E$11+1,1))</f>
        <v>279.49721661620544</v>
      </c>
      <c r="BJ133" s="59">
        <f t="shared" ref="BJ133:BJ196" si="146">$BJ$3</f>
        <v>275.18739333988754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19.751924375918374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19.751924375918374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754.68411025369562</v>
      </c>
      <c r="CD133" s="59">
        <f ca="1">AVERAGE(OFFSET($CC$3,0,0,'Données projet'!$E$12+1,1))-AVERAGE(OFFSET($H$3,0,0,'Données projet'!$E$12+1,1))</f>
        <v>225.2323446080772</v>
      </c>
      <c r="CE133" s="59">
        <f t="shared" ref="CE133:CE196" si="148">$CE$3</f>
        <v>222.29030402759292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16.11812567506631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16.11812567506631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213.00000000000003</v>
      </c>
      <c r="CU133" s="17">
        <f>CT133*VLOOKUP('Données projet'!$B$13,Paramètres!$A$1:$I$89,3,0)*VLOOKUP('Données projet'!$B$13,Paramètres!$A$1:$I$89,5,0)</f>
        <v>229.2732</v>
      </c>
      <c r="CV133" s="13">
        <f t="shared" ref="CV133:CV153" si="149">EXP(-1.0587+0.8836*LN(CU133)+0.284)</f>
        <v>56.125501442527366</v>
      </c>
      <c r="CW133" s="20">
        <f t="shared" si="121"/>
        <v>497.06940501240177</v>
      </c>
      <c r="CX133" s="59">
        <f t="shared" si="122"/>
        <v>790.40273834573509</v>
      </c>
      <c r="CY133" s="59">
        <f ca="1">AVERAGE(OFFSET($CX$3,0,0,'Données projet'!$E$13+1,1))-AVERAGE(OFFSET($H$3,0,0,'Données projet'!$E$13+1,1))</f>
        <v>240.57184010337932</v>
      </c>
      <c r="CZ133" s="59">
        <f t="shared" ref="CZ133:CZ196" si="150">$CZ$3</f>
        <v>236.36473521227072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13.668596870331537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13.668596870331537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670.99999999999977</v>
      </c>
      <c r="DP133" s="17">
        <f>DO133*VLOOKUP('Données projet'!$B$14,Paramètres!$A$1:$I$89,3,0)*VLOOKUP('Données projet'!$B$14,Paramètres!$A$1:$I$89,5,0)</f>
        <v>314.02799999999991</v>
      </c>
      <c r="DQ133" s="13">
        <f t="shared" ref="DQ133:DQ153" si="151">EXP(-1.0587+0.8836*LN(DP133)+0.284)</f>
        <v>74.109403804428752</v>
      </c>
      <c r="DR133" s="20">
        <f t="shared" si="124"/>
        <v>676.00597829271317</v>
      </c>
      <c r="DS133" s="59">
        <f t="shared" si="125"/>
        <v>969.33931162604654</v>
      </c>
      <c r="DT133" s="59">
        <f ca="1">AVERAGE(OFFSET($DS$3,0,0,'Données projet'!$E$14+1,1))-AVERAGE(OFFSET($H$3,0,0,'Données projet'!$E$14+1,1))</f>
        <v>304.29617570272939</v>
      </c>
      <c r="DU133" s="59">
        <f t="shared" ref="DU133:DU196" si="152">$DU$3</f>
        <v>246.20695736161576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36.876043033116332</v>
      </c>
      <c r="EB133" s="21">
        <f>EXP(-LN(2)/25)*EB132+(1-EXP(-LN(2)/25))/(LN(2)/25)*Calculateur!DW133*Calculateur!DY133*VLOOKUP('Données projet'!$B$14,Paramètres!$A$1:$I$89,3,0)*0.475*44/12</f>
        <v>2.5578026710574013</v>
      </c>
      <c r="EC133" s="21">
        <f>EXP(-LN(2)/2)*EC132+(1-EXP(-LN(2)/2))/(LN(2)/2)*DW133*DZ133*VLOOKUP('Données projet'!$B$14,Paramètres!$A$1:$I$89,3,0)*0.475*44/12</f>
        <v>3.494265580570282E-15</v>
      </c>
      <c r="ED133" s="22">
        <f t="shared" si="126"/>
        <v>39.433845704173734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477.9999999999996</v>
      </c>
      <c r="EK133" s="17">
        <f>EJ133*VLOOKUP('Données projet'!$B$15,Paramètres!$A$1:$I$89,3,0)*VLOOKUP('Données projet'!$B$15,Paramètres!$A$1:$I$89,5,0)</f>
        <v>285.84399999999977</v>
      </c>
      <c r="EL133" s="13">
        <f t="shared" ref="EL133:EL153" si="153">EXP(-1.0587+0.8836*LN(EK133)+0.284)</f>
        <v>68.200525419065656</v>
      </c>
      <c r="EM133" s="20">
        <f t="shared" si="127"/>
        <v>616.62754843820551</v>
      </c>
      <c r="EN133" s="59">
        <f t="shared" si="128"/>
        <v>909.96088177153888</v>
      </c>
      <c r="EO133" s="59">
        <f ca="1">AVERAGE(OFFSET($EN$3,0,0,'Données projet'!$E$15+1,1))-AVERAGE(OFFSET($H$3,0,0,'Données projet'!$E$15+1,1))</f>
        <v>288.41846134875794</v>
      </c>
      <c r="EP133" s="59">
        <f t="shared" ref="EP133:EP196" si="154">$EP$3</f>
        <v>248.93951719818972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26.678914845837181</v>
      </c>
      <c r="EW133" s="21">
        <f>EXP(-LN(2)/25)*EW132+(1-EXP(-LN(2)/25))/(LN(2)/25)*Calculateur!ER133*Calculateur!ET133*VLOOKUP('Données projet'!$B$15,Paramètres!$A$1:$I$89,3,0)*0.475*44/12</f>
        <v>1.7459325269336943</v>
      </c>
      <c r="EX133" s="21">
        <f>EXP(-LN(2)/2)*EX132+(1-EXP(-LN(2)/2))/(LN(2)/2)*ER133*EU133*VLOOKUP('Données projet'!$B$15,Paramètres!$A$1:$I$89,3,0)*0.475*44/12</f>
        <v>4.3222989132782738E-16</v>
      </c>
      <c r="EY133" s="22">
        <f t="shared" si="129"/>
        <v>28.424847372770873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789.00000000000045</v>
      </c>
      <c r="FF133" s="17">
        <f>FE133*VLOOKUP('Données projet'!$B$16,Paramètres!$A$1:$I$89,3,0)*VLOOKUP('Données projet'!$B$16,Paramètres!$A$1:$I$89,5,0)</f>
        <v>358.99500000000023</v>
      </c>
      <c r="FG133" s="13">
        <f t="shared" ref="FG133:FG153" si="155">EXP(-1.0587+0.8836*LN(FF133)+0.284)</f>
        <v>83.411930940690553</v>
      </c>
      <c r="FH133" s="20">
        <f t="shared" si="130"/>
        <v>770.52540472170313</v>
      </c>
      <c r="FI133" s="59">
        <f t="shared" si="131"/>
        <v>1063.8587380550364</v>
      </c>
      <c r="FJ133" s="59">
        <f ca="1">AVERAGE(OFFSET($FI$3,0,0,'Données projet'!$E$16+1,1))-AVERAGE(OFFSET($H$3,0,0,'Données projet'!$E$16+1,1))</f>
        <v>367.36535411813264</v>
      </c>
      <c r="FK133" s="59">
        <f t="shared" ref="FK133:FK196" si="156">$FK$3</f>
        <v>293.19545174980556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32.5984449512571</v>
      </c>
      <c r="FR133" s="21">
        <f>EXP(-LN(2)/25)*FR132+(1-EXP(-LN(2)/25))/(LN(2)/25)*Calculateur!FM133*Calculateur!FO133*VLOOKUP('Données projet'!$B$16,Paramètres!$A$1:$I$89,3,0)*0.475*44/12</f>
        <v>2.7060548424696949</v>
      </c>
      <c r="FS133" s="21">
        <f>EXP(-LN(2)/2)*FS132+(1-EXP(-LN(2)/2))/(LN(2)/2)*FM133*FP133*VLOOKUP('Données projet'!$B$16,Paramètres!$A$1:$I$89,3,0)*0.475*44/12</f>
        <v>6.4344241856457678E-16</v>
      </c>
      <c r="FT133" s="22">
        <f t="shared" si="132"/>
        <v>35.304499793726798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669.99999999999989</v>
      </c>
      <c r="GA133" s="17">
        <f>FZ133*VLOOKUP('Données projet'!$B$17,Paramètres!$A$1:$I$89,3,0)*VLOOKUP('Données projet'!$B$17,Paramètres!$A$1:$I$89,5,0)</f>
        <v>322.26999999999992</v>
      </c>
      <c r="GB133" s="13">
        <f t="shared" ref="GB133:GB153" si="157">EXP(-1.0587+0.8836*LN(GA133)+0.284)</f>
        <v>75.825476822885776</v>
      </c>
      <c r="GC133" s="20">
        <f t="shared" si="133"/>
        <v>693.34962213319261</v>
      </c>
      <c r="GD133" s="59">
        <f t="shared" si="134"/>
        <v>986.68295546652598</v>
      </c>
      <c r="GE133" s="59">
        <f ca="1">AVERAGE(OFFSET($GD$3,0,0,'Données projet'!$E$17+1,1))-AVERAGE(OFFSET($H$3,0,0,'Données projet'!$E$17+1,1))</f>
        <v>312.64506496298173</v>
      </c>
      <c r="GF133" s="59">
        <f t="shared" ref="GF133:GF196" si="158">$GF$3</f>
        <v>259.97532509897508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42.081523534336071</v>
      </c>
      <c r="GM133" s="21">
        <f>EXP(-LN(2)/25)*GM132+(1-EXP(-LN(2)/25))/(LN(2)/25)*Calculateur!GH133*Calculateur!GJ133*VLOOKUP('Données projet'!$B$17,Paramètres!$A$1:$I$89,3,0)*0.475*44/12</f>
        <v>1.2234629114597466</v>
      </c>
      <c r="GN133" s="21">
        <f>EXP(-LN(2)/2)*GN132+(1-EXP(-LN(2)/2))/(LN(2)/2)*GH133*GK133*VLOOKUP('Données projet'!$B$17,Paramètres!$A$1:$I$89,3,0)*0.475*44/12</f>
        <v>3.4203128698703539E-15</v>
      </c>
      <c r="GO133" s="21">
        <f t="shared" si="135"/>
        <v>43.304986445795819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267</v>
      </c>
      <c r="GV133" s="17">
        <f>GU133*VLOOKUP('Données projet'!$B$18,Paramètres!$A$1:$I$89,3,0)*VLOOKUP('Données projet'!$B$18,Paramètres!$A$1:$I$89,5,0)</f>
        <v>270.738</v>
      </c>
      <c r="GW133" s="13">
        <f t="shared" ref="GW133:GW153" si="159">EXP(-1.0587+0.8836*LN(GV133)+0.284)</f>
        <v>65.005866623551711</v>
      </c>
      <c r="GX133" s="20">
        <f t="shared" si="136"/>
        <v>584.7539010360191</v>
      </c>
      <c r="GY133" s="59">
        <f t="shared" si="137"/>
        <v>878.08723436935247</v>
      </c>
      <c r="GZ133" s="59">
        <f ca="1">AVERAGE(OFFSET($GY$3,0,0,'Données projet'!$E$18+1,1))-AVERAGE(OFFSET($H$3,0,0,'Données projet'!$E$18+1,1))</f>
        <v>308.80022073574963</v>
      </c>
      <c r="HA133" s="59">
        <f t="shared" ref="HA133:HA196" si="160">$HA$3</f>
        <v>183.96267407004115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62.938512652463203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62.938512652463203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344.49457749226184</v>
      </c>
      <c r="T134" s="59">
        <f t="shared" si="142"/>
        <v>207.92972431357452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208.99999999999989</v>
      </c>
      <c r="AJ134" s="13">
        <f>AI134*VLOOKUP('Données projet'!$B$10,Paramètres!$A$1:$I$89,3,0)*VLOOKUP('Données projet'!$B$10,Paramètres!$A$1:$I$89,5,0)</f>
        <v>189.1031999999999</v>
      </c>
      <c r="AK134" s="13">
        <f t="shared" si="143"/>
        <v>47.34162854278712</v>
      </c>
      <c r="AL134" s="20">
        <f t="shared" si="112"/>
        <v>411.80807637868742</v>
      </c>
      <c r="AM134" s="59">
        <f t="shared" si="113"/>
        <v>705.14140971202073</v>
      </c>
      <c r="AN134" s="59">
        <f ca="1">AVERAGE(OFFSET($AM$3,0,0,'Données projet'!$E$10+1,1))-AVERAGE(OFFSET($H$3,0,0,'Données projet'!$E$10+1,1))</f>
        <v>183.0147113277086</v>
      </c>
      <c r="AO134" s="59">
        <f t="shared" si="144"/>
        <v>76.413905647258389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41.372010344431644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41.372010344431644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253.79640000000001</v>
      </c>
      <c r="BF134" s="13">
        <f t="shared" si="145"/>
        <v>61.39816832228076</v>
      </c>
      <c r="BG134" s="20">
        <f t="shared" si="115"/>
        <v>548.96387316130563</v>
      </c>
      <c r="BH134" s="59">
        <f t="shared" si="116"/>
        <v>842.29720649463889</v>
      </c>
      <c r="BI134" s="59">
        <f ca="1">AVERAGE(OFFSET($BH$3,0,0,'Données projet'!$E$11+1,1))-AVERAGE(OFFSET($H$3,0,0,'Données projet'!$E$11+1,1))</f>
        <v>279.49721661620544</v>
      </c>
      <c r="BJ134" s="59">
        <f t="shared" si="146"/>
        <v>275.18739333988754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19.364601186390892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19.364601186390892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754.68411025369562</v>
      </c>
      <c r="CD134" s="59">
        <f ca="1">AVERAGE(OFFSET($CC$3,0,0,'Données projet'!$E$12+1,1))-AVERAGE(OFFSET($H$3,0,0,'Données projet'!$E$12+1,1))</f>
        <v>225.2323446080772</v>
      </c>
      <c r="CE134" s="59">
        <f t="shared" si="148"/>
        <v>222.29030402759292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15.802059061664181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15.802059061664181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213.00000000000003</v>
      </c>
      <c r="CU134" s="17">
        <f>CT134*VLOOKUP('Données projet'!$B$13,Paramètres!$A$1:$I$89,3,0)*VLOOKUP('Données projet'!$B$13,Paramètres!$A$1:$I$89,5,0)</f>
        <v>229.2732</v>
      </c>
      <c r="CV134" s="13">
        <f t="shared" si="149"/>
        <v>56.125501442527366</v>
      </c>
      <c r="CW134" s="20">
        <f t="shared" si="121"/>
        <v>497.06940501240177</v>
      </c>
      <c r="CX134" s="59">
        <f t="shared" si="122"/>
        <v>790.40273834573509</v>
      </c>
      <c r="CY134" s="59">
        <f ca="1">AVERAGE(OFFSET($CX$3,0,0,'Données projet'!$E$13+1,1))-AVERAGE(OFFSET($H$3,0,0,'Données projet'!$E$13+1,1))</f>
        <v>240.57184010337932</v>
      </c>
      <c r="CZ134" s="59">
        <f t="shared" si="150"/>
        <v>236.36473521227072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13.400564022725215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13.400564022725215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670.99999999999977</v>
      </c>
      <c r="DP134" s="17">
        <f>DO134*VLOOKUP('Données projet'!$B$14,Paramètres!$A$1:$I$89,3,0)*VLOOKUP('Données projet'!$B$14,Paramètres!$A$1:$I$89,5,0)</f>
        <v>314.02799999999991</v>
      </c>
      <c r="DQ134" s="13">
        <f t="shared" si="151"/>
        <v>74.109403804428752</v>
      </c>
      <c r="DR134" s="20">
        <f t="shared" si="124"/>
        <v>676.00597829271317</v>
      </c>
      <c r="DS134" s="59">
        <f t="shared" si="125"/>
        <v>969.33931162604654</v>
      </c>
      <c r="DT134" s="59">
        <f ca="1">AVERAGE(OFFSET($DS$3,0,0,'Données projet'!$E$14+1,1))-AVERAGE(OFFSET($H$3,0,0,'Données projet'!$E$14+1,1))</f>
        <v>304.29617570272939</v>
      </c>
      <c r="DU134" s="59">
        <f t="shared" si="152"/>
        <v>246.20695736161576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36.152926321402255</v>
      </c>
      <c r="EB134" s="21">
        <f>EXP(-LN(2)/25)*EB133+(1-EXP(-LN(2)/25))/(LN(2)/25)*Calculateur!DW134*Calculateur!DY134*VLOOKUP('Données projet'!$B$14,Paramètres!$A$1:$I$89,3,0)*0.475*44/12</f>
        <v>2.4878594225083401</v>
      </c>
      <c r="EC134" s="21">
        <f>EXP(-LN(2)/2)*EC133+(1-EXP(-LN(2)/2))/(LN(2)/2)*DW134*DZ134*VLOOKUP('Données projet'!$B$14,Paramètres!$A$1:$I$89,3,0)*0.475*44/12</f>
        <v>2.4708188872879952E-15</v>
      </c>
      <c r="ED134" s="22">
        <f t="shared" si="126"/>
        <v>38.640785743910598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477.9999999999996</v>
      </c>
      <c r="EK134" s="17">
        <f>EJ134*VLOOKUP('Données projet'!$B$15,Paramètres!$A$1:$I$89,3,0)*VLOOKUP('Données projet'!$B$15,Paramètres!$A$1:$I$89,5,0)</f>
        <v>285.84399999999977</v>
      </c>
      <c r="EL134" s="13">
        <f t="shared" si="153"/>
        <v>68.200525419065656</v>
      </c>
      <c r="EM134" s="20">
        <f t="shared" si="127"/>
        <v>616.62754843820551</v>
      </c>
      <c r="EN134" s="59">
        <f t="shared" si="128"/>
        <v>909.96088177153888</v>
      </c>
      <c r="EO134" s="59">
        <f ca="1">AVERAGE(OFFSET($EN$3,0,0,'Données projet'!$E$15+1,1))-AVERAGE(OFFSET($H$3,0,0,'Données projet'!$E$15+1,1))</f>
        <v>288.41846134875794</v>
      </c>
      <c r="EP134" s="59">
        <f t="shared" si="154"/>
        <v>248.93951719818972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26.155757598241589</v>
      </c>
      <c r="EW134" s="21">
        <f>EXP(-LN(2)/25)*EW133+(1-EXP(-LN(2)/25))/(LN(2)/25)*Calculateur!ER134*Calculateur!ET134*VLOOKUP('Données projet'!$B$15,Paramètres!$A$1:$I$89,3,0)*0.475*44/12</f>
        <v>1.6981899101700912</v>
      </c>
      <c r="EX134" s="21">
        <f>EXP(-LN(2)/2)*EX133+(1-EXP(-LN(2)/2))/(LN(2)/2)*ER134*EU134*VLOOKUP('Données projet'!$B$15,Paramètres!$A$1:$I$89,3,0)*0.475*44/12</f>
        <v>3.0563268718943129E-16</v>
      </c>
      <c r="EY134" s="22">
        <f t="shared" si="129"/>
        <v>27.853947508411679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789.00000000000045</v>
      </c>
      <c r="FF134" s="17">
        <f>FE134*VLOOKUP('Données projet'!$B$16,Paramètres!$A$1:$I$89,3,0)*VLOOKUP('Données projet'!$B$16,Paramètres!$A$1:$I$89,5,0)</f>
        <v>358.99500000000023</v>
      </c>
      <c r="FG134" s="13">
        <f t="shared" si="155"/>
        <v>83.411930940690553</v>
      </c>
      <c r="FH134" s="20">
        <f t="shared" si="130"/>
        <v>770.52540472170313</v>
      </c>
      <c r="FI134" s="59">
        <f t="shared" si="131"/>
        <v>1063.8587380550364</v>
      </c>
      <c r="FJ134" s="59">
        <f ca="1">AVERAGE(OFFSET($FI$3,0,0,'Données projet'!$E$16+1,1))-AVERAGE(OFFSET($H$3,0,0,'Données projet'!$E$16+1,1))</f>
        <v>367.36535411813264</v>
      </c>
      <c r="FK134" s="59">
        <f t="shared" si="156"/>
        <v>293.19545174980556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31.959209328851077</v>
      </c>
      <c r="FR134" s="21">
        <f>EXP(-LN(2)/25)*FR133+(1-EXP(-LN(2)/25))/(LN(2)/25)*Calculateur!FM134*Calculateur!FO134*VLOOKUP('Données projet'!$B$16,Paramètres!$A$1:$I$89,3,0)*0.475*44/12</f>
        <v>2.6320576304971217</v>
      </c>
      <c r="FS134" s="21">
        <f>EXP(-LN(2)/2)*FS133+(1-EXP(-LN(2)/2))/(LN(2)/2)*FM134*FP134*VLOOKUP('Données projet'!$B$16,Paramètres!$A$1:$I$89,3,0)*0.475*44/12</f>
        <v>4.5498249747008511E-16</v>
      </c>
      <c r="FT134" s="22">
        <f t="shared" si="132"/>
        <v>34.591266959348197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669.99999999999989</v>
      </c>
      <c r="GA134" s="17">
        <f>FZ134*VLOOKUP('Données projet'!$B$17,Paramètres!$A$1:$I$89,3,0)*VLOOKUP('Données projet'!$B$17,Paramètres!$A$1:$I$89,5,0)</f>
        <v>322.26999999999992</v>
      </c>
      <c r="GB134" s="13">
        <f t="shared" si="157"/>
        <v>75.825476822885776</v>
      </c>
      <c r="GC134" s="20">
        <f t="shared" si="133"/>
        <v>693.34962213319261</v>
      </c>
      <c r="GD134" s="59">
        <f t="shared" si="134"/>
        <v>986.68295546652598</v>
      </c>
      <c r="GE134" s="59">
        <f ca="1">AVERAGE(OFFSET($GD$3,0,0,'Données projet'!$E$17+1,1))-AVERAGE(OFFSET($H$3,0,0,'Données projet'!$E$17+1,1))</f>
        <v>312.64506496298173</v>
      </c>
      <c r="GF134" s="59">
        <f t="shared" si="158"/>
        <v>259.97532509897508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41.256330525022669</v>
      </c>
      <c r="GM134" s="21">
        <f>EXP(-LN(2)/25)*GM133+(1-EXP(-LN(2)/25))/(LN(2)/25)*Calculateur!GH134*Calculateur!GJ134*VLOOKUP('Données projet'!$B$17,Paramètres!$A$1:$I$89,3,0)*0.475*44/12</f>
        <v>1.1900072538067616</v>
      </c>
      <c r="GN134" s="21">
        <f>EXP(-LN(2)/2)*GN133+(1-EXP(-LN(2)/2))/(LN(2)/2)*GH134*GK134*VLOOKUP('Données projet'!$B$17,Paramètres!$A$1:$I$89,3,0)*0.475*44/12</f>
        <v>2.4185264240649487E-15</v>
      </c>
      <c r="GO134" s="21">
        <f t="shared" si="135"/>
        <v>42.446337778829431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267</v>
      </c>
      <c r="GV134" s="17">
        <f>GU134*VLOOKUP('Données projet'!$B$18,Paramètres!$A$1:$I$89,3,0)*VLOOKUP('Données projet'!$B$18,Paramètres!$A$1:$I$89,5,0)</f>
        <v>270.738</v>
      </c>
      <c r="GW134" s="13">
        <f t="shared" si="159"/>
        <v>65.005866623551711</v>
      </c>
      <c r="GX134" s="20">
        <f t="shared" si="136"/>
        <v>584.7539010360191</v>
      </c>
      <c r="GY134" s="59">
        <f t="shared" si="137"/>
        <v>878.08723436935247</v>
      </c>
      <c r="GZ134" s="59">
        <f ca="1">AVERAGE(OFFSET($GY$3,0,0,'Données projet'!$E$18+1,1))-AVERAGE(OFFSET($H$3,0,0,'Données projet'!$E$18+1,1))</f>
        <v>308.80022073574963</v>
      </c>
      <c r="HA134" s="59">
        <f t="shared" si="160"/>
        <v>183.96267407004115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61.704326808050546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61.704326808050546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344.49457749226184</v>
      </c>
      <c r="T135" s="59">
        <f t="shared" si="142"/>
        <v>207.92972431357452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208.99999999999989</v>
      </c>
      <c r="AJ135" s="13">
        <f>AI135*VLOOKUP('Données projet'!$B$10,Paramètres!$A$1:$I$89,3,0)*VLOOKUP('Données projet'!$B$10,Paramètres!$A$1:$I$89,5,0)</f>
        <v>189.1031999999999</v>
      </c>
      <c r="AK135" s="13">
        <f t="shared" si="143"/>
        <v>47.34162854278712</v>
      </c>
      <c r="AL135" s="20">
        <f t="shared" si="112"/>
        <v>411.80807637868742</v>
      </c>
      <c r="AM135" s="59">
        <f t="shared" si="113"/>
        <v>705.14140971202073</v>
      </c>
      <c r="AN135" s="59">
        <f ca="1">AVERAGE(OFFSET($AM$3,0,0,'Données projet'!$E$10+1,1))-AVERAGE(OFFSET($H$3,0,0,'Données projet'!$E$10+1,1))</f>
        <v>183.0147113277086</v>
      </c>
      <c r="AO135" s="59">
        <f t="shared" si="144"/>
        <v>76.413905647258389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40.560730456011953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40.560730456011953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253.79640000000001</v>
      </c>
      <c r="BF135" s="13">
        <f t="shared" si="145"/>
        <v>61.39816832228076</v>
      </c>
      <c r="BG135" s="20">
        <f t="shared" si="115"/>
        <v>548.96387316130563</v>
      </c>
      <c r="BH135" s="59">
        <f t="shared" si="116"/>
        <v>842.29720649463889</v>
      </c>
      <c r="BI135" s="59">
        <f ca="1">AVERAGE(OFFSET($BH$3,0,0,'Données projet'!$E$11+1,1))-AVERAGE(OFFSET($H$3,0,0,'Données projet'!$E$11+1,1))</f>
        <v>279.49721661620544</v>
      </c>
      <c r="BJ135" s="59">
        <f t="shared" si="146"/>
        <v>275.18739333988754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18.984873168366228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18.984873168366228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754.68411025369562</v>
      </c>
      <c r="CD135" s="59">
        <f ca="1">AVERAGE(OFFSET($CC$3,0,0,'Données projet'!$E$12+1,1))-AVERAGE(OFFSET($H$3,0,0,'Données projet'!$E$12+1,1))</f>
        <v>225.2323446080772</v>
      </c>
      <c r="CE135" s="59">
        <f t="shared" si="148"/>
        <v>222.29030402759292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15.492190321769272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15.492190321769272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213.00000000000003</v>
      </c>
      <c r="CU135" s="17">
        <f>CT135*VLOOKUP('Données projet'!$B$13,Paramètres!$A$1:$I$89,3,0)*VLOOKUP('Données projet'!$B$13,Paramètres!$A$1:$I$89,5,0)</f>
        <v>229.2732</v>
      </c>
      <c r="CV135" s="13">
        <f t="shared" si="149"/>
        <v>56.125501442527366</v>
      </c>
      <c r="CW135" s="20">
        <f t="shared" si="121"/>
        <v>497.06940501240177</v>
      </c>
      <c r="CX135" s="59">
        <f t="shared" si="122"/>
        <v>790.40273834573509</v>
      </c>
      <c r="CY135" s="59">
        <f ca="1">AVERAGE(OFFSET($CX$3,0,0,'Données projet'!$E$13+1,1))-AVERAGE(OFFSET($H$3,0,0,'Données projet'!$E$13+1,1))</f>
        <v>240.57184010337932</v>
      </c>
      <c r="CZ135" s="59">
        <f t="shared" si="150"/>
        <v>236.36473521227072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13.137787135776557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13.137787135776557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670.99999999999977</v>
      </c>
      <c r="DP135" s="17">
        <f>DO135*VLOOKUP('Données projet'!$B$14,Paramètres!$A$1:$I$89,3,0)*VLOOKUP('Données projet'!$B$14,Paramètres!$A$1:$I$89,5,0)</f>
        <v>314.02799999999991</v>
      </c>
      <c r="DQ135" s="13">
        <f t="shared" si="151"/>
        <v>74.109403804428752</v>
      </c>
      <c r="DR135" s="20">
        <f t="shared" si="124"/>
        <v>676.00597829271317</v>
      </c>
      <c r="DS135" s="59">
        <f t="shared" si="125"/>
        <v>969.33931162604654</v>
      </c>
      <c r="DT135" s="59">
        <f ca="1">AVERAGE(OFFSET($DS$3,0,0,'Données projet'!$E$14+1,1))-AVERAGE(OFFSET($H$3,0,0,'Données projet'!$E$14+1,1))</f>
        <v>304.29617570272939</v>
      </c>
      <c r="DU135" s="59">
        <f t="shared" si="152"/>
        <v>246.20695736161576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35.443989487347245</v>
      </c>
      <c r="EB135" s="21">
        <f>EXP(-LN(2)/25)*EB134+(1-EXP(-LN(2)/25))/(LN(2)/25)*Calculateur!DW135*Calculateur!DY135*VLOOKUP('Données projet'!$B$14,Paramètres!$A$1:$I$89,3,0)*0.475*44/12</f>
        <v>2.4198287757690085</v>
      </c>
      <c r="EC135" s="21">
        <f>EXP(-LN(2)/2)*EC134+(1-EXP(-LN(2)/2))/(LN(2)/2)*DW135*DZ135*VLOOKUP('Données projet'!$B$14,Paramètres!$A$1:$I$89,3,0)*0.475*44/12</f>
        <v>1.7471327902851414E-15</v>
      </c>
      <c r="ED135" s="22">
        <f t="shared" si="126"/>
        <v>37.863818263116251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477.9999999999996</v>
      </c>
      <c r="EK135" s="17">
        <f>EJ135*VLOOKUP('Données projet'!$B$15,Paramètres!$A$1:$I$89,3,0)*VLOOKUP('Données projet'!$B$15,Paramètres!$A$1:$I$89,5,0)</f>
        <v>285.84399999999977</v>
      </c>
      <c r="EL135" s="13">
        <f t="shared" si="153"/>
        <v>68.200525419065656</v>
      </c>
      <c r="EM135" s="20">
        <f t="shared" si="127"/>
        <v>616.62754843820551</v>
      </c>
      <c r="EN135" s="59">
        <f t="shared" si="128"/>
        <v>909.96088177153888</v>
      </c>
      <c r="EO135" s="59">
        <f ca="1">AVERAGE(OFFSET($EN$3,0,0,'Données projet'!$E$15+1,1))-AVERAGE(OFFSET($H$3,0,0,'Données projet'!$E$15+1,1))</f>
        <v>288.41846134875794</v>
      </c>
      <c r="EP135" s="59">
        <f t="shared" si="154"/>
        <v>248.93951719818972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25.642859145176935</v>
      </c>
      <c r="EW135" s="21">
        <f>EXP(-LN(2)/25)*EW134+(1-EXP(-LN(2)/25))/(LN(2)/25)*Calculateur!ER135*Calculateur!ET135*VLOOKUP('Données projet'!$B$15,Paramètres!$A$1:$I$89,3,0)*0.475*44/12</f>
        <v>1.651752817772564</v>
      </c>
      <c r="EX135" s="21">
        <f>EXP(-LN(2)/2)*EX134+(1-EXP(-LN(2)/2))/(LN(2)/2)*ER135*EU135*VLOOKUP('Données projet'!$B$15,Paramètres!$A$1:$I$89,3,0)*0.475*44/12</f>
        <v>2.1611494566391374E-16</v>
      </c>
      <c r="EY135" s="22">
        <f t="shared" si="129"/>
        <v>27.294611962949499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789.00000000000045</v>
      </c>
      <c r="FF135" s="17">
        <f>FE135*VLOOKUP('Données projet'!$B$16,Paramètres!$A$1:$I$89,3,0)*VLOOKUP('Données projet'!$B$16,Paramètres!$A$1:$I$89,5,0)</f>
        <v>358.99500000000023</v>
      </c>
      <c r="FG135" s="13">
        <f t="shared" si="155"/>
        <v>83.411930940690553</v>
      </c>
      <c r="FH135" s="20">
        <f t="shared" si="130"/>
        <v>770.52540472170313</v>
      </c>
      <c r="FI135" s="59">
        <f t="shared" si="131"/>
        <v>1063.8587380550364</v>
      </c>
      <c r="FJ135" s="59">
        <f ca="1">AVERAGE(OFFSET($FI$3,0,0,'Données projet'!$E$16+1,1))-AVERAGE(OFFSET($H$3,0,0,'Données projet'!$E$16+1,1))</f>
        <v>367.36535411813264</v>
      </c>
      <c r="FK135" s="59">
        <f t="shared" si="156"/>
        <v>293.19545174980556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31.332508727105207</v>
      </c>
      <c r="FR135" s="21">
        <f>EXP(-LN(2)/25)*FR134+(1-EXP(-LN(2)/25))/(LN(2)/25)*Calculateur!FM135*Calculateur!FO135*VLOOKUP('Données projet'!$B$16,Paramètres!$A$1:$I$89,3,0)*0.475*44/12</f>
        <v>2.5600838761772828</v>
      </c>
      <c r="FS135" s="21">
        <f>EXP(-LN(2)/2)*FS134+(1-EXP(-LN(2)/2))/(LN(2)/2)*FM135*FP135*VLOOKUP('Données projet'!$B$16,Paramètres!$A$1:$I$89,3,0)*0.475*44/12</f>
        <v>3.2172120928228839E-16</v>
      </c>
      <c r="FT135" s="22">
        <f t="shared" si="132"/>
        <v>33.892592603282488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669.99999999999989</v>
      </c>
      <c r="GA135" s="17">
        <f>FZ135*VLOOKUP('Données projet'!$B$17,Paramètres!$A$1:$I$89,3,0)*VLOOKUP('Données projet'!$B$17,Paramètres!$A$1:$I$89,5,0)</f>
        <v>322.26999999999992</v>
      </c>
      <c r="GB135" s="13">
        <f t="shared" si="157"/>
        <v>75.825476822885776</v>
      </c>
      <c r="GC135" s="20">
        <f t="shared" si="133"/>
        <v>693.34962213319261</v>
      </c>
      <c r="GD135" s="59">
        <f t="shared" si="134"/>
        <v>986.68295546652598</v>
      </c>
      <c r="GE135" s="59">
        <f ca="1">AVERAGE(OFFSET($GD$3,0,0,'Données projet'!$E$17+1,1))-AVERAGE(OFFSET($H$3,0,0,'Données projet'!$E$17+1,1))</f>
        <v>312.64506496298173</v>
      </c>
      <c r="GF135" s="59">
        <f t="shared" si="158"/>
        <v>259.97532509897508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40.447319047303871</v>
      </c>
      <c r="GM135" s="21">
        <f>EXP(-LN(2)/25)*GM134+(1-EXP(-LN(2)/25))/(LN(2)/25)*Calculateur!GH135*Calculateur!GJ135*VLOOKUP('Données projet'!$B$17,Paramètres!$A$1:$I$89,3,0)*0.475*44/12</f>
        <v>1.1574664428716541</v>
      </c>
      <c r="GN135" s="21">
        <f>EXP(-LN(2)/2)*GN134+(1-EXP(-LN(2)/2))/(LN(2)/2)*GH135*GK135*VLOOKUP('Données projet'!$B$17,Paramètres!$A$1:$I$89,3,0)*0.475*44/12</f>
        <v>1.7101564349351769E-15</v>
      </c>
      <c r="GO135" s="21">
        <f t="shared" si="135"/>
        <v>41.604785490175523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267</v>
      </c>
      <c r="GV135" s="17">
        <f>GU135*VLOOKUP('Données projet'!$B$18,Paramètres!$A$1:$I$89,3,0)*VLOOKUP('Données projet'!$B$18,Paramètres!$A$1:$I$89,5,0)</f>
        <v>270.738</v>
      </c>
      <c r="GW135" s="13">
        <f t="shared" si="159"/>
        <v>65.005866623551711</v>
      </c>
      <c r="GX135" s="20">
        <f t="shared" si="136"/>
        <v>584.7539010360191</v>
      </c>
      <c r="GY135" s="59">
        <f t="shared" si="137"/>
        <v>878.08723436935247</v>
      </c>
      <c r="GZ135" s="59">
        <f ca="1">AVERAGE(OFFSET($GY$3,0,0,'Données projet'!$E$18+1,1))-AVERAGE(OFFSET($H$3,0,0,'Données projet'!$E$18+1,1))</f>
        <v>308.80022073574963</v>
      </c>
      <c r="HA135" s="59">
        <f t="shared" si="160"/>
        <v>183.96267407004115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60.494342595267788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60.494342595267788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344.49457749226184</v>
      </c>
      <c r="T136" s="59">
        <f t="shared" si="142"/>
        <v>207.92972431357452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208.99999999999989</v>
      </c>
      <c r="AJ136" s="13">
        <f>AI136*VLOOKUP('Données projet'!$B$10,Paramètres!$A$1:$I$89,3,0)*VLOOKUP('Données projet'!$B$10,Paramètres!$A$1:$I$89,5,0)</f>
        <v>189.1031999999999</v>
      </c>
      <c r="AK136" s="13">
        <f t="shared" si="143"/>
        <v>47.34162854278712</v>
      </c>
      <c r="AL136" s="20">
        <f t="shared" si="112"/>
        <v>411.80807637868742</v>
      </c>
      <c r="AM136" s="59">
        <f t="shared" si="113"/>
        <v>705.14140971202073</v>
      </c>
      <c r="AN136" s="59">
        <f ca="1">AVERAGE(OFFSET($AM$3,0,0,'Données projet'!$E$10+1,1))-AVERAGE(OFFSET($H$3,0,0,'Données projet'!$E$10+1,1))</f>
        <v>183.0147113277086</v>
      </c>
      <c r="AO136" s="59">
        <f t="shared" si="144"/>
        <v>76.413905647258389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39.765359271372304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39.765359271372304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253.79640000000001</v>
      </c>
      <c r="BF136" s="13">
        <f t="shared" si="145"/>
        <v>61.39816832228076</v>
      </c>
      <c r="BG136" s="20">
        <f t="shared" si="115"/>
        <v>548.96387316130563</v>
      </c>
      <c r="BH136" s="59">
        <f t="shared" si="116"/>
        <v>842.29720649463889</v>
      </c>
      <c r="BI136" s="59">
        <f ca="1">AVERAGE(OFFSET($BH$3,0,0,'Données projet'!$E$11+1,1))-AVERAGE(OFFSET($H$3,0,0,'Données projet'!$E$11+1,1))</f>
        <v>279.49721661620544</v>
      </c>
      <c r="BJ136" s="59">
        <f t="shared" si="146"/>
        <v>275.18739333988754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18.612591385163807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18.612591385163807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754.68411025369562</v>
      </c>
      <c r="CD136" s="59">
        <f ca="1">AVERAGE(OFFSET($CC$3,0,0,'Données projet'!$E$12+1,1))-AVERAGE(OFFSET($H$3,0,0,'Données projet'!$E$12+1,1))</f>
        <v>225.2323446080772</v>
      </c>
      <c r="CE136" s="59">
        <f t="shared" si="148"/>
        <v>222.29030402759292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15.188397918862432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15.188397918862432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213.00000000000003</v>
      </c>
      <c r="CU136" s="17">
        <f>CT136*VLOOKUP('Données projet'!$B$13,Paramètres!$A$1:$I$89,3,0)*VLOOKUP('Données projet'!$B$13,Paramètres!$A$1:$I$89,5,0)</f>
        <v>229.2732</v>
      </c>
      <c r="CV136" s="13">
        <f t="shared" si="149"/>
        <v>56.125501442527366</v>
      </c>
      <c r="CW136" s="20">
        <f t="shared" si="121"/>
        <v>497.06940501240177</v>
      </c>
      <c r="CX136" s="59">
        <f t="shared" si="122"/>
        <v>790.40273834573509</v>
      </c>
      <c r="CY136" s="59">
        <f ca="1">AVERAGE(OFFSET($CX$3,0,0,'Données projet'!$E$13+1,1))-AVERAGE(OFFSET($H$3,0,0,'Données projet'!$E$13+1,1))</f>
        <v>240.57184010337932</v>
      </c>
      <c r="CZ136" s="59">
        <f t="shared" si="150"/>
        <v>236.36473521227072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12.880163143302889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12.880163143302889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670.99999999999977</v>
      </c>
      <c r="DP136" s="17">
        <f>DO136*VLOOKUP('Données projet'!$B$14,Paramètres!$A$1:$I$89,3,0)*VLOOKUP('Données projet'!$B$14,Paramètres!$A$1:$I$89,5,0)</f>
        <v>314.02799999999991</v>
      </c>
      <c r="DQ136" s="13">
        <f t="shared" si="151"/>
        <v>74.109403804428752</v>
      </c>
      <c r="DR136" s="20">
        <f t="shared" si="124"/>
        <v>676.00597829271317</v>
      </c>
      <c r="DS136" s="59">
        <f t="shared" si="125"/>
        <v>969.33931162604654</v>
      </c>
      <c r="DT136" s="59">
        <f ca="1">AVERAGE(OFFSET($DS$3,0,0,'Données projet'!$E$14+1,1))-AVERAGE(OFFSET($H$3,0,0,'Données projet'!$E$14+1,1))</f>
        <v>304.29617570272939</v>
      </c>
      <c r="DU136" s="59">
        <f t="shared" si="152"/>
        <v>246.20695736161576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34.748954472199287</v>
      </c>
      <c r="EB136" s="21">
        <f>EXP(-LN(2)/25)*EB135+(1-EXP(-LN(2)/25))/(LN(2)/25)*Calculateur!DW136*Calculateur!DY136*VLOOKUP('Données projet'!$B$14,Paramètres!$A$1:$I$89,3,0)*0.475*44/12</f>
        <v>2.3536584306423403</v>
      </c>
      <c r="EC136" s="21">
        <f>EXP(-LN(2)/2)*EC135+(1-EXP(-LN(2)/2))/(LN(2)/2)*DW136*DZ136*VLOOKUP('Données projet'!$B$14,Paramètres!$A$1:$I$89,3,0)*0.475*44/12</f>
        <v>1.2354094436439978E-15</v>
      </c>
      <c r="ED136" s="22">
        <f t="shared" si="126"/>
        <v>37.102612902841628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477.9999999999996</v>
      </c>
      <c r="EK136" s="17">
        <f>EJ136*VLOOKUP('Données projet'!$B$15,Paramètres!$A$1:$I$89,3,0)*VLOOKUP('Données projet'!$B$15,Paramètres!$A$1:$I$89,5,0)</f>
        <v>285.84399999999977</v>
      </c>
      <c r="EL136" s="13">
        <f t="shared" si="153"/>
        <v>68.200525419065656</v>
      </c>
      <c r="EM136" s="20">
        <f t="shared" si="127"/>
        <v>616.62754843820551</v>
      </c>
      <c r="EN136" s="59">
        <f t="shared" si="128"/>
        <v>909.96088177153888</v>
      </c>
      <c r="EO136" s="59">
        <f ca="1">AVERAGE(OFFSET($EN$3,0,0,'Données projet'!$E$15+1,1))-AVERAGE(OFFSET($H$3,0,0,'Données projet'!$E$15+1,1))</f>
        <v>288.41846134875794</v>
      </c>
      <c r="EP136" s="59">
        <f t="shared" si="154"/>
        <v>248.93951719818972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25.140018317939713</v>
      </c>
      <c r="EW136" s="21">
        <f>EXP(-LN(2)/25)*EW135+(1-EXP(-LN(2)/25))/(LN(2)/25)*Calculateur!ER136*Calculateur!ET136*VLOOKUP('Données projet'!$B$15,Paramètres!$A$1:$I$89,3,0)*0.475*44/12</f>
        <v>1.6065855501086677</v>
      </c>
      <c r="EX136" s="21">
        <f>EXP(-LN(2)/2)*EX135+(1-EXP(-LN(2)/2))/(LN(2)/2)*ER136*EU136*VLOOKUP('Données projet'!$B$15,Paramètres!$A$1:$I$89,3,0)*0.475*44/12</f>
        <v>1.5281634359471567E-16</v>
      </c>
      <c r="EY136" s="22">
        <f t="shared" si="129"/>
        <v>26.746603868048382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789.00000000000045</v>
      </c>
      <c r="FF136" s="17">
        <f>FE136*VLOOKUP('Données projet'!$B$16,Paramètres!$A$1:$I$89,3,0)*VLOOKUP('Données projet'!$B$16,Paramètres!$A$1:$I$89,5,0)</f>
        <v>358.99500000000023</v>
      </c>
      <c r="FG136" s="13">
        <f t="shared" si="155"/>
        <v>83.411930940690553</v>
      </c>
      <c r="FH136" s="20">
        <f t="shared" si="130"/>
        <v>770.52540472170313</v>
      </c>
      <c r="FI136" s="59">
        <f t="shared" si="131"/>
        <v>1063.8587380550364</v>
      </c>
      <c r="FJ136" s="59">
        <f ca="1">AVERAGE(OFFSET($FI$3,0,0,'Données projet'!$E$16+1,1))-AVERAGE(OFFSET($H$3,0,0,'Données projet'!$E$16+1,1))</f>
        <v>367.36535411813264</v>
      </c>
      <c r="FK136" s="59">
        <f t="shared" si="156"/>
        <v>293.19545174980556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30.718097341909949</v>
      </c>
      <c r="FR136" s="21">
        <f>EXP(-LN(2)/25)*FR135+(1-EXP(-LN(2)/25))/(LN(2)/25)*Calculateur!FM136*Calculateur!FO136*VLOOKUP('Données projet'!$B$16,Paramètres!$A$1:$I$89,3,0)*0.475*44/12</f>
        <v>2.4900782479542549</v>
      </c>
      <c r="FS136" s="21">
        <f>EXP(-LN(2)/2)*FS135+(1-EXP(-LN(2)/2))/(LN(2)/2)*FM136*FP136*VLOOKUP('Données projet'!$B$16,Paramètres!$A$1:$I$89,3,0)*0.475*44/12</f>
        <v>2.2749124873504255E-16</v>
      </c>
      <c r="FT136" s="22">
        <f t="shared" si="132"/>
        <v>33.208175589864204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669.99999999999989</v>
      </c>
      <c r="GA136" s="17">
        <f>FZ136*VLOOKUP('Données projet'!$B$17,Paramètres!$A$1:$I$89,3,0)*VLOOKUP('Données projet'!$B$17,Paramètres!$A$1:$I$89,5,0)</f>
        <v>322.26999999999992</v>
      </c>
      <c r="GB136" s="13">
        <f t="shared" si="157"/>
        <v>75.825476822885776</v>
      </c>
      <c r="GC136" s="20">
        <f t="shared" si="133"/>
        <v>693.34962213319261</v>
      </c>
      <c r="GD136" s="59">
        <f t="shared" si="134"/>
        <v>986.68295546652598</v>
      </c>
      <c r="GE136" s="59">
        <f ca="1">AVERAGE(OFFSET($GD$3,0,0,'Données projet'!$E$17+1,1))-AVERAGE(OFFSET($H$3,0,0,'Données projet'!$E$17+1,1))</f>
        <v>312.64506496298173</v>
      </c>
      <c r="GF136" s="59">
        <f t="shared" si="158"/>
        <v>259.97532509897508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39.654171791214857</v>
      </c>
      <c r="GM136" s="21">
        <f>EXP(-LN(2)/25)*GM135+(1-EXP(-LN(2)/25))/(LN(2)/25)*Calculateur!GH136*Calculateur!GJ136*VLOOKUP('Données projet'!$B$17,Paramètres!$A$1:$I$89,3,0)*0.475*44/12</f>
        <v>1.125815462122814</v>
      </c>
      <c r="GN136" s="21">
        <f>EXP(-LN(2)/2)*GN135+(1-EXP(-LN(2)/2))/(LN(2)/2)*GH136*GK136*VLOOKUP('Données projet'!$B$17,Paramètres!$A$1:$I$89,3,0)*0.475*44/12</f>
        <v>1.2092632120324744E-15</v>
      </c>
      <c r="GO136" s="21">
        <f t="shared" si="135"/>
        <v>40.779987253337673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267</v>
      </c>
      <c r="GV136" s="17">
        <f>GU136*VLOOKUP('Données projet'!$B$18,Paramètres!$A$1:$I$89,3,0)*VLOOKUP('Données projet'!$B$18,Paramètres!$A$1:$I$89,5,0)</f>
        <v>270.738</v>
      </c>
      <c r="GW136" s="13">
        <f t="shared" si="159"/>
        <v>65.005866623551711</v>
      </c>
      <c r="GX136" s="20">
        <f t="shared" si="136"/>
        <v>584.7539010360191</v>
      </c>
      <c r="GY136" s="59">
        <f t="shared" si="137"/>
        <v>878.08723436935247</v>
      </c>
      <c r="GZ136" s="59">
        <f ca="1">AVERAGE(OFFSET($GY$3,0,0,'Données projet'!$E$18+1,1))-AVERAGE(OFFSET($H$3,0,0,'Données projet'!$E$18+1,1))</f>
        <v>308.80022073574963</v>
      </c>
      <c r="HA136" s="59">
        <f t="shared" si="160"/>
        <v>183.96267407004115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59.308085434880205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59.308085434880205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344.49457749226184</v>
      </c>
      <c r="T137" s="59">
        <f t="shared" si="142"/>
        <v>207.92972431357452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208.99999999999989</v>
      </c>
      <c r="AJ137" s="13">
        <f>AI137*VLOOKUP('Données projet'!$B$10,Paramètres!$A$1:$I$89,3,0)*VLOOKUP('Données projet'!$B$10,Paramètres!$A$1:$I$89,5,0)</f>
        <v>189.1031999999999</v>
      </c>
      <c r="AK137" s="13">
        <f t="shared" si="143"/>
        <v>47.34162854278712</v>
      </c>
      <c r="AL137" s="20">
        <f t="shared" si="112"/>
        <v>411.80807637868742</v>
      </c>
      <c r="AM137" s="59">
        <f t="shared" si="113"/>
        <v>705.14140971202073</v>
      </c>
      <c r="AN137" s="59">
        <f ca="1">AVERAGE(OFFSET($AM$3,0,0,'Données projet'!$E$10+1,1))-AVERAGE(OFFSET($H$3,0,0,'Données projet'!$E$10+1,1))</f>
        <v>183.0147113277086</v>
      </c>
      <c r="AO137" s="59">
        <f t="shared" si="144"/>
        <v>76.413905647258389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38.985584830534918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38.985584830534918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253.79640000000001</v>
      </c>
      <c r="BF137" s="13">
        <f t="shared" si="145"/>
        <v>61.39816832228076</v>
      </c>
      <c r="BG137" s="20">
        <f t="shared" si="115"/>
        <v>548.96387316130563</v>
      </c>
      <c r="BH137" s="59">
        <f t="shared" si="116"/>
        <v>842.29720649463889</v>
      </c>
      <c r="BI137" s="59">
        <f ca="1">AVERAGE(OFFSET($BH$3,0,0,'Données projet'!$E$11+1,1))-AVERAGE(OFFSET($H$3,0,0,'Données projet'!$E$11+1,1))</f>
        <v>279.49721661620544</v>
      </c>
      <c r="BJ137" s="59">
        <f t="shared" si="146"/>
        <v>275.18739333988754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18.247609820660518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18.247609820660518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754.68411025369562</v>
      </c>
      <c r="CD137" s="59">
        <f ca="1">AVERAGE(OFFSET($CC$3,0,0,'Données projet'!$E$12+1,1))-AVERAGE(OFFSET($H$3,0,0,'Données projet'!$E$12+1,1))</f>
        <v>225.2323446080772</v>
      </c>
      <c r="CE137" s="59">
        <f t="shared" si="148"/>
        <v>222.29030402759292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14.890562699681524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14.890562699681524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213.00000000000003</v>
      </c>
      <c r="CU137" s="17">
        <f>CT137*VLOOKUP('Données projet'!$B$13,Paramètres!$A$1:$I$89,3,0)*VLOOKUP('Données projet'!$B$13,Paramètres!$A$1:$I$89,5,0)</f>
        <v>229.2732</v>
      </c>
      <c r="CV137" s="13">
        <f t="shared" si="149"/>
        <v>56.125501442527366</v>
      </c>
      <c r="CW137" s="20">
        <f t="shared" si="121"/>
        <v>497.06940501240177</v>
      </c>
      <c r="CX137" s="59">
        <f t="shared" si="122"/>
        <v>790.40273834573509</v>
      </c>
      <c r="CY137" s="59">
        <f ca="1">AVERAGE(OFFSET($CX$3,0,0,'Données projet'!$E$13+1,1))-AVERAGE(OFFSET($H$3,0,0,'Données projet'!$E$13+1,1))</f>
        <v>240.57184010337932</v>
      </c>
      <c r="CZ137" s="59">
        <f t="shared" si="150"/>
        <v>236.36473521227072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12.627591000186509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12.627591000186509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670.99999999999977</v>
      </c>
      <c r="DP137" s="17">
        <f>DO137*VLOOKUP('Données projet'!$B$14,Paramètres!$A$1:$I$89,3,0)*VLOOKUP('Données projet'!$B$14,Paramètres!$A$1:$I$89,5,0)</f>
        <v>314.02799999999991</v>
      </c>
      <c r="DQ137" s="13">
        <f t="shared" si="151"/>
        <v>74.109403804428752</v>
      </c>
      <c r="DR137" s="20">
        <f t="shared" si="124"/>
        <v>676.00597829271317</v>
      </c>
      <c r="DS137" s="59">
        <f t="shared" si="125"/>
        <v>969.33931162604654</v>
      </c>
      <c r="DT137" s="59">
        <f ca="1">AVERAGE(OFFSET($DS$3,0,0,'Données projet'!$E$14+1,1))-AVERAGE(OFFSET($H$3,0,0,'Données projet'!$E$14+1,1))</f>
        <v>304.29617570272939</v>
      </c>
      <c r="DU137" s="59">
        <f t="shared" si="152"/>
        <v>246.20695736161576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34.067548669768875</v>
      </c>
      <c r="EB137" s="21">
        <f>EXP(-LN(2)/25)*EB136+(1-EXP(-LN(2)/25))/(LN(2)/25)*Calculateur!DW137*Calculateur!DY137*VLOOKUP('Données projet'!$B$14,Paramètres!$A$1:$I$89,3,0)*0.475*44/12</f>
        <v>2.289297517082908</v>
      </c>
      <c r="EC137" s="21">
        <f>EXP(-LN(2)/2)*EC136+(1-EXP(-LN(2)/2))/(LN(2)/2)*DW137*DZ137*VLOOKUP('Données projet'!$B$14,Paramètres!$A$1:$I$89,3,0)*0.475*44/12</f>
        <v>8.735663951425708E-16</v>
      </c>
      <c r="ED137" s="22">
        <f t="shared" si="126"/>
        <v>36.356846186851783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477.9999999999996</v>
      </c>
      <c r="EK137" s="17">
        <f>EJ137*VLOOKUP('Données projet'!$B$15,Paramètres!$A$1:$I$89,3,0)*VLOOKUP('Données projet'!$B$15,Paramètres!$A$1:$I$89,5,0)</f>
        <v>285.84399999999977</v>
      </c>
      <c r="EL137" s="13">
        <f t="shared" si="153"/>
        <v>68.200525419065656</v>
      </c>
      <c r="EM137" s="20">
        <f t="shared" si="127"/>
        <v>616.62754843820551</v>
      </c>
      <c r="EN137" s="59">
        <f t="shared" si="128"/>
        <v>909.96088177153888</v>
      </c>
      <c r="EO137" s="59">
        <f ca="1">AVERAGE(OFFSET($EN$3,0,0,'Données projet'!$E$15+1,1))-AVERAGE(OFFSET($H$3,0,0,'Données projet'!$E$15+1,1))</f>
        <v>288.41846134875794</v>
      </c>
      <c r="EP137" s="59">
        <f t="shared" si="154"/>
        <v>248.93951719818972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24.647037892621992</v>
      </c>
      <c r="EW137" s="21">
        <f>EXP(-LN(2)/25)*EW136+(1-EXP(-LN(2)/25))/(LN(2)/25)*Calculateur!ER137*Calculateur!ET137*VLOOKUP('Données projet'!$B$15,Paramètres!$A$1:$I$89,3,0)*0.475*44/12</f>
        <v>1.562653383754284</v>
      </c>
      <c r="EX137" s="21">
        <f>EXP(-LN(2)/2)*EX136+(1-EXP(-LN(2)/2))/(LN(2)/2)*ER137*EU137*VLOOKUP('Données projet'!$B$15,Paramètres!$A$1:$I$89,3,0)*0.475*44/12</f>
        <v>1.0805747283195688E-16</v>
      </c>
      <c r="EY137" s="22">
        <f t="shared" si="129"/>
        <v>26.209691276376276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789.00000000000045</v>
      </c>
      <c r="FF137" s="17">
        <f>FE137*VLOOKUP('Données projet'!$B$16,Paramètres!$A$1:$I$89,3,0)*VLOOKUP('Données projet'!$B$16,Paramètres!$A$1:$I$89,5,0)</f>
        <v>358.99500000000023</v>
      </c>
      <c r="FG137" s="13">
        <f t="shared" si="155"/>
        <v>83.411930940690553</v>
      </c>
      <c r="FH137" s="20">
        <f t="shared" si="130"/>
        <v>770.52540472170313</v>
      </c>
      <c r="FI137" s="59">
        <f t="shared" si="131"/>
        <v>1063.8587380550364</v>
      </c>
      <c r="FJ137" s="59">
        <f ca="1">AVERAGE(OFFSET($FI$3,0,0,'Données projet'!$E$16+1,1))-AVERAGE(OFFSET($H$3,0,0,'Données projet'!$E$16+1,1))</f>
        <v>367.36535411813264</v>
      </c>
      <c r="FK137" s="59">
        <f t="shared" si="156"/>
        <v>293.19545174980556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30.11573418922443</v>
      </c>
      <c r="FR137" s="21">
        <f>EXP(-LN(2)/25)*FR136+(1-EXP(-LN(2)/25))/(LN(2)/25)*Calculateur!FM137*Calculateur!FO137*VLOOKUP('Données projet'!$B$16,Paramètres!$A$1:$I$89,3,0)*0.475*44/12</f>
        <v>2.4219869273164218</v>
      </c>
      <c r="FS137" s="21">
        <f>EXP(-LN(2)/2)*FS136+(1-EXP(-LN(2)/2))/(LN(2)/2)*FM137*FP137*VLOOKUP('Données projet'!$B$16,Paramètres!$A$1:$I$89,3,0)*0.475*44/12</f>
        <v>1.608606046411442E-16</v>
      </c>
      <c r="FT137" s="22">
        <f t="shared" si="132"/>
        <v>32.537721116540851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669.99999999999989</v>
      </c>
      <c r="GA137" s="17">
        <f>FZ137*VLOOKUP('Données projet'!$B$17,Paramètres!$A$1:$I$89,3,0)*VLOOKUP('Données projet'!$B$17,Paramètres!$A$1:$I$89,5,0)</f>
        <v>322.26999999999992</v>
      </c>
      <c r="GB137" s="13">
        <f t="shared" si="157"/>
        <v>75.825476822885776</v>
      </c>
      <c r="GC137" s="20">
        <f t="shared" si="133"/>
        <v>693.34962213319261</v>
      </c>
      <c r="GD137" s="59">
        <f t="shared" si="134"/>
        <v>986.68295546652598</v>
      </c>
      <c r="GE137" s="59">
        <f ca="1">AVERAGE(OFFSET($GD$3,0,0,'Données projet'!$E$17+1,1))-AVERAGE(OFFSET($H$3,0,0,'Données projet'!$E$17+1,1))</f>
        <v>312.64506496298173</v>
      </c>
      <c r="GF137" s="59">
        <f t="shared" si="158"/>
        <v>259.97532509897508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38.876577669045695</v>
      </c>
      <c r="GM137" s="21">
        <f>EXP(-LN(2)/25)*GM136+(1-EXP(-LN(2)/25))/(LN(2)/25)*Calculateur!GH137*Calculateur!GJ137*VLOOKUP('Données projet'!$B$17,Paramètres!$A$1:$I$89,3,0)*0.475*44/12</f>
        <v>1.0950299791070035</v>
      </c>
      <c r="GN137" s="21">
        <f>EXP(-LN(2)/2)*GN136+(1-EXP(-LN(2)/2))/(LN(2)/2)*GH137*GK137*VLOOKUP('Données projet'!$B$17,Paramètres!$A$1:$I$89,3,0)*0.475*44/12</f>
        <v>8.5507821746758847E-16</v>
      </c>
      <c r="GO137" s="21">
        <f t="shared" si="135"/>
        <v>39.971607648152698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267</v>
      </c>
      <c r="GV137" s="17">
        <f>GU137*VLOOKUP('Données projet'!$B$18,Paramètres!$A$1:$I$89,3,0)*VLOOKUP('Données projet'!$B$18,Paramètres!$A$1:$I$89,5,0)</f>
        <v>270.738</v>
      </c>
      <c r="GW137" s="13">
        <f t="shared" si="159"/>
        <v>65.005866623551711</v>
      </c>
      <c r="GX137" s="20">
        <f t="shared" si="136"/>
        <v>584.7539010360191</v>
      </c>
      <c r="GY137" s="59">
        <f t="shared" si="137"/>
        <v>878.08723436935247</v>
      </c>
      <c r="GZ137" s="59">
        <f ca="1">AVERAGE(OFFSET($GY$3,0,0,'Données projet'!$E$18+1,1))-AVERAGE(OFFSET($H$3,0,0,'Données projet'!$E$18+1,1))</f>
        <v>308.80022073574963</v>
      </c>
      <c r="HA137" s="59">
        <f t="shared" si="160"/>
        <v>183.96267407004115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58.145090053862397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58.145090053862397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344.49457749226184</v>
      </c>
      <c r="T138" s="59">
        <f t="shared" si="142"/>
        <v>207.92972431357452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208.99999999999989</v>
      </c>
      <c r="AJ138" s="13">
        <f>AI138*VLOOKUP('Données projet'!$B$10,Paramètres!$A$1:$I$89,3,0)*VLOOKUP('Données projet'!$B$10,Paramètres!$A$1:$I$89,5,0)</f>
        <v>189.1031999999999</v>
      </c>
      <c r="AK138" s="13">
        <f t="shared" si="143"/>
        <v>47.34162854278712</v>
      </c>
      <c r="AL138" s="20">
        <f t="shared" si="112"/>
        <v>411.80807637868742</v>
      </c>
      <c r="AM138" s="59">
        <f t="shared" si="113"/>
        <v>705.14140971202073</v>
      </c>
      <c r="AN138" s="59">
        <f ca="1">AVERAGE(OFFSET($AM$3,0,0,'Données projet'!$E$10+1,1))-AVERAGE(OFFSET($H$3,0,0,'Données projet'!$E$10+1,1))</f>
        <v>183.0147113277086</v>
      </c>
      <c r="AO138" s="59">
        <f t="shared" si="144"/>
        <v>76.413905647258389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38.221101290866905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38.221101290866905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253.79640000000001</v>
      </c>
      <c r="BF138" s="13">
        <f t="shared" si="145"/>
        <v>61.39816832228076</v>
      </c>
      <c r="BG138" s="20">
        <f t="shared" si="115"/>
        <v>548.96387316130563</v>
      </c>
      <c r="BH138" s="59">
        <f t="shared" si="116"/>
        <v>842.29720649463889</v>
      </c>
      <c r="BI138" s="59">
        <f ca="1">AVERAGE(OFFSET($BH$3,0,0,'Données projet'!$E$11+1,1))-AVERAGE(OFFSET($H$3,0,0,'Données projet'!$E$11+1,1))</f>
        <v>279.49721661620544</v>
      </c>
      <c r="BJ138" s="59">
        <f t="shared" si="146"/>
        <v>275.18739333988754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17.889785322020366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17.889785322020366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754.68411025369562</v>
      </c>
      <c r="CD138" s="59">
        <f ca="1">AVERAGE(OFFSET($CC$3,0,0,'Données projet'!$E$12+1,1))-AVERAGE(OFFSET($H$3,0,0,'Données projet'!$E$12+1,1))</f>
        <v>225.2323446080772</v>
      </c>
      <c r="CE138" s="59">
        <f t="shared" si="148"/>
        <v>222.29030402759292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14.598567847487208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14.598567847487208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213.00000000000003</v>
      </c>
      <c r="CU138" s="17">
        <f>CT138*VLOOKUP('Données projet'!$B$13,Paramètres!$A$1:$I$89,3,0)*VLOOKUP('Données projet'!$B$13,Paramètres!$A$1:$I$89,5,0)</f>
        <v>229.2732</v>
      </c>
      <c r="CV138" s="13">
        <f t="shared" si="149"/>
        <v>56.125501442527366</v>
      </c>
      <c r="CW138" s="20">
        <f t="shared" si="121"/>
        <v>497.06940501240177</v>
      </c>
      <c r="CX138" s="59">
        <f t="shared" si="122"/>
        <v>790.40273834573509</v>
      </c>
      <c r="CY138" s="59">
        <f ca="1">AVERAGE(OFFSET($CX$3,0,0,'Données projet'!$E$13+1,1))-AVERAGE(OFFSET($H$3,0,0,'Données projet'!$E$13+1,1))</f>
        <v>240.57184010337932</v>
      </c>
      <c r="CZ138" s="59">
        <f t="shared" si="150"/>
        <v>236.36473521227072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12.379971642742845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12.379971642742845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670.99999999999977</v>
      </c>
      <c r="DP138" s="17">
        <f>DO138*VLOOKUP('Données projet'!$B$14,Paramètres!$A$1:$I$89,3,0)*VLOOKUP('Données projet'!$B$14,Paramètres!$A$1:$I$89,5,0)</f>
        <v>314.02799999999991</v>
      </c>
      <c r="DQ138" s="13">
        <f t="shared" si="151"/>
        <v>74.109403804428752</v>
      </c>
      <c r="DR138" s="20">
        <f t="shared" si="124"/>
        <v>676.00597829271317</v>
      </c>
      <c r="DS138" s="59">
        <f t="shared" si="125"/>
        <v>969.33931162604654</v>
      </c>
      <c r="DT138" s="59">
        <f ca="1">AVERAGE(OFFSET($DS$3,0,0,'Données projet'!$E$14+1,1))-AVERAGE(OFFSET($H$3,0,0,'Données projet'!$E$14+1,1))</f>
        <v>304.29617570272939</v>
      </c>
      <c r="DU138" s="59">
        <f t="shared" si="152"/>
        <v>246.20695736161576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33.399504819507627</v>
      </c>
      <c r="EB138" s="21">
        <f>EXP(-LN(2)/25)*EB137+(1-EXP(-LN(2)/25))/(LN(2)/25)*Calculateur!DW138*Calculateur!DY138*VLOOKUP('Données projet'!$B$14,Paramètres!$A$1:$I$89,3,0)*0.475*44/12</f>
        <v>2.2266965560893515</v>
      </c>
      <c r="EC138" s="21">
        <f>EXP(-LN(2)/2)*EC137+(1-EXP(-LN(2)/2))/(LN(2)/2)*DW138*DZ138*VLOOKUP('Données projet'!$B$14,Paramètres!$A$1:$I$89,3,0)*0.475*44/12</f>
        <v>6.17704721821999E-16</v>
      </c>
      <c r="ED138" s="22">
        <f t="shared" si="126"/>
        <v>35.626201375596978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477.9999999999996</v>
      </c>
      <c r="EK138" s="17">
        <f>EJ138*VLOOKUP('Données projet'!$B$15,Paramètres!$A$1:$I$89,3,0)*VLOOKUP('Données projet'!$B$15,Paramètres!$A$1:$I$89,5,0)</f>
        <v>285.84399999999977</v>
      </c>
      <c r="EL138" s="13">
        <f t="shared" si="153"/>
        <v>68.200525419065656</v>
      </c>
      <c r="EM138" s="20">
        <f t="shared" si="127"/>
        <v>616.62754843820551</v>
      </c>
      <c r="EN138" s="59">
        <f t="shared" si="128"/>
        <v>909.96088177153888</v>
      </c>
      <c r="EO138" s="59">
        <f ca="1">AVERAGE(OFFSET($EN$3,0,0,'Données projet'!$E$15+1,1))-AVERAGE(OFFSET($H$3,0,0,'Données projet'!$E$15+1,1))</f>
        <v>288.41846134875794</v>
      </c>
      <c r="EP138" s="59">
        <f t="shared" si="154"/>
        <v>248.93951719818972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24.163724512756382</v>
      </c>
      <c r="EW138" s="21">
        <f>EXP(-LN(2)/25)*EW137+(1-EXP(-LN(2)/25))/(LN(2)/25)*Calculateur!ER138*Calculateur!ET138*VLOOKUP('Données projet'!$B$15,Paramètres!$A$1:$I$89,3,0)*0.475*44/12</f>
        <v>1.5199225447991531</v>
      </c>
      <c r="EX138" s="21">
        <f>EXP(-LN(2)/2)*EX137+(1-EXP(-LN(2)/2))/(LN(2)/2)*ER138*EU138*VLOOKUP('Données projet'!$B$15,Paramètres!$A$1:$I$89,3,0)*0.475*44/12</f>
        <v>7.6408171797357846E-17</v>
      </c>
      <c r="EY138" s="22">
        <f t="shared" si="129"/>
        <v>25.683647057555536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789.00000000000045</v>
      </c>
      <c r="FF138" s="17">
        <f>FE138*VLOOKUP('Données projet'!$B$16,Paramètres!$A$1:$I$89,3,0)*VLOOKUP('Données projet'!$B$16,Paramètres!$A$1:$I$89,5,0)</f>
        <v>358.99500000000023</v>
      </c>
      <c r="FG138" s="13">
        <f t="shared" si="155"/>
        <v>83.411930940690553</v>
      </c>
      <c r="FH138" s="20">
        <f t="shared" si="130"/>
        <v>770.52540472170313</v>
      </c>
      <c r="FI138" s="59">
        <f t="shared" si="131"/>
        <v>1063.8587380550364</v>
      </c>
      <c r="FJ138" s="59">
        <f ca="1">AVERAGE(OFFSET($FI$3,0,0,'Données projet'!$E$16+1,1))-AVERAGE(OFFSET($H$3,0,0,'Données projet'!$E$16+1,1))</f>
        <v>367.36535411813264</v>
      </c>
      <c r="FK138" s="59">
        <f t="shared" si="156"/>
        <v>293.19545174980556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29.525183010557829</v>
      </c>
      <c r="FR138" s="21">
        <f>EXP(-LN(2)/25)*FR137+(1-EXP(-LN(2)/25))/(LN(2)/25)*Calculateur!FM138*Calculateur!FO138*VLOOKUP('Données projet'!$B$16,Paramètres!$A$1:$I$89,3,0)*0.475*44/12</f>
        <v>2.3557575674221973</v>
      </c>
      <c r="FS138" s="21">
        <f>EXP(-LN(2)/2)*FS137+(1-EXP(-LN(2)/2))/(LN(2)/2)*FM138*FP138*VLOOKUP('Données projet'!$B$16,Paramètres!$A$1:$I$89,3,0)*0.475*44/12</f>
        <v>1.1374562436752128E-16</v>
      </c>
      <c r="FT138" s="22">
        <f t="shared" si="132"/>
        <v>31.880940577980027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669.99999999999989</v>
      </c>
      <c r="GA138" s="17">
        <f>FZ138*VLOOKUP('Données projet'!$B$17,Paramètres!$A$1:$I$89,3,0)*VLOOKUP('Données projet'!$B$17,Paramètres!$A$1:$I$89,5,0)</f>
        <v>322.26999999999992</v>
      </c>
      <c r="GB138" s="13">
        <f t="shared" si="157"/>
        <v>75.825476822885776</v>
      </c>
      <c r="GC138" s="20">
        <f t="shared" si="133"/>
        <v>693.34962213319261</v>
      </c>
      <c r="GD138" s="59">
        <f t="shared" si="134"/>
        <v>986.68295546652598</v>
      </c>
      <c r="GE138" s="59">
        <f ca="1">AVERAGE(OFFSET($GD$3,0,0,'Données projet'!$E$17+1,1))-AVERAGE(OFFSET($H$3,0,0,'Données projet'!$E$17+1,1))</f>
        <v>312.64506496298173</v>
      </c>
      <c r="GF138" s="59">
        <f t="shared" si="158"/>
        <v>259.97532509897508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38.114231693326687</v>
      </c>
      <c r="GM138" s="21">
        <f>EXP(-LN(2)/25)*GM137+(1-EXP(-LN(2)/25))/(LN(2)/25)*Calculateur!GH138*Calculateur!GJ138*VLOOKUP('Données projet'!$B$17,Paramètres!$A$1:$I$89,3,0)*0.475*44/12</f>
        <v>1.0650863267431987</v>
      </c>
      <c r="GN138" s="21">
        <f>EXP(-LN(2)/2)*GN137+(1-EXP(-LN(2)/2))/(LN(2)/2)*GH138*GK138*VLOOKUP('Données projet'!$B$17,Paramètres!$A$1:$I$89,3,0)*0.475*44/12</f>
        <v>6.0463160601623718E-16</v>
      </c>
      <c r="GO138" s="21">
        <f t="shared" si="135"/>
        <v>39.179318020069886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267</v>
      </c>
      <c r="GV138" s="17">
        <f>GU138*VLOOKUP('Données projet'!$B$18,Paramètres!$A$1:$I$89,3,0)*VLOOKUP('Données projet'!$B$18,Paramètres!$A$1:$I$89,5,0)</f>
        <v>270.738</v>
      </c>
      <c r="GW138" s="13">
        <f t="shared" si="159"/>
        <v>65.005866623551711</v>
      </c>
      <c r="GX138" s="20">
        <f t="shared" si="136"/>
        <v>584.7539010360191</v>
      </c>
      <c r="GY138" s="59">
        <f t="shared" si="137"/>
        <v>878.08723436935247</v>
      </c>
      <c r="GZ138" s="59">
        <f ca="1">AVERAGE(OFFSET($GY$3,0,0,'Données projet'!$E$18+1,1))-AVERAGE(OFFSET($H$3,0,0,'Données projet'!$E$18+1,1))</f>
        <v>308.80022073574963</v>
      </c>
      <c r="HA138" s="59">
        <f t="shared" si="160"/>
        <v>183.96267407004115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57.004900302909213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57.004900302909213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344.49457749226184</v>
      </c>
      <c r="T139" s="59">
        <f t="shared" si="142"/>
        <v>207.92972431357452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208.99999999999989</v>
      </c>
      <c r="AJ139" s="13">
        <f>AI139*VLOOKUP('Données projet'!$B$10,Paramètres!$A$1:$I$89,3,0)*VLOOKUP('Données projet'!$B$10,Paramètres!$A$1:$I$89,5,0)</f>
        <v>189.1031999999999</v>
      </c>
      <c r="AK139" s="13">
        <f t="shared" si="143"/>
        <v>47.34162854278712</v>
      </c>
      <c r="AL139" s="20">
        <f t="shared" si="112"/>
        <v>411.80807637868742</v>
      </c>
      <c r="AM139" s="59">
        <f t="shared" si="113"/>
        <v>705.14140971202073</v>
      </c>
      <c r="AN139" s="59">
        <f ca="1">AVERAGE(OFFSET($AM$3,0,0,'Données projet'!$E$10+1,1))-AVERAGE(OFFSET($H$3,0,0,'Données projet'!$E$10+1,1))</f>
        <v>183.0147113277086</v>
      </c>
      <c r="AO139" s="59">
        <f t="shared" si="144"/>
        <v>76.413905647258389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37.47160880712287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37.47160880712287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253.79640000000001</v>
      </c>
      <c r="BF139" s="13">
        <f t="shared" si="145"/>
        <v>61.39816832228076</v>
      </c>
      <c r="BG139" s="20">
        <f t="shared" si="115"/>
        <v>548.96387316130563</v>
      </c>
      <c r="BH139" s="59">
        <f t="shared" si="116"/>
        <v>842.29720649463889</v>
      </c>
      <c r="BI139" s="59">
        <f ca="1">AVERAGE(OFFSET($BH$3,0,0,'Données projet'!$E$11+1,1))-AVERAGE(OFFSET($H$3,0,0,'Données projet'!$E$11+1,1))</f>
        <v>279.49721661620544</v>
      </c>
      <c r="BJ139" s="59">
        <f t="shared" si="146"/>
        <v>275.18739333988754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17.538977543547151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17.538977543547151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754.68411025369562</v>
      </c>
      <c r="CD139" s="59">
        <f ca="1">AVERAGE(OFFSET($CC$3,0,0,'Données projet'!$E$12+1,1))-AVERAGE(OFFSET($H$3,0,0,'Données projet'!$E$12+1,1))</f>
        <v>225.2323446080772</v>
      </c>
      <c r="CE139" s="59">
        <f t="shared" si="148"/>
        <v>222.29030402759292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14.31229883624515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14.31229883624515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213.00000000000003</v>
      </c>
      <c r="CU139" s="17">
        <f>CT139*VLOOKUP('Données projet'!$B$13,Paramètres!$A$1:$I$89,3,0)*VLOOKUP('Données projet'!$B$13,Paramètres!$A$1:$I$89,5,0)</f>
        <v>229.2732</v>
      </c>
      <c r="CV139" s="13">
        <f t="shared" si="149"/>
        <v>56.125501442527366</v>
      </c>
      <c r="CW139" s="20">
        <f t="shared" si="121"/>
        <v>497.06940501240177</v>
      </c>
      <c r="CX139" s="59">
        <f t="shared" si="122"/>
        <v>790.40273834573509</v>
      </c>
      <c r="CY139" s="59">
        <f ca="1">AVERAGE(OFFSET($CX$3,0,0,'Données projet'!$E$13+1,1))-AVERAGE(OFFSET($H$3,0,0,'Données projet'!$E$13+1,1))</f>
        <v>240.57184010337932</v>
      </c>
      <c r="CZ139" s="59">
        <f t="shared" si="150"/>
        <v>236.36473521227072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12.137207949865758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12.137207949865758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670.99999999999977</v>
      </c>
      <c r="DP139" s="17">
        <f>DO139*VLOOKUP('Données projet'!$B$14,Paramètres!$A$1:$I$89,3,0)*VLOOKUP('Données projet'!$B$14,Paramètres!$A$1:$I$89,5,0)</f>
        <v>314.02799999999991</v>
      </c>
      <c r="DQ139" s="13">
        <f t="shared" si="151"/>
        <v>74.109403804428752</v>
      </c>
      <c r="DR139" s="20">
        <f t="shared" si="124"/>
        <v>676.00597829271317</v>
      </c>
      <c r="DS139" s="59">
        <f t="shared" si="125"/>
        <v>969.33931162604654</v>
      </c>
      <c r="DT139" s="59">
        <f ca="1">AVERAGE(OFFSET($DS$3,0,0,'Données projet'!$E$14+1,1))-AVERAGE(OFFSET($H$3,0,0,'Données projet'!$E$14+1,1))</f>
        <v>304.29617570272939</v>
      </c>
      <c r="DU139" s="59">
        <f t="shared" si="152"/>
        <v>246.20695736161576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32.744560901683485</v>
      </c>
      <c r="EB139" s="21">
        <f>EXP(-LN(2)/25)*EB138+(1-EXP(-LN(2)/25))/(LN(2)/25)*Calculateur!DW139*Calculateur!DY139*VLOOKUP('Données projet'!$B$14,Paramètres!$A$1:$I$89,3,0)*0.475*44/12</f>
        <v>2.1658074216662055</v>
      </c>
      <c r="EC139" s="21">
        <f>EXP(-LN(2)/2)*EC138+(1-EXP(-LN(2)/2))/(LN(2)/2)*DW139*DZ139*VLOOKUP('Données projet'!$B$14,Paramètres!$A$1:$I$89,3,0)*0.475*44/12</f>
        <v>4.367831975712855E-16</v>
      </c>
      <c r="ED139" s="22">
        <f t="shared" si="126"/>
        <v>34.910368323349694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477.9999999999996</v>
      </c>
      <c r="EK139" s="17">
        <f>EJ139*VLOOKUP('Données projet'!$B$15,Paramètres!$A$1:$I$89,3,0)*VLOOKUP('Données projet'!$B$15,Paramètres!$A$1:$I$89,5,0)</f>
        <v>285.84399999999977</v>
      </c>
      <c r="EL139" s="13">
        <f t="shared" si="153"/>
        <v>68.200525419065656</v>
      </c>
      <c r="EM139" s="20">
        <f t="shared" si="127"/>
        <v>616.62754843820551</v>
      </c>
      <c r="EN139" s="59">
        <f t="shared" si="128"/>
        <v>909.96088177153888</v>
      </c>
      <c r="EO139" s="59">
        <f ca="1">AVERAGE(OFFSET($EN$3,0,0,'Données projet'!$E$15+1,1))-AVERAGE(OFFSET($H$3,0,0,'Données projet'!$E$15+1,1))</f>
        <v>288.41846134875794</v>
      </c>
      <c r="EP139" s="59">
        <f t="shared" si="154"/>
        <v>248.93951719818972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23.689888613477883</v>
      </c>
      <c r="EW139" s="21">
        <f>EXP(-LN(2)/25)*EW138+(1-EXP(-LN(2)/25))/(LN(2)/25)*Calculateur!ER139*Calculateur!ET139*VLOOKUP('Données projet'!$B$15,Paramètres!$A$1:$I$89,3,0)*0.475*44/12</f>
        <v>1.4783601828823674</v>
      </c>
      <c r="EX139" s="21">
        <f>EXP(-LN(2)/2)*EX138+(1-EXP(-LN(2)/2))/(LN(2)/2)*ER139*EU139*VLOOKUP('Données projet'!$B$15,Paramètres!$A$1:$I$89,3,0)*0.475*44/12</f>
        <v>5.4028736415978448E-17</v>
      </c>
      <c r="EY139" s="22">
        <f t="shared" si="129"/>
        <v>25.168248796360253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789.00000000000045</v>
      </c>
      <c r="FF139" s="17">
        <f>FE139*VLOOKUP('Données projet'!$B$16,Paramètres!$A$1:$I$89,3,0)*VLOOKUP('Données projet'!$B$16,Paramètres!$A$1:$I$89,5,0)</f>
        <v>358.99500000000023</v>
      </c>
      <c r="FG139" s="13">
        <f t="shared" si="155"/>
        <v>83.411930940690553</v>
      </c>
      <c r="FH139" s="20">
        <f t="shared" si="130"/>
        <v>770.52540472170313</v>
      </c>
      <c r="FI139" s="59">
        <f t="shared" si="131"/>
        <v>1063.8587380550364</v>
      </c>
      <c r="FJ139" s="59">
        <f ca="1">AVERAGE(OFFSET($FI$3,0,0,'Données projet'!$E$16+1,1))-AVERAGE(OFFSET($H$3,0,0,'Données projet'!$E$16+1,1))</f>
        <v>367.36535411813264</v>
      </c>
      <c r="FK139" s="59">
        <f t="shared" si="156"/>
        <v>293.19545174980556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28.946212180304226</v>
      </c>
      <c r="FR139" s="21">
        <f>EXP(-LN(2)/25)*FR138+(1-EXP(-LN(2)/25))/(LN(2)/25)*Calculateur!FM139*Calculateur!FO139*VLOOKUP('Données projet'!$B$16,Paramètres!$A$1:$I$89,3,0)*0.475*44/12</f>
        <v>2.291339252857131</v>
      </c>
      <c r="FS139" s="21">
        <f>EXP(-LN(2)/2)*FS138+(1-EXP(-LN(2)/2))/(LN(2)/2)*FM139*FP139*VLOOKUP('Données projet'!$B$16,Paramètres!$A$1:$I$89,3,0)*0.475*44/12</f>
        <v>8.0430302320572098E-17</v>
      </c>
      <c r="FT139" s="22">
        <f t="shared" si="132"/>
        <v>31.237551433161357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669.99999999999989</v>
      </c>
      <c r="GA139" s="17">
        <f>FZ139*VLOOKUP('Données projet'!$B$17,Paramètres!$A$1:$I$89,3,0)*VLOOKUP('Données projet'!$B$17,Paramètres!$A$1:$I$89,5,0)</f>
        <v>322.26999999999992</v>
      </c>
      <c r="GB139" s="13">
        <f t="shared" si="157"/>
        <v>75.825476822885776</v>
      </c>
      <c r="GC139" s="20">
        <f t="shared" si="133"/>
        <v>693.34962213319261</v>
      </c>
      <c r="GD139" s="59">
        <f t="shared" si="134"/>
        <v>986.68295546652598</v>
      </c>
      <c r="GE139" s="59">
        <f ca="1">AVERAGE(OFFSET($GD$3,0,0,'Données projet'!$E$17+1,1))-AVERAGE(OFFSET($H$3,0,0,'Données projet'!$E$17+1,1))</f>
        <v>312.64506496298173</v>
      </c>
      <c r="GF139" s="59">
        <f t="shared" si="158"/>
        <v>259.97532509897508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37.366834857206392</v>
      </c>
      <c r="GM139" s="21">
        <f>EXP(-LN(2)/25)*GM138+(1-EXP(-LN(2)/25))/(LN(2)/25)*Calculateur!GH139*Calculateur!GJ139*VLOOKUP('Données projet'!$B$17,Paramètres!$A$1:$I$89,3,0)*0.475*44/12</f>
        <v>1.0359614851279504</v>
      </c>
      <c r="GN139" s="21">
        <f>EXP(-LN(2)/2)*GN138+(1-EXP(-LN(2)/2))/(LN(2)/2)*GH139*GK139*VLOOKUP('Données projet'!$B$17,Paramètres!$A$1:$I$89,3,0)*0.475*44/12</f>
        <v>4.2753910873379424E-16</v>
      </c>
      <c r="GO139" s="21">
        <f t="shared" si="135"/>
        <v>38.402796342334341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267</v>
      </c>
      <c r="GV139" s="17">
        <f>GU139*VLOOKUP('Données projet'!$B$18,Paramètres!$A$1:$I$89,3,0)*VLOOKUP('Données projet'!$B$18,Paramètres!$A$1:$I$89,5,0)</f>
        <v>270.738</v>
      </c>
      <c r="GW139" s="13">
        <f t="shared" si="159"/>
        <v>65.005866623551711</v>
      </c>
      <c r="GX139" s="20">
        <f t="shared" si="136"/>
        <v>584.7539010360191</v>
      </c>
      <c r="GY139" s="59">
        <f t="shared" si="137"/>
        <v>878.08723436935247</v>
      </c>
      <c r="GZ139" s="59">
        <f ca="1">AVERAGE(OFFSET($GY$3,0,0,'Données projet'!$E$18+1,1))-AVERAGE(OFFSET($H$3,0,0,'Données projet'!$E$18+1,1))</f>
        <v>308.80022073574963</v>
      </c>
      <c r="HA139" s="59">
        <f t="shared" si="160"/>
        <v>183.96267407004115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55.887068977525139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55.887068977525139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344.49457749226184</v>
      </c>
      <c r="T140" s="59">
        <f t="shared" si="142"/>
        <v>207.92972431357452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208.99999999999989</v>
      </c>
      <c r="AJ140" s="13">
        <f>AI140*VLOOKUP('Données projet'!$B$10,Paramètres!$A$1:$I$89,3,0)*VLOOKUP('Données projet'!$B$10,Paramètres!$A$1:$I$89,5,0)</f>
        <v>189.1031999999999</v>
      </c>
      <c r="AK140" s="13">
        <f t="shared" si="143"/>
        <v>47.34162854278712</v>
      </c>
      <c r="AL140" s="20">
        <f t="shared" si="112"/>
        <v>411.80807637868742</v>
      </c>
      <c r="AM140" s="59">
        <f t="shared" si="113"/>
        <v>705.14140971202073</v>
      </c>
      <c r="AN140" s="59">
        <f ca="1">AVERAGE(OFFSET($AM$3,0,0,'Données projet'!$E$10+1,1))-AVERAGE(OFFSET($H$3,0,0,'Données projet'!$E$10+1,1))</f>
        <v>183.0147113277086</v>
      </c>
      <c r="AO140" s="59">
        <f t="shared" si="144"/>
        <v>76.413905647258389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36.736813413839776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36.736813413839776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253.79640000000001</v>
      </c>
      <c r="BF140" s="13">
        <f t="shared" si="145"/>
        <v>61.39816832228076</v>
      </c>
      <c r="BG140" s="20">
        <f t="shared" si="115"/>
        <v>548.96387316130563</v>
      </c>
      <c r="BH140" s="59">
        <f t="shared" si="116"/>
        <v>842.29720649463889</v>
      </c>
      <c r="BI140" s="59">
        <f ca="1">AVERAGE(OFFSET($BH$3,0,0,'Données projet'!$E$11+1,1))-AVERAGE(OFFSET($H$3,0,0,'Données projet'!$E$11+1,1))</f>
        <v>279.49721661620544</v>
      </c>
      <c r="BJ140" s="59">
        <f t="shared" si="146"/>
        <v>275.18739333988754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17.19504889163818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17.19504889163818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754.68411025369562</v>
      </c>
      <c r="CD140" s="59">
        <f ca="1">AVERAGE(OFFSET($CC$3,0,0,'Données projet'!$E$12+1,1))-AVERAGE(OFFSET($H$3,0,0,'Données projet'!$E$12+1,1))</f>
        <v>225.2323446080772</v>
      </c>
      <c r="CE140" s="59">
        <f t="shared" si="148"/>
        <v>222.29030402759292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14.031643385706692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14.031643385706692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213.00000000000003</v>
      </c>
      <c r="CU140" s="17">
        <f>CT140*VLOOKUP('Données projet'!$B$13,Paramètres!$A$1:$I$89,3,0)*VLOOKUP('Données projet'!$B$13,Paramètres!$A$1:$I$89,5,0)</f>
        <v>229.2732</v>
      </c>
      <c r="CV140" s="13">
        <f t="shared" si="149"/>
        <v>56.125501442527366</v>
      </c>
      <c r="CW140" s="20">
        <f t="shared" si="121"/>
        <v>497.06940501240177</v>
      </c>
      <c r="CX140" s="59">
        <f t="shared" si="122"/>
        <v>790.40273834573509</v>
      </c>
      <c r="CY140" s="59">
        <f ca="1">AVERAGE(OFFSET($CX$3,0,0,'Données projet'!$E$13+1,1))-AVERAGE(OFFSET($H$3,0,0,'Données projet'!$E$13+1,1))</f>
        <v>240.57184010337932</v>
      </c>
      <c r="CZ140" s="59">
        <f t="shared" si="150"/>
        <v>236.36473521227072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11.899204704934757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11.899204704934757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670.99999999999977</v>
      </c>
      <c r="DP140" s="17">
        <f>DO140*VLOOKUP('Données projet'!$B$14,Paramètres!$A$1:$I$89,3,0)*VLOOKUP('Données projet'!$B$14,Paramètres!$A$1:$I$89,5,0)</f>
        <v>314.02799999999991</v>
      </c>
      <c r="DQ140" s="13">
        <f t="shared" si="151"/>
        <v>74.109403804428752</v>
      </c>
      <c r="DR140" s="20">
        <f t="shared" si="124"/>
        <v>676.00597829271317</v>
      </c>
      <c r="DS140" s="59">
        <f t="shared" si="125"/>
        <v>969.33931162604654</v>
      </c>
      <c r="DT140" s="59">
        <f ca="1">AVERAGE(OFFSET($DS$3,0,0,'Données projet'!$E$14+1,1))-AVERAGE(OFFSET($H$3,0,0,'Données projet'!$E$14+1,1))</f>
        <v>304.29617570272939</v>
      </c>
      <c r="DU140" s="59">
        <f t="shared" si="152"/>
        <v>246.20695736161576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32.102460034611532</v>
      </c>
      <c r="EB140" s="21">
        <f>EXP(-LN(2)/25)*EB139+(1-EXP(-LN(2)/25))/(LN(2)/25)*Calculateur!DW140*Calculateur!DY140*VLOOKUP('Données projet'!$B$14,Paramètres!$A$1:$I$89,3,0)*0.475*44/12</f>
        <v>2.106583303825881</v>
      </c>
      <c r="EC140" s="21">
        <f>EXP(-LN(2)/2)*EC139+(1-EXP(-LN(2)/2))/(LN(2)/2)*DW140*DZ140*VLOOKUP('Données projet'!$B$14,Paramètres!$A$1:$I$89,3,0)*0.475*44/12</f>
        <v>3.0885236091099955E-16</v>
      </c>
      <c r="ED140" s="22">
        <f t="shared" si="126"/>
        <v>34.209043338437411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477.9999999999996</v>
      </c>
      <c r="EK140" s="17">
        <f>EJ140*VLOOKUP('Données projet'!$B$15,Paramètres!$A$1:$I$89,3,0)*VLOOKUP('Données projet'!$B$15,Paramètres!$A$1:$I$89,5,0)</f>
        <v>285.84399999999977</v>
      </c>
      <c r="EL140" s="13">
        <f t="shared" si="153"/>
        <v>68.200525419065656</v>
      </c>
      <c r="EM140" s="20">
        <f t="shared" si="127"/>
        <v>616.62754843820551</v>
      </c>
      <c r="EN140" s="59">
        <f t="shared" si="128"/>
        <v>909.96088177153888</v>
      </c>
      <c r="EO140" s="59">
        <f ca="1">AVERAGE(OFFSET($EN$3,0,0,'Données projet'!$E$15+1,1))-AVERAGE(OFFSET($H$3,0,0,'Données projet'!$E$15+1,1))</f>
        <v>288.41846134875794</v>
      </c>
      <c r="EP140" s="59">
        <f t="shared" si="154"/>
        <v>248.93951719818972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23.225344347172875</v>
      </c>
      <c r="EW140" s="21">
        <f>EXP(-LN(2)/25)*EW139+(1-EXP(-LN(2)/25))/(LN(2)/25)*Calculateur!ER140*Calculateur!ET140*VLOOKUP('Données projet'!$B$15,Paramètres!$A$1:$I$89,3,0)*0.475*44/12</f>
        <v>1.437934345937866</v>
      </c>
      <c r="EX140" s="21">
        <f>EXP(-LN(2)/2)*EX139+(1-EXP(-LN(2)/2))/(LN(2)/2)*ER140*EU140*VLOOKUP('Données projet'!$B$15,Paramètres!$A$1:$I$89,3,0)*0.475*44/12</f>
        <v>3.8204085898678929E-17</v>
      </c>
      <c r="EY140" s="22">
        <f t="shared" si="129"/>
        <v>24.66327869311074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789.00000000000045</v>
      </c>
      <c r="FF140" s="17">
        <f>FE140*VLOOKUP('Données projet'!$B$16,Paramètres!$A$1:$I$89,3,0)*VLOOKUP('Données projet'!$B$16,Paramètres!$A$1:$I$89,5,0)</f>
        <v>358.99500000000023</v>
      </c>
      <c r="FG140" s="13">
        <f t="shared" si="155"/>
        <v>83.411930940690553</v>
      </c>
      <c r="FH140" s="20">
        <f t="shared" si="130"/>
        <v>770.52540472170313</v>
      </c>
      <c r="FI140" s="59">
        <f t="shared" si="131"/>
        <v>1063.8587380550364</v>
      </c>
      <c r="FJ140" s="59">
        <f ca="1">AVERAGE(OFFSET($FI$3,0,0,'Données projet'!$E$16+1,1))-AVERAGE(OFFSET($H$3,0,0,'Données projet'!$E$16+1,1))</f>
        <v>367.36535411813264</v>
      </c>
      <c r="FK140" s="59">
        <f t="shared" si="156"/>
        <v>293.19545174980556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28.37859461489456</v>
      </c>
      <c r="FR140" s="21">
        <f>EXP(-LN(2)/25)*FR139+(1-EXP(-LN(2)/25))/(LN(2)/25)*Calculateur!FM140*Calculateur!FO140*VLOOKUP('Données projet'!$B$16,Paramètres!$A$1:$I$89,3,0)*0.475*44/12</f>
        <v>2.2286824604914584</v>
      </c>
      <c r="FS140" s="21">
        <f>EXP(-LN(2)/2)*FS139+(1-EXP(-LN(2)/2))/(LN(2)/2)*FM140*FP140*VLOOKUP('Données projet'!$B$16,Paramètres!$A$1:$I$89,3,0)*0.475*44/12</f>
        <v>5.6872812183760638E-17</v>
      </c>
      <c r="FT140" s="22">
        <f t="shared" si="132"/>
        <v>30.607277075386019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669.99999999999989</v>
      </c>
      <c r="GA140" s="17">
        <f>FZ140*VLOOKUP('Données projet'!$B$17,Paramètres!$A$1:$I$89,3,0)*VLOOKUP('Données projet'!$B$17,Paramètres!$A$1:$I$89,5,0)</f>
        <v>322.26999999999992</v>
      </c>
      <c r="GB140" s="13">
        <f t="shared" si="157"/>
        <v>75.825476822885776</v>
      </c>
      <c r="GC140" s="20">
        <f t="shared" si="133"/>
        <v>693.34962213319261</v>
      </c>
      <c r="GD140" s="59">
        <f t="shared" si="134"/>
        <v>986.68295546652598</v>
      </c>
      <c r="GE140" s="59">
        <f ca="1">AVERAGE(OFFSET($GD$3,0,0,'Données projet'!$E$17+1,1))-AVERAGE(OFFSET($H$3,0,0,'Données projet'!$E$17+1,1))</f>
        <v>312.64506496298173</v>
      </c>
      <c r="GF140" s="59">
        <f t="shared" si="158"/>
        <v>259.97532509897508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36.634094017175364</v>
      </c>
      <c r="GM140" s="21">
        <f>EXP(-LN(2)/25)*GM139+(1-EXP(-LN(2)/25))/(LN(2)/25)*Calculateur!GH140*Calculateur!GJ140*VLOOKUP('Données projet'!$B$17,Paramètres!$A$1:$I$89,3,0)*0.475*44/12</f>
        <v>1.0076330638382798</v>
      </c>
      <c r="GN140" s="21">
        <f>EXP(-LN(2)/2)*GN139+(1-EXP(-LN(2)/2))/(LN(2)/2)*GH140*GK140*VLOOKUP('Données projet'!$B$17,Paramètres!$A$1:$I$89,3,0)*0.475*44/12</f>
        <v>3.0231580300811859E-16</v>
      </c>
      <c r="GO140" s="21">
        <f t="shared" si="135"/>
        <v>37.641727081013642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267</v>
      </c>
      <c r="GV140" s="17">
        <f>GU140*VLOOKUP('Données projet'!$B$18,Paramètres!$A$1:$I$89,3,0)*VLOOKUP('Données projet'!$B$18,Paramètres!$A$1:$I$89,5,0)</f>
        <v>270.738</v>
      </c>
      <c r="GW140" s="13">
        <f t="shared" si="159"/>
        <v>65.005866623551711</v>
      </c>
      <c r="GX140" s="20">
        <f t="shared" si="136"/>
        <v>584.7539010360191</v>
      </c>
      <c r="GY140" s="59">
        <f t="shared" si="137"/>
        <v>878.08723436935247</v>
      </c>
      <c r="GZ140" s="59">
        <f ca="1">AVERAGE(OFFSET($GY$3,0,0,'Données projet'!$E$18+1,1))-AVERAGE(OFFSET($H$3,0,0,'Données projet'!$E$18+1,1))</f>
        <v>308.80022073574963</v>
      </c>
      <c r="HA140" s="59">
        <f t="shared" si="160"/>
        <v>183.96267407004115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54.791157642622061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54.791157642622061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344.49457749226184</v>
      </c>
      <c r="T141" s="59">
        <f t="shared" si="142"/>
        <v>207.92972431357452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208.99999999999989</v>
      </c>
      <c r="AJ141" s="13">
        <f>AI141*VLOOKUP('Données projet'!$B$10,Paramètres!$A$1:$I$89,3,0)*VLOOKUP('Données projet'!$B$10,Paramètres!$A$1:$I$89,5,0)</f>
        <v>189.1031999999999</v>
      </c>
      <c r="AK141" s="13">
        <f t="shared" si="143"/>
        <v>47.34162854278712</v>
      </c>
      <c r="AL141" s="20">
        <f t="shared" si="112"/>
        <v>411.80807637868742</v>
      </c>
      <c r="AM141" s="59">
        <f t="shared" si="113"/>
        <v>705.14140971202073</v>
      </c>
      <c r="AN141" s="59">
        <f ca="1">AVERAGE(OFFSET($AM$3,0,0,'Données projet'!$E$10+1,1))-AVERAGE(OFFSET($H$3,0,0,'Données projet'!$E$10+1,1))</f>
        <v>183.0147113277086</v>
      </c>
      <c r="AO141" s="59">
        <f t="shared" si="144"/>
        <v>76.413905647258389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36.016426910038028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36.016426910038028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253.79640000000001</v>
      </c>
      <c r="BF141" s="13">
        <f t="shared" si="145"/>
        <v>61.39816832228076</v>
      </c>
      <c r="BG141" s="20">
        <f t="shared" si="115"/>
        <v>548.96387316130563</v>
      </c>
      <c r="BH141" s="59">
        <f t="shared" si="116"/>
        <v>842.29720649463889</v>
      </c>
      <c r="BI141" s="59">
        <f ca="1">AVERAGE(OFFSET($BH$3,0,0,'Données projet'!$E$11+1,1))-AVERAGE(OFFSET($H$3,0,0,'Données projet'!$E$11+1,1))</f>
        <v>279.49721661620544</v>
      </c>
      <c r="BJ141" s="59">
        <f t="shared" si="146"/>
        <v>275.18739333988754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16.857864470817379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16.857864470817379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754.68411025369562</v>
      </c>
      <c r="CD141" s="59">
        <f ca="1">AVERAGE(OFFSET($CC$3,0,0,'Données projet'!$E$12+1,1))-AVERAGE(OFFSET($H$3,0,0,'Données projet'!$E$12+1,1))</f>
        <v>225.2323446080772</v>
      </c>
      <c r="CE141" s="59">
        <f t="shared" si="148"/>
        <v>222.29030402759292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13.756491417370372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13.756491417370372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213.00000000000003</v>
      </c>
      <c r="CU141" s="17">
        <f>CT141*VLOOKUP('Données projet'!$B$13,Paramètres!$A$1:$I$89,3,0)*VLOOKUP('Données projet'!$B$13,Paramètres!$A$1:$I$89,5,0)</f>
        <v>229.2732</v>
      </c>
      <c r="CV141" s="13">
        <f t="shared" si="149"/>
        <v>56.125501442527366</v>
      </c>
      <c r="CW141" s="20">
        <f t="shared" si="121"/>
        <v>497.06940501240177</v>
      </c>
      <c r="CX141" s="59">
        <f t="shared" si="122"/>
        <v>790.40273834573509</v>
      </c>
      <c r="CY141" s="59">
        <f ca="1">AVERAGE(OFFSET($CX$3,0,0,'Données projet'!$E$13+1,1))-AVERAGE(OFFSET($H$3,0,0,'Données projet'!$E$13+1,1))</f>
        <v>240.57184010337932</v>
      </c>
      <c r="CZ141" s="59">
        <f t="shared" si="150"/>
        <v>236.36473521227072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11.665868558469208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11.665868558469208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670.99999999999977</v>
      </c>
      <c r="DP141" s="17">
        <f>DO141*VLOOKUP('Données projet'!$B$14,Paramètres!$A$1:$I$89,3,0)*VLOOKUP('Données projet'!$B$14,Paramètres!$A$1:$I$89,5,0)</f>
        <v>314.02799999999991</v>
      </c>
      <c r="DQ141" s="13">
        <f t="shared" si="151"/>
        <v>74.109403804428752</v>
      </c>
      <c r="DR141" s="20">
        <f t="shared" si="124"/>
        <v>676.00597829271317</v>
      </c>
      <c r="DS141" s="59">
        <f t="shared" si="125"/>
        <v>969.33931162604654</v>
      </c>
      <c r="DT141" s="59">
        <f ca="1">AVERAGE(OFFSET($DS$3,0,0,'Données projet'!$E$14+1,1))-AVERAGE(OFFSET($H$3,0,0,'Données projet'!$E$14+1,1))</f>
        <v>304.29617570272939</v>
      </c>
      <c r="DU141" s="59">
        <f t="shared" si="152"/>
        <v>246.20695736161576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31.472950373900002</v>
      </c>
      <c r="EB141" s="21">
        <f>EXP(-LN(2)/25)*EB140+(1-EXP(-LN(2)/25))/(LN(2)/25)*Calculateur!DW141*Calculateur!DY141*VLOOKUP('Données projet'!$B$14,Paramètres!$A$1:$I$89,3,0)*0.475*44/12</f>
        <v>2.0489786726023609</v>
      </c>
      <c r="EC141" s="21">
        <f>EXP(-LN(2)/2)*EC140+(1-EXP(-LN(2)/2))/(LN(2)/2)*DW141*DZ141*VLOOKUP('Données projet'!$B$14,Paramètres!$A$1:$I$89,3,0)*0.475*44/12</f>
        <v>2.1839159878564277E-16</v>
      </c>
      <c r="ED141" s="22">
        <f t="shared" si="126"/>
        <v>33.521929046502365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477.9999999999996</v>
      </c>
      <c r="EK141" s="17">
        <f>EJ141*VLOOKUP('Données projet'!$B$15,Paramètres!$A$1:$I$89,3,0)*VLOOKUP('Données projet'!$B$15,Paramètres!$A$1:$I$89,5,0)</f>
        <v>285.84399999999977</v>
      </c>
      <c r="EL141" s="13">
        <f t="shared" si="153"/>
        <v>68.200525419065656</v>
      </c>
      <c r="EM141" s="20">
        <f t="shared" si="127"/>
        <v>616.62754843820551</v>
      </c>
      <c r="EN141" s="59">
        <f t="shared" si="128"/>
        <v>909.96088177153888</v>
      </c>
      <c r="EO141" s="59">
        <f ca="1">AVERAGE(OFFSET($EN$3,0,0,'Données projet'!$E$15+1,1))-AVERAGE(OFFSET($H$3,0,0,'Données projet'!$E$15+1,1))</f>
        <v>288.41846134875794</v>
      </c>
      <c r="EP141" s="59">
        <f t="shared" si="154"/>
        <v>248.93951719818972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22.769909510586086</v>
      </c>
      <c r="EW141" s="21">
        <f>EXP(-LN(2)/25)*EW140+(1-EXP(-LN(2)/25))/(LN(2)/25)*Calculateur!ER141*Calculateur!ET141*VLOOKUP('Données projet'!$B$15,Paramètres!$A$1:$I$89,3,0)*0.475*44/12</f>
        <v>1.3986139556305142</v>
      </c>
      <c r="EX141" s="21">
        <f>EXP(-LN(2)/2)*EX140+(1-EXP(-LN(2)/2))/(LN(2)/2)*ER141*EU141*VLOOKUP('Données projet'!$B$15,Paramètres!$A$1:$I$89,3,0)*0.475*44/12</f>
        <v>2.701436820798923E-17</v>
      </c>
      <c r="EY141" s="22">
        <f t="shared" si="129"/>
        <v>24.168523466216598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789.00000000000045</v>
      </c>
      <c r="FF141" s="17">
        <f>FE141*VLOOKUP('Données projet'!$B$16,Paramètres!$A$1:$I$89,3,0)*VLOOKUP('Données projet'!$B$16,Paramètres!$A$1:$I$89,5,0)</f>
        <v>358.99500000000023</v>
      </c>
      <c r="FG141" s="13">
        <f t="shared" si="155"/>
        <v>83.411930940690553</v>
      </c>
      <c r="FH141" s="20">
        <f t="shared" si="130"/>
        <v>770.52540472170313</v>
      </c>
      <c r="FI141" s="59">
        <f t="shared" si="131"/>
        <v>1063.8587380550364</v>
      </c>
      <c r="FJ141" s="59">
        <f ca="1">AVERAGE(OFFSET($FI$3,0,0,'Données projet'!$E$16+1,1))-AVERAGE(OFFSET($H$3,0,0,'Données projet'!$E$16+1,1))</f>
        <v>367.36535411813264</v>
      </c>
      <c r="FK141" s="59">
        <f t="shared" si="156"/>
        <v>293.19545174980556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27.822107683730049</v>
      </c>
      <c r="FR141" s="21">
        <f>EXP(-LN(2)/25)*FR140+(1-EXP(-LN(2)/25))/(LN(2)/25)*Calculateur!FM141*Calculateur!FO141*VLOOKUP('Données projet'!$B$16,Paramètres!$A$1:$I$89,3,0)*0.475*44/12</f>
        <v>2.1677390214080026</v>
      </c>
      <c r="FS141" s="21">
        <f>EXP(-LN(2)/2)*FS140+(1-EXP(-LN(2)/2))/(LN(2)/2)*FM141*FP141*VLOOKUP('Données projet'!$B$16,Paramètres!$A$1:$I$89,3,0)*0.475*44/12</f>
        <v>4.0215151160286049E-17</v>
      </c>
      <c r="FT141" s="22">
        <f t="shared" si="132"/>
        <v>29.989846705138053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669.99999999999989</v>
      </c>
      <c r="GA141" s="17">
        <f>FZ141*VLOOKUP('Données projet'!$B$17,Paramètres!$A$1:$I$89,3,0)*VLOOKUP('Données projet'!$B$17,Paramètres!$A$1:$I$89,5,0)</f>
        <v>322.26999999999992</v>
      </c>
      <c r="GB141" s="13">
        <f t="shared" si="157"/>
        <v>75.825476822885776</v>
      </c>
      <c r="GC141" s="20">
        <f t="shared" si="133"/>
        <v>693.34962213319261</v>
      </c>
      <c r="GD141" s="59">
        <f t="shared" si="134"/>
        <v>986.68295546652598</v>
      </c>
      <c r="GE141" s="59">
        <f ca="1">AVERAGE(OFFSET($GD$3,0,0,'Données projet'!$E$17+1,1))-AVERAGE(OFFSET($H$3,0,0,'Données projet'!$E$17+1,1))</f>
        <v>312.64506496298173</v>
      </c>
      <c r="GF141" s="59">
        <f t="shared" si="158"/>
        <v>259.97532509897508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35.915721778089562</v>
      </c>
      <c r="GM141" s="21">
        <f>EXP(-LN(2)/25)*GM140+(1-EXP(-LN(2)/25))/(LN(2)/25)*Calculateur!GH141*Calculateur!GJ141*VLOOKUP('Données projet'!$B$17,Paramètres!$A$1:$I$89,3,0)*0.475*44/12</f>
        <v>0.98007928471850214</v>
      </c>
      <c r="GN141" s="21">
        <f>EXP(-LN(2)/2)*GN140+(1-EXP(-LN(2)/2))/(LN(2)/2)*GH141*GK141*VLOOKUP('Données projet'!$B$17,Paramètres!$A$1:$I$89,3,0)*0.475*44/12</f>
        <v>2.1376955436689712E-16</v>
      </c>
      <c r="GO141" s="21">
        <f t="shared" si="135"/>
        <v>36.895801062808061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267</v>
      </c>
      <c r="GV141" s="17">
        <f>GU141*VLOOKUP('Données projet'!$B$18,Paramètres!$A$1:$I$89,3,0)*VLOOKUP('Données projet'!$B$18,Paramètres!$A$1:$I$89,5,0)</f>
        <v>270.738</v>
      </c>
      <c r="GW141" s="13">
        <f t="shared" si="159"/>
        <v>65.005866623551711</v>
      </c>
      <c r="GX141" s="20">
        <f t="shared" si="136"/>
        <v>584.7539010360191</v>
      </c>
      <c r="GY141" s="59">
        <f t="shared" si="137"/>
        <v>878.08723436935247</v>
      </c>
      <c r="GZ141" s="59">
        <f ca="1">AVERAGE(OFFSET($GY$3,0,0,'Données projet'!$E$18+1,1))-AVERAGE(OFFSET($H$3,0,0,'Données projet'!$E$18+1,1))</f>
        <v>308.80022073574963</v>
      </c>
      <c r="HA141" s="59">
        <f t="shared" si="160"/>
        <v>183.96267407004115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53.716736460556518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53.716736460556518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344.49457749226184</v>
      </c>
      <c r="T142" s="59">
        <f t="shared" si="142"/>
        <v>207.92972431357452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208.99999999999989</v>
      </c>
      <c r="AJ142" s="13">
        <f>AI142*VLOOKUP('Données projet'!$B$10,Paramètres!$A$1:$I$89,3,0)*VLOOKUP('Données projet'!$B$10,Paramètres!$A$1:$I$89,5,0)</f>
        <v>189.1031999999999</v>
      </c>
      <c r="AK142" s="13">
        <f t="shared" si="143"/>
        <v>47.34162854278712</v>
      </c>
      <c r="AL142" s="20">
        <f t="shared" si="112"/>
        <v>411.80807637868742</v>
      </c>
      <c r="AM142" s="59">
        <f t="shared" si="113"/>
        <v>705.14140971202073</v>
      </c>
      <c r="AN142" s="59">
        <f ca="1">AVERAGE(OFFSET($AM$3,0,0,'Données projet'!$E$10+1,1))-AVERAGE(OFFSET($H$3,0,0,'Données projet'!$E$10+1,1))</f>
        <v>183.0147113277086</v>
      </c>
      <c r="AO142" s="59">
        <f t="shared" si="144"/>
        <v>76.413905647258389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35.310166746183455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35.310166746183455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253.79640000000001</v>
      </c>
      <c r="BF142" s="13">
        <f t="shared" si="145"/>
        <v>61.39816832228076</v>
      </c>
      <c r="BG142" s="20">
        <f t="shared" si="115"/>
        <v>548.96387316130563</v>
      </c>
      <c r="BH142" s="59">
        <f t="shared" si="116"/>
        <v>842.29720649463889</v>
      </c>
      <c r="BI142" s="59">
        <f ca="1">AVERAGE(OFFSET($BH$3,0,0,'Données projet'!$E$11+1,1))-AVERAGE(OFFSET($H$3,0,0,'Données projet'!$E$11+1,1))</f>
        <v>279.49721661620544</v>
      </c>
      <c r="BJ142" s="59">
        <f t="shared" si="146"/>
        <v>275.18739333988754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16.527292030826686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16.527292030826686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754.68411025369562</v>
      </c>
      <c r="CD142" s="59">
        <f ca="1">AVERAGE(OFFSET($CC$3,0,0,'Données projet'!$E$12+1,1))-AVERAGE(OFFSET($H$3,0,0,'Données projet'!$E$12+1,1))</f>
        <v>225.2323446080772</v>
      </c>
      <c r="CE142" s="59">
        <f t="shared" si="148"/>
        <v>222.29030402759292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13.486735011306997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13.486735011306997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213.00000000000003</v>
      </c>
      <c r="CU142" s="17">
        <f>CT142*VLOOKUP('Données projet'!$B$13,Paramètres!$A$1:$I$89,3,0)*VLOOKUP('Données projet'!$B$13,Paramètres!$A$1:$I$89,5,0)</f>
        <v>229.2732</v>
      </c>
      <c r="CV142" s="13">
        <f t="shared" si="149"/>
        <v>56.125501442527366</v>
      </c>
      <c r="CW142" s="20">
        <f t="shared" si="121"/>
        <v>497.06940501240177</v>
      </c>
      <c r="CX142" s="59">
        <f t="shared" si="122"/>
        <v>790.40273834573509</v>
      </c>
      <c r="CY142" s="59">
        <f ca="1">AVERAGE(OFFSET($CX$3,0,0,'Données projet'!$E$13+1,1))-AVERAGE(OFFSET($H$3,0,0,'Données projet'!$E$13+1,1))</f>
        <v>240.57184010337932</v>
      </c>
      <c r="CZ142" s="59">
        <f t="shared" si="150"/>
        <v>236.36473521227072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11.437107991514853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11.437107991514853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670.99999999999977</v>
      </c>
      <c r="DP142" s="17">
        <f>DO142*VLOOKUP('Données projet'!$B$14,Paramètres!$A$1:$I$89,3,0)*VLOOKUP('Données projet'!$B$14,Paramètres!$A$1:$I$89,5,0)</f>
        <v>314.02799999999991</v>
      </c>
      <c r="DQ142" s="13">
        <f t="shared" si="151"/>
        <v>74.109403804428752</v>
      </c>
      <c r="DR142" s="20">
        <f t="shared" si="124"/>
        <v>676.00597829271317</v>
      </c>
      <c r="DS142" s="59">
        <f t="shared" si="125"/>
        <v>969.33931162604654</v>
      </c>
      <c r="DT142" s="59">
        <f ca="1">AVERAGE(OFFSET($DS$3,0,0,'Données projet'!$E$14+1,1))-AVERAGE(OFFSET($H$3,0,0,'Données projet'!$E$14+1,1))</f>
        <v>304.29617570272939</v>
      </c>
      <c r="DU142" s="59">
        <f t="shared" si="152"/>
        <v>246.20695736161576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30.855785013672044</v>
      </c>
      <c r="EB142" s="21">
        <f>EXP(-LN(2)/25)*EB141+(1-EXP(-LN(2)/25))/(LN(2)/25)*Calculateur!DW142*Calculateur!DY142*VLOOKUP('Données projet'!$B$14,Paramètres!$A$1:$I$89,3,0)*0.475*44/12</f>
        <v>1.9929492430489439</v>
      </c>
      <c r="EC142" s="21">
        <f>EXP(-LN(2)/2)*EC141+(1-EXP(-LN(2)/2))/(LN(2)/2)*DW142*DZ142*VLOOKUP('Données projet'!$B$14,Paramètres!$A$1:$I$89,3,0)*0.475*44/12</f>
        <v>1.544261804554998E-16</v>
      </c>
      <c r="ED142" s="22">
        <f t="shared" si="126"/>
        <v>32.848734256720988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477.9999999999996</v>
      </c>
      <c r="EK142" s="17">
        <f>EJ142*VLOOKUP('Données projet'!$B$15,Paramètres!$A$1:$I$89,3,0)*VLOOKUP('Données projet'!$B$15,Paramètres!$A$1:$I$89,5,0)</f>
        <v>285.84399999999977</v>
      </c>
      <c r="EL142" s="13">
        <f t="shared" si="153"/>
        <v>68.200525419065656</v>
      </c>
      <c r="EM142" s="20">
        <f t="shared" si="127"/>
        <v>616.62754843820551</v>
      </c>
      <c r="EN142" s="59">
        <f t="shared" si="128"/>
        <v>909.96088177153888</v>
      </c>
      <c r="EO142" s="59">
        <f ca="1">AVERAGE(OFFSET($EN$3,0,0,'Données projet'!$E$15+1,1))-AVERAGE(OFFSET($H$3,0,0,'Données projet'!$E$15+1,1))</f>
        <v>288.41846134875794</v>
      </c>
      <c r="EP142" s="59">
        <f t="shared" si="154"/>
        <v>248.93951719818972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22.323405473356942</v>
      </c>
      <c r="EW142" s="21">
        <f>EXP(-LN(2)/25)*EW141+(1-EXP(-LN(2)/25))/(LN(2)/25)*Calculateur!ER142*Calculateur!ET142*VLOOKUP('Données projet'!$B$15,Paramètres!$A$1:$I$89,3,0)*0.475*44/12</f>
        <v>1.3603687834638865</v>
      </c>
      <c r="EX142" s="21">
        <f>EXP(-LN(2)/2)*EX141+(1-EXP(-LN(2)/2))/(LN(2)/2)*ER142*EU142*VLOOKUP('Données projet'!$B$15,Paramètres!$A$1:$I$89,3,0)*0.475*44/12</f>
        <v>1.9102042949339468E-17</v>
      </c>
      <c r="EY142" s="22">
        <f t="shared" si="129"/>
        <v>23.683774256820829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789.00000000000045</v>
      </c>
      <c r="FF142" s="17">
        <f>FE142*VLOOKUP('Données projet'!$B$16,Paramètres!$A$1:$I$89,3,0)*VLOOKUP('Données projet'!$B$16,Paramètres!$A$1:$I$89,5,0)</f>
        <v>358.99500000000023</v>
      </c>
      <c r="FG142" s="13">
        <f t="shared" si="155"/>
        <v>83.411930940690553</v>
      </c>
      <c r="FH142" s="20">
        <f t="shared" si="130"/>
        <v>770.52540472170313</v>
      </c>
      <c r="FI142" s="59">
        <f t="shared" si="131"/>
        <v>1063.8587380550364</v>
      </c>
      <c r="FJ142" s="59">
        <f ca="1">AVERAGE(OFFSET($FI$3,0,0,'Données projet'!$E$16+1,1))-AVERAGE(OFFSET($H$3,0,0,'Données projet'!$E$16+1,1))</f>
        <v>367.36535411813264</v>
      </c>
      <c r="FK142" s="59">
        <f t="shared" si="156"/>
        <v>293.19545174980556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27.276533121862162</v>
      </c>
      <c r="FR142" s="21">
        <f>EXP(-LN(2)/25)*FR141+(1-EXP(-LN(2)/25))/(LN(2)/25)*Calculateur!FM142*Calculateur!FO142*VLOOKUP('Données projet'!$B$16,Paramètres!$A$1:$I$89,3,0)*0.475*44/12</f>
        <v>2.1084620838711601</v>
      </c>
      <c r="FS142" s="21">
        <f>EXP(-LN(2)/2)*FS141+(1-EXP(-LN(2)/2))/(LN(2)/2)*FM142*FP142*VLOOKUP('Données projet'!$B$16,Paramètres!$A$1:$I$89,3,0)*0.475*44/12</f>
        <v>2.8436406091880319E-17</v>
      </c>
      <c r="FT142" s="22">
        <f t="shared" si="132"/>
        <v>29.384995205733322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669.99999999999989</v>
      </c>
      <c r="GA142" s="17">
        <f>FZ142*VLOOKUP('Données projet'!$B$17,Paramètres!$A$1:$I$89,3,0)*VLOOKUP('Données projet'!$B$17,Paramètres!$A$1:$I$89,5,0)</f>
        <v>322.26999999999992</v>
      </c>
      <c r="GB142" s="13">
        <f t="shared" si="157"/>
        <v>75.825476822885776</v>
      </c>
      <c r="GC142" s="20">
        <f t="shared" si="133"/>
        <v>693.34962213319261</v>
      </c>
      <c r="GD142" s="59">
        <f t="shared" si="134"/>
        <v>986.68295546652598</v>
      </c>
      <c r="GE142" s="59">
        <f ca="1">AVERAGE(OFFSET($GD$3,0,0,'Données projet'!$E$17+1,1))-AVERAGE(OFFSET($H$3,0,0,'Données projet'!$E$17+1,1))</f>
        <v>312.64506496298173</v>
      </c>
      <c r="GF142" s="59">
        <f t="shared" si="158"/>
        <v>259.97532509897508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35.211436380448433</v>
      </c>
      <c r="GM142" s="21">
        <f>EXP(-LN(2)/25)*GM141+(1-EXP(-LN(2)/25))/(LN(2)/25)*Calculateur!GH142*Calculateur!GJ142*VLOOKUP('Données projet'!$B$17,Paramètres!$A$1:$I$89,3,0)*0.475*44/12</f>
        <v>0.95327896513774513</v>
      </c>
      <c r="GN142" s="21">
        <f>EXP(-LN(2)/2)*GN141+(1-EXP(-LN(2)/2))/(LN(2)/2)*GH142*GK142*VLOOKUP('Données projet'!$B$17,Paramètres!$A$1:$I$89,3,0)*0.475*44/12</f>
        <v>1.5115790150405929E-16</v>
      </c>
      <c r="GO142" s="21">
        <f t="shared" si="135"/>
        <v>36.164715345586181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267</v>
      </c>
      <c r="GV142" s="17">
        <f>GU142*VLOOKUP('Données projet'!$B$18,Paramètres!$A$1:$I$89,3,0)*VLOOKUP('Données projet'!$B$18,Paramètres!$A$1:$I$89,5,0)</f>
        <v>270.738</v>
      </c>
      <c r="GW142" s="13">
        <f t="shared" si="159"/>
        <v>65.005866623551711</v>
      </c>
      <c r="GX142" s="20">
        <f t="shared" si="136"/>
        <v>584.7539010360191</v>
      </c>
      <c r="GY142" s="59">
        <f t="shared" si="137"/>
        <v>878.08723436935247</v>
      </c>
      <c r="GZ142" s="59">
        <f ca="1">AVERAGE(OFFSET($GY$3,0,0,'Données projet'!$E$18+1,1))-AVERAGE(OFFSET($H$3,0,0,'Données projet'!$E$18+1,1))</f>
        <v>308.80022073574963</v>
      </c>
      <c r="HA142" s="59">
        <f t="shared" si="160"/>
        <v>183.96267407004115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52.66338402253907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52.66338402253907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344.49457749226184</v>
      </c>
      <c r="T143" s="59">
        <f t="shared" si="142"/>
        <v>207.92972431357452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208.99999999999989</v>
      </c>
      <c r="AJ143" s="13">
        <f>AI143*VLOOKUP('Données projet'!$B$10,Paramètres!$A$1:$I$89,3,0)*VLOOKUP('Données projet'!$B$10,Paramètres!$A$1:$I$89,5,0)</f>
        <v>189.1031999999999</v>
      </c>
      <c r="AK143" s="13">
        <f t="shared" si="143"/>
        <v>47.34162854278712</v>
      </c>
      <c r="AL143" s="20">
        <f t="shared" si="112"/>
        <v>411.80807637868742</v>
      </c>
      <c r="AM143" s="59">
        <f t="shared" si="113"/>
        <v>705.14140971202073</v>
      </c>
      <c r="AN143" s="59">
        <f ca="1">AVERAGE(OFFSET($AM$3,0,0,'Données projet'!$E$10+1,1))-AVERAGE(OFFSET($H$3,0,0,'Données projet'!$E$10+1,1))</f>
        <v>183.0147113277086</v>
      </c>
      <c r="AO143" s="59">
        <f t="shared" si="144"/>
        <v>76.413905647258389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34.617755913365905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34.617755913365905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253.79640000000001</v>
      </c>
      <c r="BF143" s="13">
        <f t="shared" si="145"/>
        <v>61.39816832228076</v>
      </c>
      <c r="BG143" s="20">
        <f t="shared" si="115"/>
        <v>548.96387316130563</v>
      </c>
      <c r="BH143" s="59">
        <f t="shared" si="116"/>
        <v>842.29720649463889</v>
      </c>
      <c r="BI143" s="59">
        <f ca="1">AVERAGE(OFFSET($BH$3,0,0,'Données projet'!$E$11+1,1))-AVERAGE(OFFSET($H$3,0,0,'Données projet'!$E$11+1,1))</f>
        <v>279.49721661620544</v>
      </c>
      <c r="BJ143" s="59">
        <f t="shared" si="146"/>
        <v>275.18739333988754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16.203201914754931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16.203201914754931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754.68411025369562</v>
      </c>
      <c r="CD143" s="59">
        <f ca="1">AVERAGE(OFFSET($CC$3,0,0,'Données projet'!$E$12+1,1))-AVERAGE(OFFSET($H$3,0,0,'Données projet'!$E$12+1,1))</f>
        <v>225.2323446080772</v>
      </c>
      <c r="CE143" s="59">
        <f t="shared" si="148"/>
        <v>222.29030402759292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13.222268363831365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13.222268363831365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213.00000000000003</v>
      </c>
      <c r="CU143" s="17">
        <f>CT143*VLOOKUP('Données projet'!$B$13,Paramètres!$A$1:$I$89,3,0)*VLOOKUP('Données projet'!$B$13,Paramètres!$A$1:$I$89,5,0)</f>
        <v>229.2732</v>
      </c>
      <c r="CV143" s="13">
        <f t="shared" si="149"/>
        <v>56.125501442527366</v>
      </c>
      <c r="CW143" s="20">
        <f t="shared" si="121"/>
        <v>497.06940501240177</v>
      </c>
      <c r="CX143" s="59">
        <f t="shared" si="122"/>
        <v>790.40273834573509</v>
      </c>
      <c r="CY143" s="59">
        <f ca="1">AVERAGE(OFFSET($CX$3,0,0,'Données projet'!$E$13+1,1))-AVERAGE(OFFSET($H$3,0,0,'Données projet'!$E$13+1,1))</f>
        <v>240.57184010337932</v>
      </c>
      <c r="CZ143" s="59">
        <f t="shared" si="150"/>
        <v>236.36473521227072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11.212833279748304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11.212833279748304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670.99999999999977</v>
      </c>
      <c r="DP143" s="17">
        <f>DO143*VLOOKUP('Données projet'!$B$14,Paramètres!$A$1:$I$89,3,0)*VLOOKUP('Données projet'!$B$14,Paramètres!$A$1:$I$89,5,0)</f>
        <v>314.02799999999991</v>
      </c>
      <c r="DQ143" s="13">
        <f t="shared" si="151"/>
        <v>74.109403804428752</v>
      </c>
      <c r="DR143" s="20">
        <f t="shared" si="124"/>
        <v>676.00597829271317</v>
      </c>
      <c r="DS143" s="59">
        <f t="shared" si="125"/>
        <v>969.33931162604654</v>
      </c>
      <c r="DT143" s="59">
        <f ca="1">AVERAGE(OFFSET($DS$3,0,0,'Données projet'!$E$14+1,1))-AVERAGE(OFFSET($H$3,0,0,'Données projet'!$E$14+1,1))</f>
        <v>304.29617570272939</v>
      </c>
      <c r="DU143" s="59">
        <f t="shared" si="152"/>
        <v>246.20695736161576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30.250721889724456</v>
      </c>
      <c r="EB143" s="21">
        <f>EXP(-LN(2)/25)*EB142+(1-EXP(-LN(2)/25))/(LN(2)/25)*Calculateur!DW143*Calculateur!DY143*VLOOKUP('Données projet'!$B$14,Paramètres!$A$1:$I$89,3,0)*0.475*44/12</f>
        <v>1.9384519411931249</v>
      </c>
      <c r="EC143" s="21">
        <f>EXP(-LN(2)/2)*EC142+(1-EXP(-LN(2)/2))/(LN(2)/2)*DW143*DZ143*VLOOKUP('Données projet'!$B$14,Paramètres!$A$1:$I$89,3,0)*0.475*44/12</f>
        <v>1.091957993928214E-16</v>
      </c>
      <c r="ED143" s="22">
        <f t="shared" si="126"/>
        <v>32.189173830917582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477.9999999999996</v>
      </c>
      <c r="EK143" s="17">
        <f>EJ143*VLOOKUP('Données projet'!$B$15,Paramètres!$A$1:$I$89,3,0)*VLOOKUP('Données projet'!$B$15,Paramètres!$A$1:$I$89,5,0)</f>
        <v>285.84399999999977</v>
      </c>
      <c r="EL143" s="13">
        <f t="shared" si="153"/>
        <v>68.200525419065656</v>
      </c>
      <c r="EM143" s="20">
        <f t="shared" si="127"/>
        <v>616.62754843820551</v>
      </c>
      <c r="EN143" s="59">
        <f t="shared" si="128"/>
        <v>909.96088177153888</v>
      </c>
      <c r="EO143" s="59">
        <f ca="1">AVERAGE(OFFSET($EN$3,0,0,'Données projet'!$E$15+1,1))-AVERAGE(OFFSET($H$3,0,0,'Données projet'!$E$15+1,1))</f>
        <v>288.41846134875794</v>
      </c>
      <c r="EP143" s="59">
        <f t="shared" si="154"/>
        <v>248.93951719818972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21.885657107957289</v>
      </c>
      <c r="EW143" s="21">
        <f>EXP(-LN(2)/25)*EW142+(1-EXP(-LN(2)/25))/(LN(2)/25)*Calculateur!ER143*Calculateur!ET143*VLOOKUP('Données projet'!$B$15,Paramètres!$A$1:$I$89,3,0)*0.475*44/12</f>
        <v>1.3231694275413812</v>
      </c>
      <c r="EX143" s="21">
        <f>EXP(-LN(2)/2)*EX142+(1-EXP(-LN(2)/2))/(LN(2)/2)*ER143*EU143*VLOOKUP('Données projet'!$B$15,Paramètres!$A$1:$I$89,3,0)*0.475*44/12</f>
        <v>1.3507184103994617E-17</v>
      </c>
      <c r="EY143" s="22">
        <f t="shared" si="129"/>
        <v>23.20882653549867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789.00000000000045</v>
      </c>
      <c r="FF143" s="17">
        <f>FE143*VLOOKUP('Données projet'!$B$16,Paramètres!$A$1:$I$89,3,0)*VLOOKUP('Données projet'!$B$16,Paramètres!$A$1:$I$89,5,0)</f>
        <v>358.99500000000023</v>
      </c>
      <c r="FG143" s="13">
        <f t="shared" si="155"/>
        <v>83.411930940690553</v>
      </c>
      <c r="FH143" s="20">
        <f t="shared" si="130"/>
        <v>770.52540472170313</v>
      </c>
      <c r="FI143" s="59">
        <f t="shared" si="131"/>
        <v>1063.8587380550364</v>
      </c>
      <c r="FJ143" s="59">
        <f ca="1">AVERAGE(OFFSET($FI$3,0,0,'Données projet'!$E$16+1,1))-AVERAGE(OFFSET($H$3,0,0,'Données projet'!$E$16+1,1))</f>
        <v>367.36535411813264</v>
      </c>
      <c r="FK143" s="59">
        <f t="shared" si="156"/>
        <v>293.19545174980556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26.741656944384879</v>
      </c>
      <c r="FR143" s="21">
        <f>EXP(-LN(2)/25)*FR142+(1-EXP(-LN(2)/25))/(LN(2)/25)*Calculateur!FM143*Calculateur!FO143*VLOOKUP('Données projet'!$B$16,Paramètres!$A$1:$I$89,3,0)*0.475*44/12</f>
        <v>2.0508060773085011</v>
      </c>
      <c r="FS143" s="21">
        <f>EXP(-LN(2)/2)*FS142+(1-EXP(-LN(2)/2))/(LN(2)/2)*FM143*FP143*VLOOKUP('Données projet'!$B$16,Paramètres!$A$1:$I$89,3,0)*0.475*44/12</f>
        <v>2.0107575580143024E-17</v>
      </c>
      <c r="FT143" s="22">
        <f t="shared" si="132"/>
        <v>28.792463021693379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669.99999999999989</v>
      </c>
      <c r="GA143" s="17">
        <f>FZ143*VLOOKUP('Données projet'!$B$17,Paramètres!$A$1:$I$89,3,0)*VLOOKUP('Données projet'!$B$17,Paramètres!$A$1:$I$89,5,0)</f>
        <v>322.26999999999992</v>
      </c>
      <c r="GB143" s="13">
        <f t="shared" si="157"/>
        <v>75.825476822885776</v>
      </c>
      <c r="GC143" s="20">
        <f t="shared" si="133"/>
        <v>693.34962213319261</v>
      </c>
      <c r="GD143" s="59">
        <f t="shared" si="134"/>
        <v>986.68295546652598</v>
      </c>
      <c r="GE143" s="59">
        <f ca="1">AVERAGE(OFFSET($GD$3,0,0,'Données projet'!$E$17+1,1))-AVERAGE(OFFSET($H$3,0,0,'Données projet'!$E$17+1,1))</f>
        <v>312.64506496298173</v>
      </c>
      <c r="GF143" s="59">
        <f t="shared" si="158"/>
        <v>259.97532509897508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34.52096158988337</v>
      </c>
      <c r="GM143" s="21">
        <f>EXP(-LN(2)/25)*GM142+(1-EXP(-LN(2)/25))/(LN(2)/25)*Calculateur!GH143*Calculateur!GJ143*VLOOKUP('Données projet'!$B$17,Paramètres!$A$1:$I$89,3,0)*0.475*44/12</f>
        <v>0.92721150170529143</v>
      </c>
      <c r="GN143" s="21">
        <f>EXP(-LN(2)/2)*GN142+(1-EXP(-LN(2)/2))/(LN(2)/2)*GH143*GK143*VLOOKUP('Données projet'!$B$17,Paramètres!$A$1:$I$89,3,0)*0.475*44/12</f>
        <v>1.0688477718344856E-16</v>
      </c>
      <c r="GO143" s="21">
        <f t="shared" si="135"/>
        <v>35.448173091588664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267</v>
      </c>
      <c r="GV143" s="17">
        <f>GU143*VLOOKUP('Données projet'!$B$18,Paramètres!$A$1:$I$89,3,0)*VLOOKUP('Données projet'!$B$18,Paramètres!$A$1:$I$89,5,0)</f>
        <v>270.738</v>
      </c>
      <c r="GW143" s="13">
        <f t="shared" si="159"/>
        <v>65.005866623551711</v>
      </c>
      <c r="GX143" s="20">
        <f t="shared" si="136"/>
        <v>584.7539010360191</v>
      </c>
      <c r="GY143" s="59">
        <f t="shared" si="137"/>
        <v>878.08723436935247</v>
      </c>
      <c r="GZ143" s="59">
        <f ca="1">AVERAGE(OFFSET($GY$3,0,0,'Données projet'!$E$18+1,1))-AVERAGE(OFFSET($H$3,0,0,'Données projet'!$E$18+1,1))</f>
        <v>308.80022073574963</v>
      </c>
      <c r="HA143" s="59">
        <f t="shared" si="160"/>
        <v>183.96267407004115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51.6306871833496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51.6306871833496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344.49457749226184</v>
      </c>
      <c r="T144" s="59">
        <f t="shared" si="142"/>
        <v>207.92972431357452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208.99999999999989</v>
      </c>
      <c r="AJ144" s="13">
        <f>AI144*VLOOKUP('Données projet'!$B$10,Paramètres!$A$1:$I$89,3,0)*VLOOKUP('Données projet'!$B$10,Paramètres!$A$1:$I$89,5,0)</f>
        <v>189.1031999999999</v>
      </c>
      <c r="AK144" s="13">
        <f t="shared" si="143"/>
        <v>47.34162854278712</v>
      </c>
      <c r="AL144" s="20">
        <f t="shared" si="112"/>
        <v>411.80807637868742</v>
      </c>
      <c r="AM144" s="59">
        <f t="shared" si="113"/>
        <v>705.14140971202073</v>
      </c>
      <c r="AN144" s="59">
        <f ca="1">AVERAGE(OFFSET($AM$3,0,0,'Données projet'!$E$10+1,1))-AVERAGE(OFFSET($H$3,0,0,'Données projet'!$E$10+1,1))</f>
        <v>183.0147113277086</v>
      </c>
      <c r="AO144" s="59">
        <f t="shared" si="144"/>
        <v>76.413905647258389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33.938922834650995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33.938922834650995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253.79640000000001</v>
      </c>
      <c r="BF144" s="13">
        <f t="shared" si="145"/>
        <v>61.39816832228076</v>
      </c>
      <c r="BG144" s="20">
        <f t="shared" si="115"/>
        <v>548.96387316130563</v>
      </c>
      <c r="BH144" s="59">
        <f t="shared" si="116"/>
        <v>842.29720649463889</v>
      </c>
      <c r="BI144" s="59">
        <f ca="1">AVERAGE(OFFSET($BH$3,0,0,'Données projet'!$E$11+1,1))-AVERAGE(OFFSET($H$3,0,0,'Données projet'!$E$11+1,1))</f>
        <v>279.49721661620544</v>
      </c>
      <c r="BJ144" s="59">
        <f t="shared" si="146"/>
        <v>275.18739333988754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15.885467008183893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15.885467008183893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754.68411025369562</v>
      </c>
      <c r="CD144" s="59">
        <f ca="1">AVERAGE(OFFSET($CC$3,0,0,'Données projet'!$E$12+1,1))-AVERAGE(OFFSET($H$3,0,0,'Données projet'!$E$12+1,1))</f>
        <v>225.2323446080772</v>
      </c>
      <c r="CE144" s="59">
        <f t="shared" si="148"/>
        <v>222.29030402759292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12.962987746004002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12.962987746004002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213.00000000000003</v>
      </c>
      <c r="CU144" s="17">
        <f>CT144*VLOOKUP('Données projet'!$B$13,Paramètres!$A$1:$I$89,3,0)*VLOOKUP('Données projet'!$B$13,Paramètres!$A$1:$I$89,5,0)</f>
        <v>229.2732</v>
      </c>
      <c r="CV144" s="13">
        <f t="shared" si="149"/>
        <v>56.125501442527366</v>
      </c>
      <c r="CW144" s="20">
        <f t="shared" si="121"/>
        <v>497.06940501240177</v>
      </c>
      <c r="CX144" s="59">
        <f t="shared" si="122"/>
        <v>790.40273834573509</v>
      </c>
      <c r="CY144" s="59">
        <f ca="1">AVERAGE(OFFSET($CX$3,0,0,'Données projet'!$E$13+1,1))-AVERAGE(OFFSET($H$3,0,0,'Données projet'!$E$13+1,1))</f>
        <v>240.57184010337932</v>
      </c>
      <c r="CZ144" s="59">
        <f t="shared" si="150"/>
        <v>236.36473521227072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10.99295645828543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10.99295645828543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670.99999999999977</v>
      </c>
      <c r="DP144" s="17">
        <f>DO144*VLOOKUP('Données projet'!$B$14,Paramètres!$A$1:$I$89,3,0)*VLOOKUP('Données projet'!$B$14,Paramètres!$A$1:$I$89,5,0)</f>
        <v>314.02799999999991</v>
      </c>
      <c r="DQ144" s="13">
        <f t="shared" si="151"/>
        <v>74.109403804428752</v>
      </c>
      <c r="DR144" s="20">
        <f t="shared" si="124"/>
        <v>676.00597829271317</v>
      </c>
      <c r="DS144" s="59">
        <f t="shared" si="125"/>
        <v>969.33931162604654</v>
      </c>
      <c r="DT144" s="59">
        <f ca="1">AVERAGE(OFFSET($DS$3,0,0,'Données projet'!$E$14+1,1))-AVERAGE(OFFSET($H$3,0,0,'Données projet'!$E$14+1,1))</f>
        <v>304.29617570272939</v>
      </c>
      <c r="DU144" s="59">
        <f t="shared" si="152"/>
        <v>246.20695736161576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29.657523684585417</v>
      </c>
      <c r="EB144" s="21">
        <f>EXP(-LN(2)/25)*EB143+(1-EXP(-LN(2)/25))/(LN(2)/25)*Calculateur!DW144*Calculateur!DY144*VLOOKUP('Données projet'!$B$14,Paramètres!$A$1:$I$89,3,0)*0.475*44/12</f>
        <v>1.8854448709224416</v>
      </c>
      <c r="EC144" s="21">
        <f>EXP(-LN(2)/2)*EC143+(1-EXP(-LN(2)/2))/(LN(2)/2)*DW144*DZ144*VLOOKUP('Données projet'!$B$14,Paramètres!$A$1:$I$89,3,0)*0.475*44/12</f>
        <v>7.7213090227749912E-17</v>
      </c>
      <c r="ED144" s="22">
        <f t="shared" si="126"/>
        <v>31.542968555507858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477.9999999999996</v>
      </c>
      <c r="EK144" s="17">
        <f>EJ144*VLOOKUP('Données projet'!$B$15,Paramètres!$A$1:$I$89,3,0)*VLOOKUP('Données projet'!$B$15,Paramètres!$A$1:$I$89,5,0)</f>
        <v>285.84399999999977</v>
      </c>
      <c r="EL144" s="13">
        <f t="shared" si="153"/>
        <v>68.200525419065656</v>
      </c>
      <c r="EM144" s="20">
        <f t="shared" si="127"/>
        <v>616.62754843820551</v>
      </c>
      <c r="EN144" s="59">
        <f t="shared" si="128"/>
        <v>909.96088177153888</v>
      </c>
      <c r="EO144" s="59">
        <f ca="1">AVERAGE(OFFSET($EN$3,0,0,'Données projet'!$E$15+1,1))-AVERAGE(OFFSET($H$3,0,0,'Données projet'!$E$15+1,1))</f>
        <v>288.41846134875794</v>
      </c>
      <c r="EP144" s="59">
        <f t="shared" si="154"/>
        <v>248.93951719818972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21.456492721002984</v>
      </c>
      <c r="EW144" s="21">
        <f>EXP(-LN(2)/25)*EW143+(1-EXP(-LN(2)/25))/(LN(2)/25)*Calculateur!ER144*Calculateur!ET144*VLOOKUP('Données projet'!$B$15,Paramètres!$A$1:$I$89,3,0)*0.475*44/12</f>
        <v>1.2869872899628061</v>
      </c>
      <c r="EX144" s="21">
        <f>EXP(-LN(2)/2)*EX143+(1-EXP(-LN(2)/2))/(LN(2)/2)*ER144*EU144*VLOOKUP('Données projet'!$B$15,Paramètres!$A$1:$I$89,3,0)*0.475*44/12</f>
        <v>9.5510214746697354E-18</v>
      </c>
      <c r="EY144" s="22">
        <f t="shared" si="129"/>
        <v>22.74348001096579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789.00000000000045</v>
      </c>
      <c r="FF144" s="17">
        <f>FE144*VLOOKUP('Données projet'!$B$16,Paramètres!$A$1:$I$89,3,0)*VLOOKUP('Données projet'!$B$16,Paramètres!$A$1:$I$89,5,0)</f>
        <v>358.99500000000023</v>
      </c>
      <c r="FG144" s="13">
        <f t="shared" si="155"/>
        <v>83.411930940690553</v>
      </c>
      <c r="FH144" s="20">
        <f t="shared" si="130"/>
        <v>770.52540472170313</v>
      </c>
      <c r="FI144" s="59">
        <f t="shared" si="131"/>
        <v>1063.8587380550364</v>
      </c>
      <c r="FJ144" s="59">
        <f ca="1">AVERAGE(OFFSET($FI$3,0,0,'Données projet'!$E$16+1,1))-AVERAGE(OFFSET($H$3,0,0,'Données projet'!$E$16+1,1))</f>
        <v>367.36535411813264</v>
      </c>
      <c r="FK144" s="59">
        <f t="shared" si="156"/>
        <v>293.19545174980556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26.217269362505668</v>
      </c>
      <c r="FR144" s="21">
        <f>EXP(-LN(2)/25)*FR143+(1-EXP(-LN(2)/25))/(LN(2)/25)*Calculateur!FM144*Calculateur!FO144*VLOOKUP('Données projet'!$B$16,Paramètres!$A$1:$I$89,3,0)*0.475*44/12</f>
        <v>1.9947266772772956</v>
      </c>
      <c r="FS144" s="21">
        <f>EXP(-LN(2)/2)*FS143+(1-EXP(-LN(2)/2))/(LN(2)/2)*FM144*FP144*VLOOKUP('Données projet'!$B$16,Paramètres!$A$1:$I$89,3,0)*0.475*44/12</f>
        <v>1.421820304594016E-17</v>
      </c>
      <c r="FT144" s="22">
        <f t="shared" si="132"/>
        <v>28.211996039782964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669.99999999999989</v>
      </c>
      <c r="GA144" s="17">
        <f>FZ144*VLOOKUP('Données projet'!$B$17,Paramètres!$A$1:$I$89,3,0)*VLOOKUP('Données projet'!$B$17,Paramètres!$A$1:$I$89,5,0)</f>
        <v>322.26999999999992</v>
      </c>
      <c r="GB144" s="13">
        <f t="shared" si="157"/>
        <v>75.825476822885776</v>
      </c>
      <c r="GC144" s="20">
        <f t="shared" si="133"/>
        <v>693.34962213319261</v>
      </c>
      <c r="GD144" s="59">
        <f t="shared" si="134"/>
        <v>986.68295546652598</v>
      </c>
      <c r="GE144" s="59">
        <f ca="1">AVERAGE(OFFSET($GD$3,0,0,'Données projet'!$E$17+1,1))-AVERAGE(OFFSET($H$3,0,0,'Données projet'!$E$17+1,1))</f>
        <v>312.64506496298173</v>
      </c>
      <c r="GF144" s="59">
        <f t="shared" si="158"/>
        <v>259.97532509897508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33.84402658881325</v>
      </c>
      <c r="GM144" s="21">
        <f>EXP(-LN(2)/25)*GM143+(1-EXP(-LN(2)/25))/(LN(2)/25)*Calculateur!GH144*Calculateur!GJ144*VLOOKUP('Données projet'!$B$17,Paramètres!$A$1:$I$89,3,0)*0.475*44/12</f>
        <v>0.90185685443122654</v>
      </c>
      <c r="GN144" s="21">
        <f>EXP(-LN(2)/2)*GN143+(1-EXP(-LN(2)/2))/(LN(2)/2)*GH144*GK144*VLOOKUP('Données projet'!$B$17,Paramètres!$A$1:$I$89,3,0)*0.475*44/12</f>
        <v>7.5578950752029647E-17</v>
      </c>
      <c r="GO144" s="21">
        <f t="shared" si="135"/>
        <v>34.745883443244473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267</v>
      </c>
      <c r="GV144" s="17">
        <f>GU144*VLOOKUP('Données projet'!$B$18,Paramètres!$A$1:$I$89,3,0)*VLOOKUP('Données projet'!$B$18,Paramètres!$A$1:$I$89,5,0)</f>
        <v>270.738</v>
      </c>
      <c r="GW144" s="13">
        <f t="shared" si="159"/>
        <v>65.005866623551711</v>
      </c>
      <c r="GX144" s="20">
        <f t="shared" si="136"/>
        <v>584.7539010360191</v>
      </c>
      <c r="GY144" s="59">
        <f t="shared" si="137"/>
        <v>878.08723436935247</v>
      </c>
      <c r="GZ144" s="59">
        <f ca="1">AVERAGE(OFFSET($GY$3,0,0,'Données projet'!$E$18+1,1))-AVERAGE(OFFSET($H$3,0,0,'Données projet'!$E$18+1,1))</f>
        <v>308.80022073574963</v>
      </c>
      <c r="HA144" s="59">
        <f t="shared" si="160"/>
        <v>183.96267407004115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50.61824089929376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50.61824089929376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344.49457749226184</v>
      </c>
      <c r="T145" s="59">
        <f t="shared" si="142"/>
        <v>207.92972431357452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208.99999999999989</v>
      </c>
      <c r="AJ145" s="13">
        <f>AI145*VLOOKUP('Données projet'!$B$10,Paramètres!$A$1:$I$89,3,0)*VLOOKUP('Données projet'!$B$10,Paramètres!$A$1:$I$89,5,0)</f>
        <v>189.1031999999999</v>
      </c>
      <c r="AK145" s="13">
        <f t="shared" si="143"/>
        <v>47.34162854278712</v>
      </c>
      <c r="AL145" s="20">
        <f t="shared" si="112"/>
        <v>411.80807637868742</v>
      </c>
      <c r="AM145" s="59">
        <f t="shared" si="113"/>
        <v>705.14140971202073</v>
      </c>
      <c r="AN145" s="59">
        <f ca="1">AVERAGE(OFFSET($AM$3,0,0,'Données projet'!$E$10+1,1))-AVERAGE(OFFSET($H$3,0,0,'Données projet'!$E$10+1,1))</f>
        <v>183.0147113277086</v>
      </c>
      <c r="AO145" s="59">
        <f t="shared" si="144"/>
        <v>76.413905647258389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33.273401258562394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33.273401258562394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253.79640000000001</v>
      </c>
      <c r="BF145" s="13">
        <f t="shared" si="145"/>
        <v>61.39816832228076</v>
      </c>
      <c r="BG145" s="20">
        <f t="shared" si="115"/>
        <v>548.96387316130563</v>
      </c>
      <c r="BH145" s="59">
        <f t="shared" si="116"/>
        <v>842.29720649463889</v>
      </c>
      <c r="BI145" s="59">
        <f ca="1">AVERAGE(OFFSET($BH$3,0,0,'Données projet'!$E$11+1,1))-AVERAGE(OFFSET($H$3,0,0,'Données projet'!$E$11+1,1))</f>
        <v>279.49721661620544</v>
      </c>
      <c r="BJ145" s="59">
        <f t="shared" si="146"/>
        <v>275.18739333988754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15.573962689331555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15.573962689331555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754.68411025369562</v>
      </c>
      <c r="CD145" s="59">
        <f ca="1">AVERAGE(OFFSET($CC$3,0,0,'Données projet'!$E$12+1,1))-AVERAGE(OFFSET($H$3,0,0,'Données projet'!$E$12+1,1))</f>
        <v>225.2323446080772</v>
      </c>
      <c r="CE145" s="59">
        <f t="shared" si="148"/>
        <v>222.29030402759292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12.708791462946673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12.708791462946673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213.00000000000003</v>
      </c>
      <c r="CU145" s="17">
        <f>CT145*VLOOKUP('Données projet'!$B$13,Paramètres!$A$1:$I$89,3,0)*VLOOKUP('Données projet'!$B$13,Paramètres!$A$1:$I$89,5,0)</f>
        <v>229.2732</v>
      </c>
      <c r="CV145" s="13">
        <f t="shared" si="149"/>
        <v>56.125501442527366</v>
      </c>
      <c r="CW145" s="20">
        <f t="shared" si="121"/>
        <v>497.06940501240177</v>
      </c>
      <c r="CX145" s="59">
        <f t="shared" si="122"/>
        <v>790.40273834573509</v>
      </c>
      <c r="CY145" s="59">
        <f ca="1">AVERAGE(OFFSET($CX$3,0,0,'Données projet'!$E$13+1,1))-AVERAGE(OFFSET($H$3,0,0,'Données projet'!$E$13+1,1))</f>
        <v>240.57184010337932</v>
      </c>
      <c r="CZ145" s="59">
        <f t="shared" si="150"/>
        <v>236.36473521227072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10.777391287179825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10.777391287179825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670.99999999999977</v>
      </c>
      <c r="DP145" s="17">
        <f>DO145*VLOOKUP('Données projet'!$B$14,Paramètres!$A$1:$I$89,3,0)*VLOOKUP('Données projet'!$B$14,Paramètres!$A$1:$I$89,5,0)</f>
        <v>314.02799999999991</v>
      </c>
      <c r="DQ145" s="13">
        <f t="shared" si="151"/>
        <v>74.109403804428752</v>
      </c>
      <c r="DR145" s="20">
        <f t="shared" si="124"/>
        <v>676.00597829271317</v>
      </c>
      <c r="DS145" s="59">
        <f t="shared" si="125"/>
        <v>969.33931162604654</v>
      </c>
      <c r="DT145" s="59">
        <f ca="1">AVERAGE(OFFSET($DS$3,0,0,'Données projet'!$E$14+1,1))-AVERAGE(OFFSET($H$3,0,0,'Données projet'!$E$14+1,1))</f>
        <v>304.29617570272939</v>
      </c>
      <c r="DU145" s="59">
        <f t="shared" si="152"/>
        <v>246.20695736161576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29.075957734433974</v>
      </c>
      <c r="EB145" s="21">
        <f>EXP(-LN(2)/25)*EB144+(1-EXP(-LN(2)/25))/(LN(2)/25)*Calculateur!DW145*Calculateur!DY145*VLOOKUP('Données projet'!$B$14,Paramètres!$A$1:$I$89,3,0)*0.475*44/12</f>
        <v>1.8338872817758309</v>
      </c>
      <c r="EC145" s="21">
        <f>EXP(-LN(2)/2)*EC144+(1-EXP(-LN(2)/2))/(LN(2)/2)*DW145*DZ145*VLOOKUP('Données projet'!$B$14,Paramètres!$A$1:$I$89,3,0)*0.475*44/12</f>
        <v>5.4597899696410712E-17</v>
      </c>
      <c r="ED145" s="22">
        <f t="shared" si="126"/>
        <v>30.909845016209804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477.9999999999996</v>
      </c>
      <c r="EK145" s="17">
        <f>EJ145*VLOOKUP('Données projet'!$B$15,Paramètres!$A$1:$I$89,3,0)*VLOOKUP('Données projet'!$B$15,Paramètres!$A$1:$I$89,5,0)</f>
        <v>285.84399999999977</v>
      </c>
      <c r="EL145" s="13">
        <f t="shared" si="153"/>
        <v>68.200525419065656</v>
      </c>
      <c r="EM145" s="20">
        <f t="shared" si="127"/>
        <v>616.62754843820551</v>
      </c>
      <c r="EN145" s="59">
        <f t="shared" si="128"/>
        <v>909.96088177153888</v>
      </c>
      <c r="EO145" s="59">
        <f ca="1">AVERAGE(OFFSET($EN$3,0,0,'Données projet'!$E$15+1,1))-AVERAGE(OFFSET($H$3,0,0,'Données projet'!$E$15+1,1))</f>
        <v>288.41846134875794</v>
      </c>
      <c r="EP145" s="59">
        <f t="shared" si="154"/>
        <v>248.93951719818972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21.035743985912426</v>
      </c>
      <c r="EW145" s="21">
        <f>EXP(-LN(2)/25)*EW144+(1-EXP(-LN(2)/25))/(LN(2)/25)*Calculateur!ER145*Calculateur!ET145*VLOOKUP('Données projet'!$B$15,Paramètres!$A$1:$I$89,3,0)*0.475*44/12</f>
        <v>1.251794554839053</v>
      </c>
      <c r="EX145" s="21">
        <f>EXP(-LN(2)/2)*EX144+(1-EXP(-LN(2)/2))/(LN(2)/2)*ER145*EU145*VLOOKUP('Données projet'!$B$15,Paramètres!$A$1:$I$89,3,0)*0.475*44/12</f>
        <v>6.7535920519973098E-18</v>
      </c>
      <c r="EY145" s="22">
        <f t="shared" si="129"/>
        <v>22.287538540751477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789.00000000000045</v>
      </c>
      <c r="FF145" s="17">
        <f>FE145*VLOOKUP('Données projet'!$B$16,Paramètres!$A$1:$I$89,3,0)*VLOOKUP('Données projet'!$B$16,Paramètres!$A$1:$I$89,5,0)</f>
        <v>358.99500000000023</v>
      </c>
      <c r="FG145" s="13">
        <f t="shared" si="155"/>
        <v>83.411930940690553</v>
      </c>
      <c r="FH145" s="20">
        <f t="shared" si="130"/>
        <v>770.52540472170313</v>
      </c>
      <c r="FI145" s="59">
        <f t="shared" si="131"/>
        <v>1063.8587380550364</v>
      </c>
      <c r="FJ145" s="59">
        <f ca="1">AVERAGE(OFFSET($FI$3,0,0,'Données projet'!$E$16+1,1))-AVERAGE(OFFSET($H$3,0,0,'Données projet'!$E$16+1,1))</f>
        <v>367.36535411813264</v>
      </c>
      <c r="FK145" s="59">
        <f t="shared" si="156"/>
        <v>293.19545174980556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25.703164701262267</v>
      </c>
      <c r="FR145" s="21">
        <f>EXP(-LN(2)/25)*FR144+(1-EXP(-LN(2)/25))/(LN(2)/25)*Calculateur!FM145*Calculateur!FO145*VLOOKUP('Données projet'!$B$16,Paramètres!$A$1:$I$89,3,0)*0.475*44/12</f>
        <v>1.9401807713890309</v>
      </c>
      <c r="FS145" s="21">
        <f>EXP(-LN(2)/2)*FS144+(1-EXP(-LN(2)/2))/(LN(2)/2)*FM145*FP145*VLOOKUP('Données projet'!$B$16,Paramètres!$A$1:$I$89,3,0)*0.475*44/12</f>
        <v>1.0053787790071512E-17</v>
      </c>
      <c r="FT145" s="22">
        <f t="shared" si="132"/>
        <v>27.643345472651298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669.99999999999989</v>
      </c>
      <c r="GA145" s="17">
        <f>FZ145*VLOOKUP('Données projet'!$B$17,Paramètres!$A$1:$I$89,3,0)*VLOOKUP('Données projet'!$B$17,Paramètres!$A$1:$I$89,5,0)</f>
        <v>322.26999999999992</v>
      </c>
      <c r="GB145" s="13">
        <f t="shared" si="157"/>
        <v>75.825476822885776</v>
      </c>
      <c r="GC145" s="20">
        <f t="shared" si="133"/>
        <v>693.34962213319261</v>
      </c>
      <c r="GD145" s="59">
        <f t="shared" si="134"/>
        <v>986.68295546652598</v>
      </c>
      <c r="GE145" s="59">
        <f ca="1">AVERAGE(OFFSET($GD$3,0,0,'Données projet'!$E$17+1,1))-AVERAGE(OFFSET($H$3,0,0,'Données projet'!$E$17+1,1))</f>
        <v>312.64506496298173</v>
      </c>
      <c r="GF145" s="59">
        <f t="shared" si="158"/>
        <v>259.97532509897508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33.180365870224534</v>
      </c>
      <c r="GM145" s="21">
        <f>EXP(-LN(2)/25)*GM144+(1-EXP(-LN(2)/25))/(LN(2)/25)*Calculateur!GH145*Calculateur!GJ145*VLOOKUP('Données projet'!$B$17,Paramètres!$A$1:$I$89,3,0)*0.475*44/12</f>
        <v>0.87719553132021388</v>
      </c>
      <c r="GN145" s="21">
        <f>EXP(-LN(2)/2)*GN144+(1-EXP(-LN(2)/2))/(LN(2)/2)*GH145*GK145*VLOOKUP('Données projet'!$B$17,Paramètres!$A$1:$I$89,3,0)*0.475*44/12</f>
        <v>5.344238859172428E-17</v>
      </c>
      <c r="GO145" s="21">
        <f t="shared" si="135"/>
        <v>34.057561401544746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267</v>
      </c>
      <c r="GV145" s="17">
        <f>GU145*VLOOKUP('Données projet'!$B$18,Paramètres!$A$1:$I$89,3,0)*VLOOKUP('Données projet'!$B$18,Paramètres!$A$1:$I$89,5,0)</f>
        <v>270.738</v>
      </c>
      <c r="GW145" s="13">
        <f t="shared" si="159"/>
        <v>65.005866623551711</v>
      </c>
      <c r="GX145" s="20">
        <f t="shared" si="136"/>
        <v>584.7539010360191</v>
      </c>
      <c r="GY145" s="59">
        <f t="shared" si="137"/>
        <v>878.08723436935247</v>
      </c>
      <c r="GZ145" s="59">
        <f ca="1">AVERAGE(OFFSET($GY$3,0,0,'Données projet'!$E$18+1,1))-AVERAGE(OFFSET($H$3,0,0,'Données projet'!$E$18+1,1))</f>
        <v>308.80022073574963</v>
      </c>
      <c r="HA145" s="59">
        <f t="shared" si="160"/>
        <v>183.96267407004115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49.625648069336997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49.625648069336997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344.49457749226184</v>
      </c>
      <c r="T146" s="59">
        <f t="shared" si="142"/>
        <v>207.92972431357452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208.99999999999989</v>
      </c>
      <c r="AJ146" s="13">
        <f>AI146*VLOOKUP('Données projet'!$B$10,Paramètres!$A$1:$I$89,3,0)*VLOOKUP('Données projet'!$B$10,Paramètres!$A$1:$I$89,5,0)</f>
        <v>189.1031999999999</v>
      </c>
      <c r="AK146" s="13">
        <f t="shared" si="143"/>
        <v>47.34162854278712</v>
      </c>
      <c r="AL146" s="20">
        <f t="shared" si="112"/>
        <v>411.80807637868742</v>
      </c>
      <c r="AM146" s="59">
        <f t="shared" si="113"/>
        <v>705.14140971202073</v>
      </c>
      <c r="AN146" s="59">
        <f ca="1">AVERAGE(OFFSET($AM$3,0,0,'Données projet'!$E$10+1,1))-AVERAGE(OFFSET($H$3,0,0,'Données projet'!$E$10+1,1))</f>
        <v>183.0147113277086</v>
      </c>
      <c r="AO146" s="59">
        <f t="shared" si="144"/>
        <v>76.413905647258389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32.620930154652811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32.620930154652811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253.79640000000001</v>
      </c>
      <c r="BF146" s="13">
        <f t="shared" si="145"/>
        <v>61.39816832228076</v>
      </c>
      <c r="BG146" s="20">
        <f t="shared" si="115"/>
        <v>548.96387316130563</v>
      </c>
      <c r="BH146" s="59">
        <f t="shared" si="116"/>
        <v>842.29720649463889</v>
      </c>
      <c r="BI146" s="59">
        <f ca="1">AVERAGE(OFFSET($BH$3,0,0,'Données projet'!$E$11+1,1))-AVERAGE(OFFSET($H$3,0,0,'Données projet'!$E$11+1,1))</f>
        <v>279.49721661620544</v>
      </c>
      <c r="BJ146" s="59">
        <f t="shared" si="146"/>
        <v>275.18739333988754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15.268566780173037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15.268566780173037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754.68411025369562</v>
      </c>
      <c r="CD146" s="59">
        <f ca="1">AVERAGE(OFFSET($CC$3,0,0,'Données projet'!$E$12+1,1))-AVERAGE(OFFSET($H$3,0,0,'Données projet'!$E$12+1,1))</f>
        <v>225.2323446080772</v>
      </c>
      <c r="CE146" s="59">
        <f t="shared" si="148"/>
        <v>222.29030402759292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12.459579813955674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12.459579813955674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213.00000000000003</v>
      </c>
      <c r="CU146" s="17">
        <f>CT146*VLOOKUP('Données projet'!$B$13,Paramètres!$A$1:$I$89,3,0)*VLOOKUP('Données projet'!$B$13,Paramètres!$A$1:$I$89,5,0)</f>
        <v>229.2732</v>
      </c>
      <c r="CV146" s="13">
        <f t="shared" si="149"/>
        <v>56.125501442527366</v>
      </c>
      <c r="CW146" s="20">
        <f t="shared" si="121"/>
        <v>497.06940501240177</v>
      </c>
      <c r="CX146" s="59">
        <f t="shared" si="122"/>
        <v>790.40273834573509</v>
      </c>
      <c r="CY146" s="59">
        <f ca="1">AVERAGE(OFFSET($CX$3,0,0,'Données projet'!$E$13+1,1))-AVERAGE(OFFSET($H$3,0,0,'Données projet'!$E$13+1,1))</f>
        <v>240.57184010337932</v>
      </c>
      <c r="CZ146" s="59">
        <f t="shared" si="150"/>
        <v>236.36473521227072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10.566053217597828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10.566053217597828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670.99999999999977</v>
      </c>
      <c r="DP146" s="17">
        <f>DO146*VLOOKUP('Données projet'!$B$14,Paramètres!$A$1:$I$89,3,0)*VLOOKUP('Données projet'!$B$14,Paramètres!$A$1:$I$89,5,0)</f>
        <v>314.02799999999991</v>
      </c>
      <c r="DQ146" s="13">
        <f t="shared" si="151"/>
        <v>74.109403804428752</v>
      </c>
      <c r="DR146" s="20">
        <f t="shared" si="124"/>
        <v>676.00597829271317</v>
      </c>
      <c r="DS146" s="59">
        <f t="shared" si="125"/>
        <v>969.33931162604654</v>
      </c>
      <c r="DT146" s="59">
        <f ca="1">AVERAGE(OFFSET($DS$3,0,0,'Données projet'!$E$14+1,1))-AVERAGE(OFFSET($H$3,0,0,'Données projet'!$E$14+1,1))</f>
        <v>304.29617570272939</v>
      </c>
      <c r="DU146" s="59">
        <f t="shared" si="152"/>
        <v>246.20695736161576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28.505795937844798</v>
      </c>
      <c r="EB146" s="21">
        <f>EXP(-LN(2)/25)*EB145+(1-EXP(-LN(2)/25))/(LN(2)/25)*Calculateur!DW146*Calculateur!DY146*VLOOKUP('Données projet'!$B$14,Paramètres!$A$1:$I$89,3,0)*0.475*44/12</f>
        <v>1.7837395376157301</v>
      </c>
      <c r="EC146" s="21">
        <f>EXP(-LN(2)/2)*EC145+(1-EXP(-LN(2)/2))/(LN(2)/2)*DW146*DZ146*VLOOKUP('Données projet'!$B$14,Paramètres!$A$1:$I$89,3,0)*0.475*44/12</f>
        <v>3.8606545113874962E-17</v>
      </c>
      <c r="ED146" s="22">
        <f t="shared" si="126"/>
        <v>30.289535475460529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477.9999999999996</v>
      </c>
      <c r="EK146" s="17">
        <f>EJ146*VLOOKUP('Données projet'!$B$15,Paramètres!$A$1:$I$89,3,0)*VLOOKUP('Données projet'!$B$15,Paramètres!$A$1:$I$89,5,0)</f>
        <v>285.84399999999977</v>
      </c>
      <c r="EL146" s="13">
        <f t="shared" si="153"/>
        <v>68.200525419065656</v>
      </c>
      <c r="EM146" s="20">
        <f t="shared" si="127"/>
        <v>616.62754843820551</v>
      </c>
      <c r="EN146" s="59">
        <f t="shared" si="128"/>
        <v>909.96088177153888</v>
      </c>
      <c r="EO146" s="59">
        <f ca="1">AVERAGE(OFFSET($EN$3,0,0,'Données projet'!$E$15+1,1))-AVERAGE(OFFSET($H$3,0,0,'Données projet'!$E$15+1,1))</f>
        <v>288.41846134875794</v>
      </c>
      <c r="EP146" s="59">
        <f t="shared" si="154"/>
        <v>248.93951719818972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20.623245876885605</v>
      </c>
      <c r="EW146" s="21">
        <f>EXP(-LN(2)/25)*EW145+(1-EXP(-LN(2)/25))/(LN(2)/25)*Calculateur!ER146*Calculateur!ET146*VLOOKUP('Données projet'!$B$15,Paramètres!$A$1:$I$89,3,0)*0.475*44/12</f>
        <v>1.2175641669079644</v>
      </c>
      <c r="EX146" s="21">
        <f>EXP(-LN(2)/2)*EX145+(1-EXP(-LN(2)/2))/(LN(2)/2)*ER146*EU146*VLOOKUP('Données projet'!$B$15,Paramètres!$A$1:$I$89,3,0)*0.475*44/12</f>
        <v>4.7755107373348685E-18</v>
      </c>
      <c r="EY146" s="22">
        <f t="shared" si="129"/>
        <v>21.840810043793571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789.00000000000045</v>
      </c>
      <c r="FF146" s="17">
        <f>FE146*VLOOKUP('Données projet'!$B$16,Paramètres!$A$1:$I$89,3,0)*VLOOKUP('Données projet'!$B$16,Paramètres!$A$1:$I$89,5,0)</f>
        <v>358.99500000000023</v>
      </c>
      <c r="FG146" s="13">
        <f t="shared" si="155"/>
        <v>83.411930940690553</v>
      </c>
      <c r="FH146" s="20">
        <f t="shared" si="130"/>
        <v>770.52540472170313</v>
      </c>
      <c r="FI146" s="59">
        <f t="shared" si="131"/>
        <v>1063.8587380550364</v>
      </c>
      <c r="FJ146" s="59">
        <f ca="1">AVERAGE(OFFSET($FI$3,0,0,'Données projet'!$E$16+1,1))-AVERAGE(OFFSET($H$3,0,0,'Données projet'!$E$16+1,1))</f>
        <v>367.36535411813264</v>
      </c>
      <c r="FK146" s="59">
        <f t="shared" si="156"/>
        <v>293.19545174980556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25.19914131885297</v>
      </c>
      <c r="FR146" s="21">
        <f>EXP(-LN(2)/25)*FR145+(1-EXP(-LN(2)/25))/(LN(2)/25)*Calculateur!FM146*Calculateur!FO146*VLOOKUP('Données projet'!$B$16,Paramètres!$A$1:$I$89,3,0)*0.475*44/12</f>
        <v>1.8871264261657255</v>
      </c>
      <c r="FS146" s="21">
        <f>EXP(-LN(2)/2)*FS145+(1-EXP(-LN(2)/2))/(LN(2)/2)*FM146*FP146*VLOOKUP('Données projet'!$B$16,Paramètres!$A$1:$I$89,3,0)*0.475*44/12</f>
        <v>7.1091015229700798E-18</v>
      </c>
      <c r="FT146" s="22">
        <f t="shared" si="132"/>
        <v>27.086267745018695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669.99999999999989</v>
      </c>
      <c r="GA146" s="17">
        <f>FZ146*VLOOKUP('Données projet'!$B$17,Paramètres!$A$1:$I$89,3,0)*VLOOKUP('Données projet'!$B$17,Paramètres!$A$1:$I$89,5,0)</f>
        <v>322.26999999999992</v>
      </c>
      <c r="GB146" s="13">
        <f t="shared" si="157"/>
        <v>75.825476822885776</v>
      </c>
      <c r="GC146" s="20">
        <f t="shared" si="133"/>
        <v>693.34962213319261</v>
      </c>
      <c r="GD146" s="59">
        <f t="shared" si="134"/>
        <v>986.68295546652598</v>
      </c>
      <c r="GE146" s="59">
        <f ca="1">AVERAGE(OFFSET($GD$3,0,0,'Données projet'!$E$17+1,1))-AVERAGE(OFFSET($H$3,0,0,'Données projet'!$E$17+1,1))</f>
        <v>312.64506496298173</v>
      </c>
      <c r="GF146" s="59">
        <f t="shared" si="158"/>
        <v>259.97532509897508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32.529719133534272</v>
      </c>
      <c r="GM146" s="21">
        <f>EXP(-LN(2)/25)*GM145+(1-EXP(-LN(2)/25))/(LN(2)/25)*Calculateur!GH146*Calculateur!GJ146*VLOOKUP('Données projet'!$B$17,Paramètres!$A$1:$I$89,3,0)*0.475*44/12</f>
        <v>0.85320857338655454</v>
      </c>
      <c r="GN146" s="21">
        <f>EXP(-LN(2)/2)*GN145+(1-EXP(-LN(2)/2))/(LN(2)/2)*GH146*GK146*VLOOKUP('Données projet'!$B$17,Paramètres!$A$1:$I$89,3,0)*0.475*44/12</f>
        <v>3.7789475376014823E-17</v>
      </c>
      <c r="GO146" s="21">
        <f t="shared" si="135"/>
        <v>33.382927706920825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267</v>
      </c>
      <c r="GV146" s="17">
        <f>GU146*VLOOKUP('Données projet'!$B$18,Paramètres!$A$1:$I$89,3,0)*VLOOKUP('Données projet'!$B$18,Paramètres!$A$1:$I$89,5,0)</f>
        <v>270.738</v>
      </c>
      <c r="GW146" s="13">
        <f t="shared" si="159"/>
        <v>65.005866623551711</v>
      </c>
      <c r="GX146" s="20">
        <f t="shared" si="136"/>
        <v>584.7539010360191</v>
      </c>
      <c r="GY146" s="59">
        <f t="shared" si="137"/>
        <v>878.08723436935247</v>
      </c>
      <c r="GZ146" s="59">
        <f ca="1">AVERAGE(OFFSET($GY$3,0,0,'Données projet'!$E$18+1,1))-AVERAGE(OFFSET($H$3,0,0,'Données projet'!$E$18+1,1))</f>
        <v>308.80022073574963</v>
      </c>
      <c r="HA146" s="59">
        <f t="shared" si="160"/>
        <v>183.96267407004115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48.652519379353841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48.652519379353841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344.49457749226184</v>
      </c>
      <c r="T147" s="59">
        <f t="shared" si="142"/>
        <v>207.92972431357452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208.99999999999989</v>
      </c>
      <c r="AJ147" s="13">
        <f>AI147*VLOOKUP('Données projet'!$B$10,Paramètres!$A$1:$I$89,3,0)*VLOOKUP('Données projet'!$B$10,Paramètres!$A$1:$I$89,5,0)</f>
        <v>189.1031999999999</v>
      </c>
      <c r="AK147" s="13">
        <f t="shared" si="143"/>
        <v>47.34162854278712</v>
      </c>
      <c r="AL147" s="20">
        <f t="shared" si="112"/>
        <v>411.80807637868742</v>
      </c>
      <c r="AM147" s="59">
        <f t="shared" si="113"/>
        <v>705.14140971202073</v>
      </c>
      <c r="AN147" s="59">
        <f ca="1">AVERAGE(OFFSET($AM$3,0,0,'Données projet'!$E$10+1,1))-AVERAGE(OFFSET($H$3,0,0,'Données projet'!$E$10+1,1))</f>
        <v>183.0147113277086</v>
      </c>
      <c r="AO147" s="59">
        <f t="shared" si="144"/>
        <v>76.413905647258389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31.981253611122817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31.981253611122817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253.79640000000001</v>
      </c>
      <c r="BF147" s="13">
        <f t="shared" si="145"/>
        <v>61.39816832228076</v>
      </c>
      <c r="BG147" s="20">
        <f t="shared" si="115"/>
        <v>548.96387316130563</v>
      </c>
      <c r="BH147" s="59">
        <f t="shared" si="116"/>
        <v>842.29720649463889</v>
      </c>
      <c r="BI147" s="59">
        <f ca="1">AVERAGE(OFFSET($BH$3,0,0,'Données projet'!$E$11+1,1))-AVERAGE(OFFSET($H$3,0,0,'Données projet'!$E$11+1,1))</f>
        <v>279.49721661620544</v>
      </c>
      <c r="BJ147" s="59">
        <f t="shared" si="146"/>
        <v>275.18739333988754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14.969159498520007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14.969159498520007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754.68411025369562</v>
      </c>
      <c r="CD147" s="59">
        <f ca="1">AVERAGE(OFFSET($CC$3,0,0,'Données projet'!$E$12+1,1))-AVERAGE(OFFSET($H$3,0,0,'Données projet'!$E$12+1,1))</f>
        <v>225.2323446080772</v>
      </c>
      <c r="CE147" s="59">
        <f t="shared" si="148"/>
        <v>222.29030402759292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12.215255053397293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12.215255053397293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213.00000000000003</v>
      </c>
      <c r="CU147" s="17">
        <f>CT147*VLOOKUP('Données projet'!$B$13,Paramètres!$A$1:$I$89,3,0)*VLOOKUP('Données projet'!$B$13,Paramètres!$A$1:$I$89,5,0)</f>
        <v>229.2732</v>
      </c>
      <c r="CV147" s="13">
        <f t="shared" si="149"/>
        <v>56.125501442527366</v>
      </c>
      <c r="CW147" s="20">
        <f t="shared" si="121"/>
        <v>497.06940501240177</v>
      </c>
      <c r="CX147" s="59">
        <f t="shared" si="122"/>
        <v>790.40273834573509</v>
      </c>
      <c r="CY147" s="59">
        <f ca="1">AVERAGE(OFFSET($CX$3,0,0,'Données projet'!$E$13+1,1))-AVERAGE(OFFSET($H$3,0,0,'Données projet'!$E$13+1,1))</f>
        <v>240.57184010337932</v>
      </c>
      <c r="CZ147" s="59">
        <f t="shared" si="150"/>
        <v>236.36473521227072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10.35885935865684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10.35885935865684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670.99999999999977</v>
      </c>
      <c r="DP147" s="17">
        <f>DO147*VLOOKUP('Données projet'!$B$14,Paramètres!$A$1:$I$89,3,0)*VLOOKUP('Données projet'!$B$14,Paramètres!$A$1:$I$89,5,0)</f>
        <v>314.02799999999991</v>
      </c>
      <c r="DQ147" s="13">
        <f t="shared" si="151"/>
        <v>74.109403804428752</v>
      </c>
      <c r="DR147" s="20">
        <f t="shared" si="124"/>
        <v>676.00597829271317</v>
      </c>
      <c r="DS147" s="59">
        <f t="shared" si="125"/>
        <v>969.33931162604654</v>
      </c>
      <c r="DT147" s="59">
        <f ca="1">AVERAGE(OFFSET($DS$3,0,0,'Données projet'!$E$14+1,1))-AVERAGE(OFFSET($H$3,0,0,'Données projet'!$E$14+1,1))</f>
        <v>304.29617570272939</v>
      </c>
      <c r="DU147" s="59">
        <f t="shared" si="152"/>
        <v>246.20695736161576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27.946814666322378</v>
      </c>
      <c r="EB147" s="21">
        <f>EXP(-LN(2)/25)*EB146+(1-EXP(-LN(2)/25))/(LN(2)/25)*Calculateur!DW147*Calculateur!DY147*VLOOKUP('Données projet'!$B$14,Paramètres!$A$1:$I$89,3,0)*0.475*44/12</f>
        <v>1.7349630861568426</v>
      </c>
      <c r="EC147" s="21">
        <f>EXP(-LN(2)/2)*EC146+(1-EXP(-LN(2)/2))/(LN(2)/2)*DW147*DZ147*VLOOKUP('Données projet'!$B$14,Paramètres!$A$1:$I$89,3,0)*0.475*44/12</f>
        <v>2.7298949848205359E-17</v>
      </c>
      <c r="ED147" s="22">
        <f t="shared" si="126"/>
        <v>29.681777752479221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477.9999999999996</v>
      </c>
      <c r="EK147" s="17">
        <f>EJ147*VLOOKUP('Données projet'!$B$15,Paramètres!$A$1:$I$89,3,0)*VLOOKUP('Données projet'!$B$15,Paramètres!$A$1:$I$89,5,0)</f>
        <v>285.84399999999977</v>
      </c>
      <c r="EL147" s="13">
        <f t="shared" si="153"/>
        <v>68.200525419065656</v>
      </c>
      <c r="EM147" s="20">
        <f t="shared" si="127"/>
        <v>616.62754843820551</v>
      </c>
      <c r="EN147" s="59">
        <f t="shared" si="128"/>
        <v>909.96088177153888</v>
      </c>
      <c r="EO147" s="59">
        <f ca="1">AVERAGE(OFFSET($EN$3,0,0,'Données projet'!$E$15+1,1))-AVERAGE(OFFSET($H$3,0,0,'Données projet'!$E$15+1,1))</f>
        <v>288.41846134875794</v>
      </c>
      <c r="EP147" s="59">
        <f t="shared" si="154"/>
        <v>248.93951719818972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20.218836604177795</v>
      </c>
      <c r="EW147" s="21">
        <f>EXP(-LN(2)/25)*EW146+(1-EXP(-LN(2)/25))/(LN(2)/25)*Calculateur!ER147*Calculateur!ET147*VLOOKUP('Données projet'!$B$15,Paramètres!$A$1:$I$89,3,0)*0.475*44/12</f>
        <v>1.1842698107349494</v>
      </c>
      <c r="EX147" s="21">
        <f>EXP(-LN(2)/2)*EX146+(1-EXP(-LN(2)/2))/(LN(2)/2)*ER147*EU147*VLOOKUP('Données projet'!$B$15,Paramètres!$A$1:$I$89,3,0)*0.475*44/12</f>
        <v>3.3767960259986553E-18</v>
      </c>
      <c r="EY147" s="22">
        <f t="shared" si="129"/>
        <v>21.403106414912745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789.00000000000045</v>
      </c>
      <c r="FF147" s="17">
        <f>FE147*VLOOKUP('Données projet'!$B$16,Paramètres!$A$1:$I$89,3,0)*VLOOKUP('Données projet'!$B$16,Paramètres!$A$1:$I$89,5,0)</f>
        <v>358.99500000000023</v>
      </c>
      <c r="FG147" s="13">
        <f t="shared" si="155"/>
        <v>83.411930940690553</v>
      </c>
      <c r="FH147" s="20">
        <f t="shared" si="130"/>
        <v>770.52540472170313</v>
      </c>
      <c r="FI147" s="59">
        <f t="shared" si="131"/>
        <v>1063.8587380550364</v>
      </c>
      <c r="FJ147" s="59">
        <f ca="1">AVERAGE(OFFSET($FI$3,0,0,'Données projet'!$E$16+1,1))-AVERAGE(OFFSET($H$3,0,0,'Données projet'!$E$16+1,1))</f>
        <v>367.36535411813264</v>
      </c>
      <c r="FK147" s="59">
        <f t="shared" si="156"/>
        <v>293.19545174980556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24.705001527548809</v>
      </c>
      <c r="FR147" s="21">
        <f>EXP(-LN(2)/25)*FR146+(1-EXP(-LN(2)/25))/(LN(2)/25)*Calculateur!FM147*Calculateur!FO147*VLOOKUP('Données projet'!$B$16,Paramètres!$A$1:$I$89,3,0)*0.475*44/12</f>
        <v>1.8355228548025579</v>
      </c>
      <c r="FS147" s="21">
        <f>EXP(-LN(2)/2)*FS146+(1-EXP(-LN(2)/2))/(LN(2)/2)*FM147*FP147*VLOOKUP('Données projet'!$B$16,Paramètres!$A$1:$I$89,3,0)*0.475*44/12</f>
        <v>5.0268938950357561E-18</v>
      </c>
      <c r="FT147" s="22">
        <f t="shared" si="132"/>
        <v>26.540524382351368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669.99999999999989</v>
      </c>
      <c r="GA147" s="17">
        <f>FZ147*VLOOKUP('Données projet'!$B$17,Paramètres!$A$1:$I$89,3,0)*VLOOKUP('Données projet'!$B$17,Paramètres!$A$1:$I$89,5,0)</f>
        <v>322.26999999999992</v>
      </c>
      <c r="GB147" s="13">
        <f t="shared" si="157"/>
        <v>75.825476822885776</v>
      </c>
      <c r="GC147" s="20">
        <f t="shared" si="133"/>
        <v>693.34962213319261</v>
      </c>
      <c r="GD147" s="59">
        <f t="shared" si="134"/>
        <v>986.68295546652598</v>
      </c>
      <c r="GE147" s="59">
        <f ca="1">AVERAGE(OFFSET($GD$3,0,0,'Données projet'!$E$17+1,1))-AVERAGE(OFFSET($H$3,0,0,'Données projet'!$E$17+1,1))</f>
        <v>312.64506496298173</v>
      </c>
      <c r="GF147" s="59">
        <f t="shared" si="158"/>
        <v>259.97532509897508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31.891831182495185</v>
      </c>
      <c r="GM147" s="21">
        <f>EXP(-LN(2)/25)*GM146+(1-EXP(-LN(2)/25))/(LN(2)/25)*Calculateur!GH147*Calculateur!GJ147*VLOOKUP('Données projet'!$B$17,Paramètres!$A$1:$I$89,3,0)*0.475*44/12</f>
        <v>0.82987754007901038</v>
      </c>
      <c r="GN147" s="21">
        <f>EXP(-LN(2)/2)*GN146+(1-EXP(-LN(2)/2))/(LN(2)/2)*GH147*GK147*VLOOKUP('Données projet'!$B$17,Paramètres!$A$1:$I$89,3,0)*0.475*44/12</f>
        <v>2.672119429586214E-17</v>
      </c>
      <c r="GO147" s="21">
        <f t="shared" si="135"/>
        <v>32.721708722574192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267</v>
      </c>
      <c r="GV147" s="17">
        <f>GU147*VLOOKUP('Données projet'!$B$18,Paramètres!$A$1:$I$89,3,0)*VLOOKUP('Données projet'!$B$18,Paramètres!$A$1:$I$89,5,0)</f>
        <v>270.738</v>
      </c>
      <c r="GW147" s="13">
        <f t="shared" si="159"/>
        <v>65.005866623551711</v>
      </c>
      <c r="GX147" s="20">
        <f t="shared" si="136"/>
        <v>584.7539010360191</v>
      </c>
      <c r="GY147" s="59">
        <f t="shared" si="137"/>
        <v>878.08723436935247</v>
      </c>
      <c r="GZ147" s="59">
        <f ca="1">AVERAGE(OFFSET($GY$3,0,0,'Données projet'!$E$18+1,1))-AVERAGE(OFFSET($H$3,0,0,'Données projet'!$E$18+1,1))</f>
        <v>308.80022073574963</v>
      </c>
      <c r="HA147" s="59">
        <f t="shared" si="160"/>
        <v>183.96267407004115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47.698473149431358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47.698473149431358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344.49457749226184</v>
      </c>
      <c r="T148" s="59">
        <f t="shared" si="142"/>
        <v>207.92972431357452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208.99999999999989</v>
      </c>
      <c r="AJ148" s="13">
        <f>AI148*VLOOKUP('Données projet'!$B$10,Paramètres!$A$1:$I$89,3,0)*VLOOKUP('Données projet'!$B$10,Paramètres!$A$1:$I$89,5,0)</f>
        <v>189.1031999999999</v>
      </c>
      <c r="AK148" s="13">
        <f t="shared" si="143"/>
        <v>47.34162854278712</v>
      </c>
      <c r="AL148" s="20">
        <f t="shared" si="112"/>
        <v>411.80807637868742</v>
      </c>
      <c r="AM148" s="59">
        <f t="shared" si="113"/>
        <v>705.14140971202073</v>
      </c>
      <c r="AN148" s="59">
        <f ca="1">AVERAGE(OFFSET($AM$3,0,0,'Données projet'!$E$10+1,1))-AVERAGE(OFFSET($H$3,0,0,'Données projet'!$E$10+1,1))</f>
        <v>183.0147113277086</v>
      </c>
      <c r="AO148" s="59">
        <f t="shared" si="144"/>
        <v>76.413905647258389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31.354120734447282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31.354120734447282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253.79640000000001</v>
      </c>
      <c r="BF148" s="13">
        <f t="shared" si="145"/>
        <v>61.39816832228076</v>
      </c>
      <c r="BG148" s="20">
        <f t="shared" si="115"/>
        <v>548.96387316130563</v>
      </c>
      <c r="BH148" s="59">
        <f t="shared" si="116"/>
        <v>842.29720649463889</v>
      </c>
      <c r="BI148" s="59">
        <f ca="1">AVERAGE(OFFSET($BH$3,0,0,'Données projet'!$E$11+1,1))-AVERAGE(OFFSET($H$3,0,0,'Données projet'!$E$11+1,1))</f>
        <v>279.49721661620544</v>
      </c>
      <c r="BJ148" s="59">
        <f t="shared" si="146"/>
        <v>275.18739333988754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14.675623411039783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14.675623411039783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754.68411025369562</v>
      </c>
      <c r="CD148" s="59">
        <f ca="1">AVERAGE(OFFSET($CC$3,0,0,'Données projet'!$E$12+1,1))-AVERAGE(OFFSET($H$3,0,0,'Données projet'!$E$12+1,1))</f>
        <v>225.2323446080772</v>
      </c>
      <c r="CE148" s="59">
        <f t="shared" si="148"/>
        <v>222.29030402759292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11.975721352370071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11.975721352370071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213.00000000000003</v>
      </c>
      <c r="CU148" s="17">
        <f>CT148*VLOOKUP('Données projet'!$B$13,Paramètres!$A$1:$I$89,3,0)*VLOOKUP('Données projet'!$B$13,Paramètres!$A$1:$I$89,5,0)</f>
        <v>229.2732</v>
      </c>
      <c r="CV148" s="13">
        <f t="shared" si="149"/>
        <v>56.125501442527366</v>
      </c>
      <c r="CW148" s="20">
        <f t="shared" si="121"/>
        <v>497.06940501240177</v>
      </c>
      <c r="CX148" s="59">
        <f t="shared" si="122"/>
        <v>790.40273834573509</v>
      </c>
      <c r="CY148" s="59">
        <f ca="1">AVERAGE(OFFSET($CX$3,0,0,'Données projet'!$E$13+1,1))-AVERAGE(OFFSET($H$3,0,0,'Données projet'!$E$13+1,1))</f>
        <v>240.57184010337932</v>
      </c>
      <c r="CZ148" s="59">
        <f t="shared" si="150"/>
        <v>236.36473521227072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10.15572844491391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10.15572844491391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670.99999999999977</v>
      </c>
      <c r="DP148" s="17">
        <f>DO148*VLOOKUP('Données projet'!$B$14,Paramètres!$A$1:$I$89,3,0)*VLOOKUP('Données projet'!$B$14,Paramètres!$A$1:$I$89,5,0)</f>
        <v>314.02799999999991</v>
      </c>
      <c r="DQ148" s="13">
        <f t="shared" si="151"/>
        <v>74.109403804428752</v>
      </c>
      <c r="DR148" s="20">
        <f t="shared" si="124"/>
        <v>676.00597829271317</v>
      </c>
      <c r="DS148" s="59">
        <f t="shared" si="125"/>
        <v>969.33931162604654</v>
      </c>
      <c r="DT148" s="59">
        <f ca="1">AVERAGE(OFFSET($DS$3,0,0,'Données projet'!$E$14+1,1))-AVERAGE(OFFSET($H$3,0,0,'Données projet'!$E$14+1,1))</f>
        <v>304.29617570272939</v>
      </c>
      <c r="DU148" s="59">
        <f t="shared" si="152"/>
        <v>246.20695736161576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27.398794676589603</v>
      </c>
      <c r="EB148" s="21">
        <f>EXP(-LN(2)/25)*EB147+(1-EXP(-LN(2)/25))/(LN(2)/25)*Calculateur!DW148*Calculateur!DY148*VLOOKUP('Données projet'!$B$14,Paramètres!$A$1:$I$89,3,0)*0.475*44/12</f>
        <v>1.6875204293281403</v>
      </c>
      <c r="EC148" s="21">
        <f>EXP(-LN(2)/2)*EC147+(1-EXP(-LN(2)/2))/(LN(2)/2)*DW148*DZ148*VLOOKUP('Données projet'!$B$14,Paramètres!$A$1:$I$89,3,0)*0.475*44/12</f>
        <v>1.9303272556937484E-17</v>
      </c>
      <c r="ED148" s="22">
        <f t="shared" si="126"/>
        <v>29.086315105917741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477.9999999999996</v>
      </c>
      <c r="EK148" s="17">
        <f>EJ148*VLOOKUP('Données projet'!$B$15,Paramètres!$A$1:$I$89,3,0)*VLOOKUP('Données projet'!$B$15,Paramètres!$A$1:$I$89,5,0)</f>
        <v>285.84399999999977</v>
      </c>
      <c r="EL148" s="13">
        <f t="shared" si="153"/>
        <v>68.200525419065656</v>
      </c>
      <c r="EM148" s="20">
        <f t="shared" si="127"/>
        <v>616.62754843820551</v>
      </c>
      <c r="EN148" s="59">
        <f t="shared" si="128"/>
        <v>909.96088177153888</v>
      </c>
      <c r="EO148" s="59">
        <f ca="1">AVERAGE(OFFSET($EN$3,0,0,'Données projet'!$E$15+1,1))-AVERAGE(OFFSET($H$3,0,0,'Données projet'!$E$15+1,1))</f>
        <v>288.41846134875794</v>
      </c>
      <c r="EP148" s="59">
        <f t="shared" si="154"/>
        <v>248.93951719818972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19.822357550642487</v>
      </c>
      <c r="EW148" s="21">
        <f>EXP(-LN(2)/25)*EW147+(1-EXP(-LN(2)/25))/(LN(2)/25)*Calculateur!ER148*Calculateur!ET148*VLOOKUP('Données projet'!$B$15,Paramètres!$A$1:$I$89,3,0)*0.475*44/12</f>
        <v>1.1518858904823595</v>
      </c>
      <c r="EX148" s="21">
        <f>EXP(-LN(2)/2)*EX147+(1-EXP(-LN(2)/2))/(LN(2)/2)*ER148*EU148*VLOOKUP('Données projet'!$B$15,Paramètres!$A$1:$I$89,3,0)*0.475*44/12</f>
        <v>2.3877553686674346E-18</v>
      </c>
      <c r="EY148" s="22">
        <f t="shared" si="129"/>
        <v>20.974243441124845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789.00000000000045</v>
      </c>
      <c r="FF148" s="17">
        <f>FE148*VLOOKUP('Données projet'!$B$16,Paramètres!$A$1:$I$89,3,0)*VLOOKUP('Données projet'!$B$16,Paramètres!$A$1:$I$89,5,0)</f>
        <v>358.99500000000023</v>
      </c>
      <c r="FG148" s="13">
        <f t="shared" si="155"/>
        <v>83.411930940690553</v>
      </c>
      <c r="FH148" s="20">
        <f t="shared" si="130"/>
        <v>770.52540472170313</v>
      </c>
      <c r="FI148" s="59">
        <f t="shared" si="131"/>
        <v>1063.8587380550364</v>
      </c>
      <c r="FJ148" s="59">
        <f ca="1">AVERAGE(OFFSET($FI$3,0,0,'Données projet'!$E$16+1,1))-AVERAGE(OFFSET($H$3,0,0,'Données projet'!$E$16+1,1))</f>
        <v>367.36535411813264</v>
      </c>
      <c r="FK148" s="59">
        <f t="shared" si="156"/>
        <v>293.19545174980556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24.220551516156611</v>
      </c>
      <c r="FR148" s="21">
        <f>EXP(-LN(2)/25)*FR147+(1-EXP(-LN(2)/25))/(LN(2)/25)*Calculateur!FM148*Calculateur!FO148*VLOOKUP('Données projet'!$B$16,Paramètres!$A$1:$I$89,3,0)*0.475*44/12</f>
        <v>1.7853303858120302</v>
      </c>
      <c r="FS148" s="21">
        <f>EXP(-LN(2)/2)*FS147+(1-EXP(-LN(2)/2))/(LN(2)/2)*FM148*FP148*VLOOKUP('Données projet'!$B$16,Paramètres!$A$1:$I$89,3,0)*0.475*44/12</f>
        <v>3.5545507614850399E-18</v>
      </c>
      <c r="FT148" s="22">
        <f t="shared" si="132"/>
        <v>26.005881901968642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669.99999999999989</v>
      </c>
      <c r="GA148" s="17">
        <f>FZ148*VLOOKUP('Données projet'!$B$17,Paramètres!$A$1:$I$89,3,0)*VLOOKUP('Données projet'!$B$17,Paramètres!$A$1:$I$89,5,0)</f>
        <v>322.26999999999992</v>
      </c>
      <c r="GB148" s="13">
        <f t="shared" si="157"/>
        <v>75.825476822885776</v>
      </c>
      <c r="GC148" s="20">
        <f t="shared" si="133"/>
        <v>693.34962213319261</v>
      </c>
      <c r="GD148" s="59">
        <f t="shared" si="134"/>
        <v>986.68295546652598</v>
      </c>
      <c r="GE148" s="59">
        <f ca="1">AVERAGE(OFFSET($GD$3,0,0,'Données projet'!$E$17+1,1))-AVERAGE(OFFSET($H$3,0,0,'Données projet'!$E$17+1,1))</f>
        <v>312.64506496298173</v>
      </c>
      <c r="GF148" s="59">
        <f t="shared" si="158"/>
        <v>259.97532509897508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31.266451825102742</v>
      </c>
      <c r="GM148" s="21">
        <f>EXP(-LN(2)/25)*GM147+(1-EXP(-LN(2)/25))/(LN(2)/25)*Calculateur!GH148*Calculateur!GJ148*VLOOKUP('Données projet'!$B$17,Paramètres!$A$1:$I$89,3,0)*0.475*44/12</f>
        <v>0.80718449510418677</v>
      </c>
      <c r="GN148" s="21">
        <f>EXP(-LN(2)/2)*GN147+(1-EXP(-LN(2)/2))/(LN(2)/2)*GH148*GK148*VLOOKUP('Données projet'!$B$17,Paramètres!$A$1:$I$89,3,0)*0.475*44/12</f>
        <v>1.8894737688007412E-17</v>
      </c>
      <c r="GO148" s="21">
        <f t="shared" si="135"/>
        <v>32.07363632020693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267</v>
      </c>
      <c r="GV148" s="17">
        <f>GU148*VLOOKUP('Données projet'!$B$18,Paramètres!$A$1:$I$89,3,0)*VLOOKUP('Données projet'!$B$18,Paramètres!$A$1:$I$89,5,0)</f>
        <v>270.738</v>
      </c>
      <c r="GW148" s="13">
        <f t="shared" si="159"/>
        <v>65.005866623551711</v>
      </c>
      <c r="GX148" s="20">
        <f t="shared" si="136"/>
        <v>584.7539010360191</v>
      </c>
      <c r="GY148" s="59">
        <f t="shared" si="137"/>
        <v>878.08723436935247</v>
      </c>
      <c r="GZ148" s="59">
        <f ca="1">AVERAGE(OFFSET($GY$3,0,0,'Données projet'!$E$18+1,1))-AVERAGE(OFFSET($H$3,0,0,'Données projet'!$E$18+1,1))</f>
        <v>308.80022073574963</v>
      </c>
      <c r="HA148" s="59">
        <f t="shared" si="160"/>
        <v>183.96267407004115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46.763135184166913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46.763135184166913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344.49457749226184</v>
      </c>
      <c r="T149" s="59">
        <f t="shared" si="142"/>
        <v>207.92972431357452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208.99999999999989</v>
      </c>
      <c r="AJ149" s="13">
        <f>AI149*VLOOKUP('Données projet'!$B$10,Paramètres!$A$1:$I$89,3,0)*VLOOKUP('Données projet'!$B$10,Paramètres!$A$1:$I$89,5,0)</f>
        <v>189.1031999999999</v>
      </c>
      <c r="AK149" s="13">
        <f t="shared" si="143"/>
        <v>47.34162854278712</v>
      </c>
      <c r="AL149" s="20">
        <f t="shared" si="112"/>
        <v>411.80807637868742</v>
      </c>
      <c r="AM149" s="59">
        <f t="shared" si="113"/>
        <v>705.14140971202073</v>
      </c>
      <c r="AN149" s="59">
        <f ca="1">AVERAGE(OFFSET($AM$3,0,0,'Données projet'!$E$10+1,1))-AVERAGE(OFFSET($H$3,0,0,'Données projet'!$E$10+1,1))</f>
        <v>183.0147113277086</v>
      </c>
      <c r="AO149" s="59">
        <f t="shared" si="144"/>
        <v>76.413905647258389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30.739285550970067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30.739285550970067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253.79640000000001</v>
      </c>
      <c r="BF149" s="13">
        <f t="shared" si="145"/>
        <v>61.39816832228076</v>
      </c>
      <c r="BG149" s="20">
        <f t="shared" si="115"/>
        <v>548.96387316130563</v>
      </c>
      <c r="BH149" s="59">
        <f t="shared" si="116"/>
        <v>842.29720649463889</v>
      </c>
      <c r="BI149" s="59">
        <f ca="1">AVERAGE(OFFSET($BH$3,0,0,'Données projet'!$E$11+1,1))-AVERAGE(OFFSET($H$3,0,0,'Données projet'!$E$11+1,1))</f>
        <v>279.49721661620544</v>
      </c>
      <c r="BJ149" s="59">
        <f t="shared" si="146"/>
        <v>275.18739333988754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14.387843387195712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14.387843387195712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754.68411025369562</v>
      </c>
      <c r="CD149" s="59">
        <f ca="1">AVERAGE(OFFSET($CC$3,0,0,'Données projet'!$E$12+1,1))-AVERAGE(OFFSET($H$3,0,0,'Données projet'!$E$12+1,1))</f>
        <v>225.2323446080772</v>
      </c>
      <c r="CE149" s="59">
        <f t="shared" si="148"/>
        <v>222.29030402759292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11.740884761118862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11.740884761118862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213.00000000000003</v>
      </c>
      <c r="CU149" s="17">
        <f>CT149*VLOOKUP('Données projet'!$B$13,Paramètres!$A$1:$I$89,3,0)*VLOOKUP('Données projet'!$B$13,Paramètres!$A$1:$I$89,5,0)</f>
        <v>229.2732</v>
      </c>
      <c r="CV149" s="13">
        <f t="shared" si="149"/>
        <v>56.125501442527366</v>
      </c>
      <c r="CW149" s="20">
        <f t="shared" si="121"/>
        <v>497.06940501240177</v>
      </c>
      <c r="CX149" s="59">
        <f t="shared" si="122"/>
        <v>790.40273834573509</v>
      </c>
      <c r="CY149" s="59">
        <f ca="1">AVERAGE(OFFSET($CX$3,0,0,'Données projet'!$E$13+1,1))-AVERAGE(OFFSET($H$3,0,0,'Données projet'!$E$13+1,1))</f>
        <v>240.57184010337932</v>
      </c>
      <c r="CZ149" s="59">
        <f t="shared" si="150"/>
        <v>236.36473521227072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9.9565808044918551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9.9565808044918551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670.99999999999977</v>
      </c>
      <c r="DP149" s="17">
        <f>DO149*VLOOKUP('Données projet'!$B$14,Paramètres!$A$1:$I$89,3,0)*VLOOKUP('Données projet'!$B$14,Paramètres!$A$1:$I$89,5,0)</f>
        <v>314.02799999999991</v>
      </c>
      <c r="DQ149" s="13">
        <f t="shared" si="151"/>
        <v>74.109403804428752</v>
      </c>
      <c r="DR149" s="20">
        <f t="shared" si="124"/>
        <v>676.00597829271317</v>
      </c>
      <c r="DS149" s="59">
        <f t="shared" si="125"/>
        <v>969.33931162604654</v>
      </c>
      <c r="DT149" s="59">
        <f ca="1">AVERAGE(OFFSET($DS$3,0,0,'Données projet'!$E$14+1,1))-AVERAGE(OFFSET($H$3,0,0,'Données projet'!$E$14+1,1))</f>
        <v>304.29617570272939</v>
      </c>
      <c r="DU149" s="59">
        <f t="shared" si="152"/>
        <v>246.20695736161576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26.8615210245963</v>
      </c>
      <c r="EB149" s="21">
        <f>EXP(-LN(2)/25)*EB148+(1-EXP(-LN(2)/25))/(LN(2)/25)*Calculateur!DW149*Calculateur!DY149*VLOOKUP('Données projet'!$B$14,Paramètres!$A$1:$I$89,3,0)*0.475*44/12</f>
        <v>1.6413750944453198</v>
      </c>
      <c r="EC149" s="21">
        <f>EXP(-LN(2)/2)*EC148+(1-EXP(-LN(2)/2))/(LN(2)/2)*DW149*DZ149*VLOOKUP('Données projet'!$B$14,Paramètres!$A$1:$I$89,3,0)*0.475*44/12</f>
        <v>1.3649474924102683E-17</v>
      </c>
      <c r="ED149" s="22">
        <f t="shared" si="126"/>
        <v>28.502896119041619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477.9999999999996</v>
      </c>
      <c r="EK149" s="17">
        <f>EJ149*VLOOKUP('Données projet'!$B$15,Paramètres!$A$1:$I$89,3,0)*VLOOKUP('Données projet'!$B$15,Paramètres!$A$1:$I$89,5,0)</f>
        <v>285.84399999999977</v>
      </c>
      <c r="EL149" s="13">
        <f t="shared" si="153"/>
        <v>68.200525419065656</v>
      </c>
      <c r="EM149" s="20">
        <f t="shared" si="127"/>
        <v>616.62754843820551</v>
      </c>
      <c r="EN149" s="59">
        <f t="shared" si="128"/>
        <v>909.96088177153888</v>
      </c>
      <c r="EO149" s="59">
        <f ca="1">AVERAGE(OFFSET($EN$3,0,0,'Données projet'!$E$15+1,1))-AVERAGE(OFFSET($H$3,0,0,'Données projet'!$E$15+1,1))</f>
        <v>288.41846134875794</v>
      </c>
      <c r="EP149" s="59">
        <f t="shared" si="154"/>
        <v>248.93951719818972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19.43365320951866</v>
      </c>
      <c r="EW149" s="21">
        <f>EXP(-LN(2)/25)*EW148+(1-EXP(-LN(2)/25))/(LN(2)/25)*Calculateur!ER149*Calculateur!ET149*VLOOKUP('Données projet'!$B$15,Paramètres!$A$1:$I$89,3,0)*0.475*44/12</f>
        <v>1.1203875102320731</v>
      </c>
      <c r="EX149" s="21">
        <f>EXP(-LN(2)/2)*EX148+(1-EXP(-LN(2)/2))/(LN(2)/2)*ER149*EU149*VLOOKUP('Données projet'!$B$15,Paramètres!$A$1:$I$89,3,0)*0.475*44/12</f>
        <v>1.6883980129993278E-18</v>
      </c>
      <c r="EY149" s="22">
        <f t="shared" si="129"/>
        <v>20.554040719750734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789.00000000000045</v>
      </c>
      <c r="FF149" s="17">
        <f>FE149*VLOOKUP('Données projet'!$B$16,Paramètres!$A$1:$I$89,3,0)*VLOOKUP('Données projet'!$B$16,Paramètres!$A$1:$I$89,5,0)</f>
        <v>358.99500000000023</v>
      </c>
      <c r="FG149" s="13">
        <f t="shared" si="155"/>
        <v>83.411930940690553</v>
      </c>
      <c r="FH149" s="20">
        <f t="shared" si="130"/>
        <v>770.52540472170313</v>
      </c>
      <c r="FI149" s="59">
        <f t="shared" si="131"/>
        <v>1063.8587380550364</v>
      </c>
      <c r="FJ149" s="59">
        <f ca="1">AVERAGE(OFFSET($FI$3,0,0,'Données projet'!$E$16+1,1))-AVERAGE(OFFSET($H$3,0,0,'Données projet'!$E$16+1,1))</f>
        <v>367.36535411813264</v>
      </c>
      <c r="FK149" s="59">
        <f t="shared" si="156"/>
        <v>293.19545174980556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23.745601274002485</v>
      </c>
      <c r="FR149" s="21">
        <f>EXP(-LN(2)/25)*FR148+(1-EXP(-LN(2)/25))/(LN(2)/25)*Calculateur!FM149*Calculateur!FO149*VLOOKUP('Données projet'!$B$16,Paramètres!$A$1:$I$89,3,0)*0.475*44/12</f>
        <v>1.7365104325255556</v>
      </c>
      <c r="FS149" s="21">
        <f>EXP(-LN(2)/2)*FS148+(1-EXP(-LN(2)/2))/(LN(2)/2)*FM149*FP149*VLOOKUP('Données projet'!$B$16,Paramètres!$A$1:$I$89,3,0)*0.475*44/12</f>
        <v>2.5134469475178781E-18</v>
      </c>
      <c r="FT149" s="22">
        <f t="shared" si="132"/>
        <v>25.482111706528041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669.99999999999989</v>
      </c>
      <c r="GA149" s="17">
        <f>FZ149*VLOOKUP('Données projet'!$B$17,Paramètres!$A$1:$I$89,3,0)*VLOOKUP('Données projet'!$B$17,Paramètres!$A$1:$I$89,5,0)</f>
        <v>322.26999999999992</v>
      </c>
      <c r="GB149" s="13">
        <f t="shared" si="157"/>
        <v>75.825476822885776</v>
      </c>
      <c r="GC149" s="20">
        <f t="shared" si="133"/>
        <v>693.34962213319261</v>
      </c>
      <c r="GD149" s="59">
        <f t="shared" si="134"/>
        <v>986.68295546652598</v>
      </c>
      <c r="GE149" s="59">
        <f ca="1">AVERAGE(OFFSET($GD$3,0,0,'Données projet'!$E$17+1,1))-AVERAGE(OFFSET($H$3,0,0,'Données projet'!$E$17+1,1))</f>
        <v>312.64506496298173</v>
      </c>
      <c r="GF149" s="59">
        <f t="shared" si="158"/>
        <v>259.97532509897508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30.65333577546502</v>
      </c>
      <c r="GM149" s="21">
        <f>EXP(-LN(2)/25)*GM148+(1-EXP(-LN(2)/25))/(LN(2)/25)*Calculateur!GH149*Calculateur!GJ149*VLOOKUP('Données projet'!$B$17,Paramètres!$A$1:$I$89,3,0)*0.475*44/12</f>
        <v>0.78511199263757503</v>
      </c>
      <c r="GN149" s="21">
        <f>EXP(-LN(2)/2)*GN148+(1-EXP(-LN(2)/2))/(LN(2)/2)*GH149*GK149*VLOOKUP('Données projet'!$B$17,Paramètres!$A$1:$I$89,3,0)*0.475*44/12</f>
        <v>1.336059714793107E-17</v>
      </c>
      <c r="GO149" s="21">
        <f t="shared" si="135"/>
        <v>31.438447768102595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267</v>
      </c>
      <c r="GV149" s="17">
        <f>GU149*VLOOKUP('Données projet'!$B$18,Paramètres!$A$1:$I$89,3,0)*VLOOKUP('Données projet'!$B$18,Paramètres!$A$1:$I$89,5,0)</f>
        <v>270.738</v>
      </c>
      <c r="GW149" s="13">
        <f t="shared" si="159"/>
        <v>65.005866623551711</v>
      </c>
      <c r="GX149" s="20">
        <f t="shared" si="136"/>
        <v>584.7539010360191</v>
      </c>
      <c r="GY149" s="59">
        <f t="shared" si="137"/>
        <v>878.08723436935247</v>
      </c>
      <c r="GZ149" s="59">
        <f ca="1">AVERAGE(OFFSET($GY$3,0,0,'Données projet'!$E$18+1,1))-AVERAGE(OFFSET($H$3,0,0,'Données projet'!$E$18+1,1))</f>
        <v>308.80022073574963</v>
      </c>
      <c r="HA149" s="59">
        <f t="shared" si="160"/>
        <v>183.96267407004115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45.846138625901482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45.846138625901482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344.49457749226184</v>
      </c>
      <c r="T150" s="59">
        <f t="shared" si="142"/>
        <v>207.92972431357452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208.99999999999989</v>
      </c>
      <c r="AJ150" s="13">
        <f>AI150*VLOOKUP('Données projet'!$B$10,Paramètres!$A$1:$I$89,3,0)*VLOOKUP('Données projet'!$B$10,Paramètres!$A$1:$I$89,5,0)</f>
        <v>189.1031999999999</v>
      </c>
      <c r="AK150" s="13">
        <f t="shared" si="143"/>
        <v>47.34162854278712</v>
      </c>
      <c r="AL150" s="20">
        <f t="shared" si="112"/>
        <v>411.80807637868742</v>
      </c>
      <c r="AM150" s="59">
        <f t="shared" si="113"/>
        <v>705.14140971202073</v>
      </c>
      <c r="AN150" s="59">
        <f ca="1">AVERAGE(OFFSET($AM$3,0,0,'Données projet'!$E$10+1,1))-AVERAGE(OFFSET($H$3,0,0,'Données projet'!$E$10+1,1))</f>
        <v>183.0147113277086</v>
      </c>
      <c r="AO150" s="59">
        <f t="shared" si="144"/>
        <v>76.413905647258389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30.136506910428409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30.136506910428409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253.79640000000001</v>
      </c>
      <c r="BF150" s="13">
        <f t="shared" si="145"/>
        <v>61.39816832228076</v>
      </c>
      <c r="BG150" s="20">
        <f t="shared" si="115"/>
        <v>548.96387316130563</v>
      </c>
      <c r="BH150" s="59">
        <f t="shared" si="116"/>
        <v>842.29720649463889</v>
      </c>
      <c r="BI150" s="59">
        <f ca="1">AVERAGE(OFFSET($BH$3,0,0,'Données projet'!$E$11+1,1))-AVERAGE(OFFSET($H$3,0,0,'Données projet'!$E$11+1,1))</f>
        <v>279.49721661620544</v>
      </c>
      <c r="BJ150" s="59">
        <f t="shared" si="146"/>
        <v>275.18739333988754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14.105706554090741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14.105706554090741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754.68411025369562</v>
      </c>
      <c r="CD150" s="59">
        <f ca="1">AVERAGE(OFFSET($CC$3,0,0,'Données projet'!$E$12+1,1))-AVERAGE(OFFSET($H$3,0,0,'Données projet'!$E$12+1,1))</f>
        <v>225.2323446080772</v>
      </c>
      <c r="CE150" s="59">
        <f t="shared" si="148"/>
        <v>222.29030402759292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11.510653172185911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11.510653172185911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213.00000000000003</v>
      </c>
      <c r="CU150" s="17">
        <f>CT150*VLOOKUP('Données projet'!$B$13,Paramètres!$A$1:$I$89,3,0)*VLOOKUP('Données projet'!$B$13,Paramètres!$A$1:$I$89,5,0)</f>
        <v>229.2732</v>
      </c>
      <c r="CV150" s="13">
        <f t="shared" si="149"/>
        <v>56.125501442527366</v>
      </c>
      <c r="CW150" s="20">
        <f t="shared" si="121"/>
        <v>497.06940501240177</v>
      </c>
      <c r="CX150" s="59">
        <f t="shared" si="122"/>
        <v>790.40273834573509</v>
      </c>
      <c r="CY150" s="59">
        <f ca="1">AVERAGE(OFFSET($CX$3,0,0,'Données projet'!$E$13+1,1))-AVERAGE(OFFSET($H$3,0,0,'Données projet'!$E$13+1,1))</f>
        <v>240.57184010337932</v>
      </c>
      <c r="CZ150" s="59">
        <f t="shared" si="150"/>
        <v>236.36473521227072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9.7613383278304102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9.7613383278304102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670.99999999999977</v>
      </c>
      <c r="DP150" s="17">
        <f>DO150*VLOOKUP('Données projet'!$B$14,Paramètres!$A$1:$I$89,3,0)*VLOOKUP('Données projet'!$B$14,Paramètres!$A$1:$I$89,5,0)</f>
        <v>314.02799999999991</v>
      </c>
      <c r="DQ150" s="13">
        <f t="shared" si="151"/>
        <v>74.109403804428752</v>
      </c>
      <c r="DR150" s="20">
        <f t="shared" si="124"/>
        <v>676.00597829271317</v>
      </c>
      <c r="DS150" s="59">
        <f t="shared" si="125"/>
        <v>969.33931162604654</v>
      </c>
      <c r="DT150" s="59">
        <f ca="1">AVERAGE(OFFSET($DS$3,0,0,'Données projet'!$E$14+1,1))-AVERAGE(OFFSET($H$3,0,0,'Données projet'!$E$14+1,1))</f>
        <v>304.29617570272939</v>
      </c>
      <c r="DU150" s="59">
        <f t="shared" si="152"/>
        <v>246.20695736161576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26.334782981214016</v>
      </c>
      <c r="EB150" s="21">
        <f>EXP(-LN(2)/25)*EB149+(1-EXP(-LN(2)/25))/(LN(2)/25)*Calculateur!DW150*Calculateur!DY150*VLOOKUP('Données projet'!$B$14,Paramètres!$A$1:$I$89,3,0)*0.475*44/12</f>
        <v>1.5964916061715477</v>
      </c>
      <c r="EC150" s="21">
        <f>EXP(-LN(2)/2)*EC149+(1-EXP(-LN(2)/2))/(LN(2)/2)*DW150*DZ150*VLOOKUP('Données projet'!$B$14,Paramètres!$A$1:$I$89,3,0)*0.475*44/12</f>
        <v>9.6516362784687436E-18</v>
      </c>
      <c r="ED150" s="22">
        <f t="shared" si="126"/>
        <v>27.931274587385563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477.9999999999996</v>
      </c>
      <c r="EK150" s="17">
        <f>EJ150*VLOOKUP('Données projet'!$B$15,Paramètres!$A$1:$I$89,3,0)*VLOOKUP('Données projet'!$B$15,Paramètres!$A$1:$I$89,5,0)</f>
        <v>285.84399999999977</v>
      </c>
      <c r="EL150" s="13">
        <f t="shared" si="153"/>
        <v>68.200525419065656</v>
      </c>
      <c r="EM150" s="20">
        <f t="shared" si="127"/>
        <v>616.62754843820551</v>
      </c>
      <c r="EN150" s="59">
        <f t="shared" si="128"/>
        <v>909.96088177153888</v>
      </c>
      <c r="EO150" s="59">
        <f ca="1">AVERAGE(OFFSET($EN$3,0,0,'Données projet'!$E$15+1,1))-AVERAGE(OFFSET($H$3,0,0,'Données projet'!$E$15+1,1))</f>
        <v>288.41846134875794</v>
      </c>
      <c r="EP150" s="59">
        <f t="shared" si="154"/>
        <v>248.93951719818972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19.052571123438035</v>
      </c>
      <c r="EW150" s="21">
        <f>EXP(-LN(2)/25)*EW149+(1-EXP(-LN(2)/25))/(LN(2)/25)*Calculateur!ER150*Calculateur!ET150*VLOOKUP('Données projet'!$B$15,Paramètres!$A$1:$I$89,3,0)*0.475*44/12</f>
        <v>1.0897504548461585</v>
      </c>
      <c r="EX150" s="21">
        <f>EXP(-LN(2)/2)*EX149+(1-EXP(-LN(2)/2))/(LN(2)/2)*ER150*EU150*VLOOKUP('Données projet'!$B$15,Paramètres!$A$1:$I$89,3,0)*0.475*44/12</f>
        <v>1.1938776843337175E-18</v>
      </c>
      <c r="EY150" s="22">
        <f t="shared" si="129"/>
        <v>20.142321578284193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789.00000000000045</v>
      </c>
      <c r="FF150" s="17">
        <f>FE150*VLOOKUP('Données projet'!$B$16,Paramètres!$A$1:$I$89,3,0)*VLOOKUP('Données projet'!$B$16,Paramètres!$A$1:$I$89,5,0)</f>
        <v>358.99500000000023</v>
      </c>
      <c r="FG150" s="13">
        <f t="shared" si="155"/>
        <v>83.411930940690553</v>
      </c>
      <c r="FH150" s="20">
        <f t="shared" si="130"/>
        <v>770.52540472170313</v>
      </c>
      <c r="FI150" s="59">
        <f t="shared" si="131"/>
        <v>1063.8587380550364</v>
      </c>
      <c r="FJ150" s="59">
        <f ca="1">AVERAGE(OFFSET($FI$3,0,0,'Données projet'!$E$16+1,1))-AVERAGE(OFFSET($H$3,0,0,'Données projet'!$E$16+1,1))</f>
        <v>367.36535411813264</v>
      </c>
      <c r="FK150" s="59">
        <f t="shared" si="156"/>
        <v>293.19545174980556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23.279964516405958</v>
      </c>
      <c r="FR150" s="21">
        <f>EXP(-LN(2)/25)*FR149+(1-EXP(-LN(2)/25))/(LN(2)/25)*Calculateur!FM150*Calculateur!FO150*VLOOKUP('Données projet'!$B$16,Paramètres!$A$1:$I$89,3,0)*0.475*44/12</f>
        <v>1.6890254634290294</v>
      </c>
      <c r="FS150" s="21">
        <f>EXP(-LN(2)/2)*FS149+(1-EXP(-LN(2)/2))/(LN(2)/2)*FM150*FP150*VLOOKUP('Données projet'!$B$16,Paramètres!$A$1:$I$89,3,0)*0.475*44/12</f>
        <v>1.7772753807425199E-18</v>
      </c>
      <c r="FT150" s="22">
        <f t="shared" si="132"/>
        <v>24.968989979834987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669.99999999999989</v>
      </c>
      <c r="GA150" s="17">
        <f>FZ150*VLOOKUP('Données projet'!$B$17,Paramètres!$A$1:$I$89,3,0)*VLOOKUP('Données projet'!$B$17,Paramètres!$A$1:$I$89,5,0)</f>
        <v>322.26999999999992</v>
      </c>
      <c r="GB150" s="13">
        <f t="shared" si="157"/>
        <v>75.825476822885776</v>
      </c>
      <c r="GC150" s="20">
        <f t="shared" si="133"/>
        <v>693.34962213319261</v>
      </c>
      <c r="GD150" s="59">
        <f t="shared" si="134"/>
        <v>986.68295546652598</v>
      </c>
      <c r="GE150" s="59">
        <f ca="1">AVERAGE(OFFSET($GD$3,0,0,'Données projet'!$E$17+1,1))-AVERAGE(OFFSET($H$3,0,0,'Données projet'!$E$17+1,1))</f>
        <v>312.64506496298173</v>
      </c>
      <c r="GF150" s="59">
        <f t="shared" si="158"/>
        <v>259.97532509897508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30.052242557596831</v>
      </c>
      <c r="GM150" s="21">
        <f>EXP(-LN(2)/25)*GM149+(1-EXP(-LN(2)/25))/(LN(2)/25)*Calculateur!GH150*Calculateur!GJ150*VLOOKUP('Données projet'!$B$17,Paramètres!$A$1:$I$89,3,0)*0.475*44/12</f>
        <v>0.76364306391165526</v>
      </c>
      <c r="GN150" s="21">
        <f>EXP(-LN(2)/2)*GN149+(1-EXP(-LN(2)/2))/(LN(2)/2)*GH150*GK150*VLOOKUP('Données projet'!$B$17,Paramètres!$A$1:$I$89,3,0)*0.475*44/12</f>
        <v>9.4473688440037059E-18</v>
      </c>
      <c r="GO150" s="21">
        <f t="shared" si="135"/>
        <v>30.815885621508485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267</v>
      </c>
      <c r="GV150" s="17">
        <f>GU150*VLOOKUP('Données projet'!$B$18,Paramètres!$A$1:$I$89,3,0)*VLOOKUP('Données projet'!$B$18,Paramètres!$A$1:$I$89,5,0)</f>
        <v>270.738</v>
      </c>
      <c r="GW150" s="13">
        <f t="shared" si="159"/>
        <v>65.005866623551711</v>
      </c>
      <c r="GX150" s="20">
        <f t="shared" si="136"/>
        <v>584.7539010360191</v>
      </c>
      <c r="GY150" s="59">
        <f t="shared" si="137"/>
        <v>878.08723436935247</v>
      </c>
      <c r="GZ150" s="59">
        <f ca="1">AVERAGE(OFFSET($GY$3,0,0,'Données projet'!$E$18+1,1))-AVERAGE(OFFSET($H$3,0,0,'Données projet'!$E$18+1,1))</f>
        <v>308.80022073574963</v>
      </c>
      <c r="HA150" s="59">
        <f t="shared" si="160"/>
        <v>183.96267407004115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44.947123810830959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44.947123810830959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344.49457749226184</v>
      </c>
      <c r="T151" s="59">
        <f t="shared" si="142"/>
        <v>207.92972431357452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208.99999999999989</v>
      </c>
      <c r="AJ151" s="13">
        <f>AI151*VLOOKUP('Données projet'!$B$10,Paramètres!$A$1:$I$89,3,0)*VLOOKUP('Données projet'!$B$10,Paramètres!$A$1:$I$89,5,0)</f>
        <v>189.1031999999999</v>
      </c>
      <c r="AK151" s="13">
        <f t="shared" si="143"/>
        <v>47.34162854278712</v>
      </c>
      <c r="AL151" s="20">
        <f t="shared" si="112"/>
        <v>411.80807637868742</v>
      </c>
      <c r="AM151" s="59">
        <f t="shared" si="113"/>
        <v>705.14140971202073</v>
      </c>
      <c r="AN151" s="59">
        <f ca="1">AVERAGE(OFFSET($AM$3,0,0,'Données projet'!$E$10+1,1))-AVERAGE(OFFSET($H$3,0,0,'Données projet'!$E$10+1,1))</f>
        <v>183.0147113277086</v>
      </c>
      <c r="AO151" s="59">
        <f t="shared" si="144"/>
        <v>76.413905647258389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29.545548391369106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29.545548391369106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253.79640000000001</v>
      </c>
      <c r="BF151" s="13">
        <f t="shared" si="145"/>
        <v>61.39816832228076</v>
      </c>
      <c r="BG151" s="20">
        <f t="shared" si="115"/>
        <v>548.96387316130563</v>
      </c>
      <c r="BH151" s="59">
        <f t="shared" si="116"/>
        <v>842.29720649463889</v>
      </c>
      <c r="BI151" s="59">
        <f ca="1">AVERAGE(OFFSET($BH$3,0,0,'Données projet'!$E$11+1,1))-AVERAGE(OFFSET($H$3,0,0,'Données projet'!$E$11+1,1))</f>
        <v>279.49721661620544</v>
      </c>
      <c r="BJ151" s="59">
        <f t="shared" si="146"/>
        <v>275.18739333988754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13.829102252196481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13.829102252196481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754.68411025369562</v>
      </c>
      <c r="CD151" s="59">
        <f ca="1">AVERAGE(OFFSET($CC$3,0,0,'Données projet'!$E$12+1,1))-AVERAGE(OFFSET($H$3,0,0,'Données projet'!$E$12+1,1))</f>
        <v>225.2323446080772</v>
      </c>
      <c r="CE151" s="59">
        <f t="shared" si="148"/>
        <v>222.29030402759292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11.284936284284534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11.284936284284534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213.00000000000003</v>
      </c>
      <c r="CU151" s="17">
        <f>CT151*VLOOKUP('Données projet'!$B$13,Paramètres!$A$1:$I$89,3,0)*VLOOKUP('Données projet'!$B$13,Paramètres!$A$1:$I$89,5,0)</f>
        <v>229.2732</v>
      </c>
      <c r="CV151" s="13">
        <f t="shared" si="149"/>
        <v>56.125501442527366</v>
      </c>
      <c r="CW151" s="20">
        <f t="shared" si="121"/>
        <v>497.06940501240177</v>
      </c>
      <c r="CX151" s="59">
        <f t="shared" si="122"/>
        <v>790.40273834573509</v>
      </c>
      <c r="CY151" s="59">
        <f ca="1">AVERAGE(OFFSET($CX$3,0,0,'Données projet'!$E$13+1,1))-AVERAGE(OFFSET($H$3,0,0,'Données projet'!$E$13+1,1))</f>
        <v>240.57184010337932</v>
      </c>
      <c r="CZ151" s="59">
        <f t="shared" si="150"/>
        <v>236.36473521227072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9.569924437050144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9.569924437050144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670.99999999999977</v>
      </c>
      <c r="DP151" s="17">
        <f>DO151*VLOOKUP('Données projet'!$B$14,Paramètres!$A$1:$I$89,3,0)*VLOOKUP('Données projet'!$B$14,Paramètres!$A$1:$I$89,5,0)</f>
        <v>314.02799999999991</v>
      </c>
      <c r="DQ151" s="13">
        <f t="shared" si="151"/>
        <v>74.109403804428752</v>
      </c>
      <c r="DR151" s="20">
        <f t="shared" si="124"/>
        <v>676.00597829271317</v>
      </c>
      <c r="DS151" s="59">
        <f t="shared" si="125"/>
        <v>969.33931162604654</v>
      </c>
      <c r="DT151" s="59">
        <f ca="1">AVERAGE(OFFSET($DS$3,0,0,'Données projet'!$E$14+1,1))-AVERAGE(OFFSET($H$3,0,0,'Données projet'!$E$14+1,1))</f>
        <v>304.29617570272939</v>
      </c>
      <c r="DU151" s="59">
        <f t="shared" si="152"/>
        <v>246.20695736161576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25.818373949583975</v>
      </c>
      <c r="EB151" s="21">
        <f>EXP(-LN(2)/25)*EB150+(1-EXP(-LN(2)/25))/(LN(2)/25)*Calculateur!DW151*Calculateur!DY151*VLOOKUP('Données projet'!$B$14,Paramètres!$A$1:$I$89,3,0)*0.475*44/12</f>
        <v>1.552835459244942</v>
      </c>
      <c r="EC151" s="21">
        <f>EXP(-LN(2)/2)*EC150+(1-EXP(-LN(2)/2))/(LN(2)/2)*DW151*DZ151*VLOOKUP('Données projet'!$B$14,Paramètres!$A$1:$I$89,3,0)*0.475*44/12</f>
        <v>6.8247374620513421E-18</v>
      </c>
      <c r="ED151" s="22">
        <f t="shared" si="126"/>
        <v>27.371209408828918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477.9999999999996</v>
      </c>
      <c r="EK151" s="17">
        <f>EJ151*VLOOKUP('Données projet'!$B$15,Paramètres!$A$1:$I$89,3,0)*VLOOKUP('Données projet'!$B$15,Paramètres!$A$1:$I$89,5,0)</f>
        <v>285.84399999999977</v>
      </c>
      <c r="EL151" s="13">
        <f t="shared" si="153"/>
        <v>68.200525419065656</v>
      </c>
      <c r="EM151" s="20">
        <f t="shared" si="127"/>
        <v>616.62754843820551</v>
      </c>
      <c r="EN151" s="59">
        <f t="shared" si="128"/>
        <v>909.96088177153888</v>
      </c>
      <c r="EO151" s="59">
        <f ca="1">AVERAGE(OFFSET($EN$3,0,0,'Données projet'!$E$15+1,1))-AVERAGE(OFFSET($H$3,0,0,'Données projet'!$E$15+1,1))</f>
        <v>288.41846134875794</v>
      </c>
      <c r="EP151" s="59">
        <f t="shared" si="154"/>
        <v>248.93951719818972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18.678961824628331</v>
      </c>
      <c r="EW151" s="21">
        <f>EXP(-LN(2)/25)*EW150+(1-EXP(-LN(2)/25))/(LN(2)/25)*Calculateur!ER151*Calculateur!ET151*VLOOKUP('Données projet'!$B$15,Paramètres!$A$1:$I$89,3,0)*0.475*44/12</f>
        <v>1.0599511713509044</v>
      </c>
      <c r="EX151" s="21">
        <f>EXP(-LN(2)/2)*EX150+(1-EXP(-LN(2)/2))/(LN(2)/2)*ER151*EU151*VLOOKUP('Données projet'!$B$15,Paramètres!$A$1:$I$89,3,0)*0.475*44/12</f>
        <v>8.4419900649966411E-19</v>
      </c>
      <c r="EY151" s="22">
        <f t="shared" si="129"/>
        <v>19.738912995979234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789.00000000000045</v>
      </c>
      <c r="FF151" s="17">
        <f>FE151*VLOOKUP('Données projet'!$B$16,Paramètres!$A$1:$I$89,3,0)*VLOOKUP('Données projet'!$B$16,Paramètres!$A$1:$I$89,5,0)</f>
        <v>358.99500000000023</v>
      </c>
      <c r="FG151" s="13">
        <f t="shared" si="155"/>
        <v>83.411930940690553</v>
      </c>
      <c r="FH151" s="20">
        <f t="shared" si="130"/>
        <v>770.52540472170313</v>
      </c>
      <c r="FI151" s="59">
        <f t="shared" si="131"/>
        <v>1063.8587380550364</v>
      </c>
      <c r="FJ151" s="59">
        <f ca="1">AVERAGE(OFFSET($FI$3,0,0,'Données projet'!$E$16+1,1))-AVERAGE(OFFSET($H$3,0,0,'Données projet'!$E$16+1,1))</f>
        <v>367.36535411813264</v>
      </c>
      <c r="FK151" s="59">
        <f t="shared" si="156"/>
        <v>293.19545174980556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22.823458611615521</v>
      </c>
      <c r="FR151" s="21">
        <f>EXP(-LN(2)/25)*FR150+(1-EXP(-LN(2)/25))/(LN(2)/25)*Calculateur!FM151*Calculateur!FO151*VLOOKUP('Données projet'!$B$16,Paramètres!$A$1:$I$89,3,0)*0.475*44/12</f>
        <v>1.6428389733095738</v>
      </c>
      <c r="FS151" s="21">
        <f>EXP(-LN(2)/2)*FS150+(1-EXP(-LN(2)/2))/(LN(2)/2)*FM151*FP151*VLOOKUP('Données projet'!$B$16,Paramètres!$A$1:$I$89,3,0)*0.475*44/12</f>
        <v>1.256723473758939E-18</v>
      </c>
      <c r="FT151" s="22">
        <f t="shared" si="132"/>
        <v>24.466297584925094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669.99999999999989</v>
      </c>
      <c r="GA151" s="17">
        <f>FZ151*VLOOKUP('Données projet'!$B$17,Paramètres!$A$1:$I$89,3,0)*VLOOKUP('Données projet'!$B$17,Paramètres!$A$1:$I$89,5,0)</f>
        <v>322.26999999999992</v>
      </c>
      <c r="GB151" s="13">
        <f t="shared" si="157"/>
        <v>75.825476822885776</v>
      </c>
      <c r="GC151" s="20">
        <f t="shared" si="133"/>
        <v>693.34962213319261</v>
      </c>
      <c r="GD151" s="59">
        <f t="shared" si="134"/>
        <v>986.68295546652598</v>
      </c>
      <c r="GE151" s="59">
        <f ca="1">AVERAGE(OFFSET($GD$3,0,0,'Données projet'!$E$17+1,1))-AVERAGE(OFFSET($H$3,0,0,'Données projet'!$E$17+1,1))</f>
        <v>312.64506496298173</v>
      </c>
      <c r="GF151" s="59">
        <f t="shared" si="158"/>
        <v>259.97532509897508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29.462936411100372</v>
      </c>
      <c r="GM151" s="21">
        <f>EXP(-LN(2)/25)*GM150+(1-EXP(-LN(2)/25))/(LN(2)/25)*Calculateur!GH151*Calculateur!GJ151*VLOOKUP('Données projet'!$B$17,Paramètres!$A$1:$I$89,3,0)*0.475*44/12</f>
        <v>0.74276120417074765</v>
      </c>
      <c r="GN151" s="21">
        <f>EXP(-LN(2)/2)*GN150+(1-EXP(-LN(2)/2))/(LN(2)/2)*GH151*GK151*VLOOKUP('Données projet'!$B$17,Paramètres!$A$1:$I$89,3,0)*0.475*44/12</f>
        <v>6.680298573965535E-18</v>
      </c>
      <c r="GO151" s="21">
        <f t="shared" si="135"/>
        <v>30.20569761527112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267</v>
      </c>
      <c r="GV151" s="17">
        <f>GU151*VLOOKUP('Données projet'!$B$18,Paramètres!$A$1:$I$89,3,0)*VLOOKUP('Données projet'!$B$18,Paramètres!$A$1:$I$89,5,0)</f>
        <v>270.738</v>
      </c>
      <c r="GW151" s="13">
        <f t="shared" si="159"/>
        <v>65.005866623551711</v>
      </c>
      <c r="GX151" s="20">
        <f t="shared" si="136"/>
        <v>584.7539010360191</v>
      </c>
      <c r="GY151" s="59">
        <f t="shared" si="137"/>
        <v>878.08723436935247</v>
      </c>
      <c r="GZ151" s="59">
        <f ca="1">AVERAGE(OFFSET($GY$3,0,0,'Données projet'!$E$18+1,1))-AVERAGE(OFFSET($H$3,0,0,'Données projet'!$E$18+1,1))</f>
        <v>308.80022073574963</v>
      </c>
      <c r="HA151" s="59">
        <f t="shared" si="160"/>
        <v>183.96267407004115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44.065738127939078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44.065738127939078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344.49457749226184</v>
      </c>
      <c r="T152" s="59">
        <f t="shared" si="142"/>
        <v>207.92972431357452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208.99999999999989</v>
      </c>
      <c r="AJ152" s="13">
        <f>AI152*VLOOKUP('Données projet'!$B$10,Paramètres!$A$1:$I$89,3,0)*VLOOKUP('Données projet'!$B$10,Paramètres!$A$1:$I$89,5,0)</f>
        <v>189.1031999999999</v>
      </c>
      <c r="AK152" s="13">
        <f t="shared" si="143"/>
        <v>47.34162854278712</v>
      </c>
      <c r="AL152" s="20">
        <f t="shared" si="112"/>
        <v>411.80807637868742</v>
      </c>
      <c r="AM152" s="59">
        <f t="shared" si="113"/>
        <v>705.14140971202073</v>
      </c>
      <c r="AN152" s="59">
        <f ca="1">AVERAGE(OFFSET($AM$3,0,0,'Données projet'!$E$10+1,1))-AVERAGE(OFFSET($H$3,0,0,'Données projet'!$E$10+1,1))</f>
        <v>183.0147113277086</v>
      </c>
      <c r="AO152" s="59">
        <f t="shared" si="144"/>
        <v>76.413905647258389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28.96617820841945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28.96617820841945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253.79640000000001</v>
      </c>
      <c r="BF152" s="13">
        <f t="shared" si="145"/>
        <v>61.39816832228076</v>
      </c>
      <c r="BG152" s="20">
        <f t="shared" si="115"/>
        <v>548.96387316130563</v>
      </c>
      <c r="BH152" s="59">
        <f t="shared" si="116"/>
        <v>842.29720649463889</v>
      </c>
      <c r="BI152" s="59">
        <f ca="1">AVERAGE(OFFSET($BH$3,0,0,'Données projet'!$E$11+1,1))-AVERAGE(OFFSET($H$3,0,0,'Données projet'!$E$11+1,1))</f>
        <v>279.49721661620544</v>
      </c>
      <c r="BJ152" s="59">
        <f t="shared" si="146"/>
        <v>275.18739333988754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13.557921991950403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13.557921991950403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754.68411025369562</v>
      </c>
      <c r="CD152" s="59">
        <f ca="1">AVERAGE(OFFSET($CC$3,0,0,'Données projet'!$E$12+1,1))-AVERAGE(OFFSET($H$3,0,0,'Données projet'!$E$12+1,1))</f>
        <v>225.2323446080772</v>
      </c>
      <c r="CE152" s="59">
        <f t="shared" si="148"/>
        <v>222.29030402759292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11.063645566881195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11.063645566881195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213.00000000000003</v>
      </c>
      <c r="CU152" s="17">
        <f>CT152*VLOOKUP('Données projet'!$B$13,Paramètres!$A$1:$I$89,3,0)*VLOOKUP('Données projet'!$B$13,Paramètres!$A$1:$I$89,5,0)</f>
        <v>229.2732</v>
      </c>
      <c r="CV152" s="13">
        <f t="shared" si="149"/>
        <v>56.125501442527366</v>
      </c>
      <c r="CW152" s="20">
        <f t="shared" si="121"/>
        <v>497.06940501240177</v>
      </c>
      <c r="CX152" s="59">
        <f t="shared" si="122"/>
        <v>790.40273834573509</v>
      </c>
      <c r="CY152" s="59">
        <f ca="1">AVERAGE(OFFSET($CX$3,0,0,'Données projet'!$E$13+1,1))-AVERAGE(OFFSET($H$3,0,0,'Données projet'!$E$13+1,1))</f>
        <v>240.57184010337932</v>
      </c>
      <c r="CZ152" s="59">
        <f t="shared" si="150"/>
        <v>236.36473521227072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9.3822640559171333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9.3822640559171333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670.99999999999977</v>
      </c>
      <c r="DP152" s="17">
        <f>DO152*VLOOKUP('Données projet'!$B$14,Paramètres!$A$1:$I$89,3,0)*VLOOKUP('Données projet'!$B$14,Paramètres!$A$1:$I$89,5,0)</f>
        <v>314.02799999999991</v>
      </c>
      <c r="DQ152" s="13">
        <f t="shared" si="151"/>
        <v>74.109403804428752</v>
      </c>
      <c r="DR152" s="20">
        <f t="shared" si="124"/>
        <v>676.00597829271317</v>
      </c>
      <c r="DS152" s="59">
        <f t="shared" si="125"/>
        <v>969.33931162604654</v>
      </c>
      <c r="DT152" s="59">
        <f ca="1">AVERAGE(OFFSET($DS$3,0,0,'Données projet'!$E$14+1,1))-AVERAGE(OFFSET($H$3,0,0,'Données projet'!$E$14+1,1))</f>
        <v>304.29617570272939</v>
      </c>
      <c r="DU152" s="59">
        <f t="shared" si="152"/>
        <v>246.20695736161576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25.31209138408579</v>
      </c>
      <c r="EB152" s="21">
        <f>EXP(-LN(2)/25)*EB151+(1-EXP(-LN(2)/25))/(LN(2)/25)*Calculateur!DW152*Calculateur!DY152*VLOOKUP('Données projet'!$B$14,Paramètres!$A$1:$I$89,3,0)*0.475*44/12</f>
        <v>1.5103730919518215</v>
      </c>
      <c r="EC152" s="21">
        <f>EXP(-LN(2)/2)*EC151+(1-EXP(-LN(2)/2))/(LN(2)/2)*DW152*DZ152*VLOOKUP('Données projet'!$B$14,Paramètres!$A$1:$I$89,3,0)*0.475*44/12</f>
        <v>4.8258181392343726E-18</v>
      </c>
      <c r="ED152" s="22">
        <f t="shared" si="126"/>
        <v>26.822464476037609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477.9999999999996</v>
      </c>
      <c r="EK152" s="17">
        <f>EJ152*VLOOKUP('Données projet'!$B$15,Paramètres!$A$1:$I$89,3,0)*VLOOKUP('Données projet'!$B$15,Paramètres!$A$1:$I$89,5,0)</f>
        <v>285.84399999999977</v>
      </c>
      <c r="EL152" s="13">
        <f t="shared" si="153"/>
        <v>68.200525419065656</v>
      </c>
      <c r="EM152" s="20">
        <f t="shared" si="127"/>
        <v>616.62754843820551</v>
      </c>
      <c r="EN152" s="59">
        <f t="shared" si="128"/>
        <v>909.96088177153888</v>
      </c>
      <c r="EO152" s="59">
        <f ca="1">AVERAGE(OFFSET($EN$3,0,0,'Données projet'!$E$15+1,1))-AVERAGE(OFFSET($H$3,0,0,'Données projet'!$E$15+1,1))</f>
        <v>288.41846134875794</v>
      </c>
      <c r="EP152" s="59">
        <f t="shared" si="154"/>
        <v>248.93951719818972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18.312678776289115</v>
      </c>
      <c r="EW152" s="21">
        <f>EXP(-LN(2)/25)*EW151+(1-EXP(-LN(2)/25))/(LN(2)/25)*Calculateur!ER152*Calculateur!ET152*VLOOKUP('Données projet'!$B$15,Paramètres!$A$1:$I$89,3,0)*0.475*44/12</f>
        <v>1.0309667508299043</v>
      </c>
      <c r="EX152" s="21">
        <f>EXP(-LN(2)/2)*EX151+(1-EXP(-LN(2)/2))/(LN(2)/2)*ER152*EU152*VLOOKUP('Données projet'!$B$15,Paramètres!$A$1:$I$89,3,0)*0.475*44/12</f>
        <v>5.9693884216685885E-19</v>
      </c>
      <c r="EY152" s="22">
        <f t="shared" si="129"/>
        <v>19.343645527119019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789.00000000000045</v>
      </c>
      <c r="FF152" s="17">
        <f>FE152*VLOOKUP('Données projet'!$B$16,Paramètres!$A$1:$I$89,3,0)*VLOOKUP('Données projet'!$B$16,Paramètres!$A$1:$I$89,5,0)</f>
        <v>358.99500000000023</v>
      </c>
      <c r="FG152" s="13">
        <f t="shared" si="155"/>
        <v>83.411930940690553</v>
      </c>
      <c r="FH152" s="20">
        <f t="shared" si="130"/>
        <v>770.52540472170313</v>
      </c>
      <c r="FI152" s="59">
        <f t="shared" si="131"/>
        <v>1063.8587380550364</v>
      </c>
      <c r="FJ152" s="59">
        <f ca="1">AVERAGE(OFFSET($FI$3,0,0,'Données projet'!$E$16+1,1))-AVERAGE(OFFSET($H$3,0,0,'Données projet'!$E$16+1,1))</f>
        <v>367.36535411813264</v>
      </c>
      <c r="FK152" s="59">
        <f t="shared" si="156"/>
        <v>293.19545174980556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22.375904509176916</v>
      </c>
      <c r="FR152" s="21">
        <f>EXP(-LN(2)/25)*FR151+(1-EXP(-LN(2)/25))/(LN(2)/25)*Calculateur!FM152*Calculateur!FO152*VLOOKUP('Données projet'!$B$16,Paramètres!$A$1:$I$89,3,0)*0.475*44/12</f>
        <v>1.5979154551912766</v>
      </c>
      <c r="FS152" s="21">
        <f>EXP(-LN(2)/2)*FS151+(1-EXP(-LN(2)/2))/(LN(2)/2)*FM152*FP152*VLOOKUP('Données projet'!$B$16,Paramètres!$A$1:$I$89,3,0)*0.475*44/12</f>
        <v>8.8863769037125997E-19</v>
      </c>
      <c r="FT152" s="22">
        <f t="shared" si="132"/>
        <v>23.973819964368193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669.99999999999989</v>
      </c>
      <c r="GA152" s="17">
        <f>FZ152*VLOOKUP('Données projet'!$B$17,Paramètres!$A$1:$I$89,3,0)*VLOOKUP('Données projet'!$B$17,Paramètres!$A$1:$I$89,5,0)</f>
        <v>322.26999999999992</v>
      </c>
      <c r="GB152" s="13">
        <f t="shared" si="157"/>
        <v>75.825476822885776</v>
      </c>
      <c r="GC152" s="20">
        <f t="shared" si="133"/>
        <v>693.34962213319261</v>
      </c>
      <c r="GD152" s="59">
        <f t="shared" si="134"/>
        <v>986.68295546652598</v>
      </c>
      <c r="GE152" s="59">
        <f ca="1">AVERAGE(OFFSET($GD$3,0,0,'Données projet'!$E$17+1,1))-AVERAGE(OFFSET($H$3,0,0,'Données projet'!$E$17+1,1))</f>
        <v>312.64506496298173</v>
      </c>
      <c r="GF152" s="59">
        <f t="shared" si="158"/>
        <v>259.97532509897508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28.885186198695454</v>
      </c>
      <c r="GM152" s="21">
        <f>EXP(-LN(2)/25)*GM151+(1-EXP(-LN(2)/25))/(LN(2)/25)*Calculateur!GH152*Calculateur!GJ152*VLOOKUP('Données projet'!$B$17,Paramètres!$A$1:$I$89,3,0)*0.475*44/12</f>
        <v>0.72245035998258444</v>
      </c>
      <c r="GN152" s="21">
        <f>EXP(-LN(2)/2)*GN151+(1-EXP(-LN(2)/2))/(LN(2)/2)*GH152*GK152*VLOOKUP('Données projet'!$B$17,Paramètres!$A$1:$I$89,3,0)*0.475*44/12</f>
        <v>4.7236844220018529E-18</v>
      </c>
      <c r="GO152" s="21">
        <f t="shared" si="135"/>
        <v>29.607636558678038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267</v>
      </c>
      <c r="GV152" s="17">
        <f>GU152*VLOOKUP('Données projet'!$B$18,Paramètres!$A$1:$I$89,3,0)*VLOOKUP('Données projet'!$B$18,Paramètres!$A$1:$I$89,5,0)</f>
        <v>270.738</v>
      </c>
      <c r="GW152" s="13">
        <f t="shared" si="159"/>
        <v>65.005866623551711</v>
      </c>
      <c r="GX152" s="20">
        <f t="shared" si="136"/>
        <v>584.7539010360191</v>
      </c>
      <c r="GY152" s="59">
        <f t="shared" si="137"/>
        <v>878.08723436935247</v>
      </c>
      <c r="GZ152" s="59">
        <f ca="1">AVERAGE(OFFSET($GY$3,0,0,'Données projet'!$E$18+1,1))-AVERAGE(OFFSET($H$3,0,0,'Données projet'!$E$18+1,1))</f>
        <v>308.80022073574963</v>
      </c>
      <c r="HA152" s="59">
        <f t="shared" si="160"/>
        <v>183.96267407004115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43.201635880696521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43.201635880696521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344.49457749226184</v>
      </c>
      <c r="T153" s="59">
        <f t="shared" si="142"/>
        <v>207.92972431357452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208.99999999999989</v>
      </c>
      <c r="AJ153" s="13">
        <f>AI153*VLOOKUP('Données projet'!$B$10,Paramètres!$A$1:$I$89,3,0)*VLOOKUP('Données projet'!$B$10,Paramètres!$A$1:$I$89,5,0)</f>
        <v>189.1031999999999</v>
      </c>
      <c r="AK153" s="13">
        <f t="shared" si="143"/>
        <v>47.34162854278712</v>
      </c>
      <c r="AL153" s="20">
        <f t="shared" si="112"/>
        <v>411.80807637868742</v>
      </c>
      <c r="AM153" s="59">
        <f t="shared" si="113"/>
        <v>705.14140971202073</v>
      </c>
      <c r="AN153" s="59">
        <f ca="1">AVERAGE(OFFSET($AM$3,0,0,'Données projet'!$E$10+1,1))-AVERAGE(OFFSET($H$3,0,0,'Données projet'!$E$10+1,1))</f>
        <v>183.0147113277086</v>
      </c>
      <c r="AO153" s="59">
        <f t="shared" si="144"/>
        <v>76.413905647258389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28.398169121376519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28.398169121376519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253.79640000000001</v>
      </c>
      <c r="BF153" s="13">
        <f t="shared" si="145"/>
        <v>61.39816832228076</v>
      </c>
      <c r="BG153" s="20">
        <f t="shared" si="115"/>
        <v>548.96387316130563</v>
      </c>
      <c r="BH153" s="59">
        <f t="shared" si="116"/>
        <v>842.29720649463889</v>
      </c>
      <c r="BI153" s="59">
        <f ca="1">AVERAGE(OFFSET($BH$3,0,0,'Données projet'!$E$11+1,1))-AVERAGE(OFFSET($H$3,0,0,'Données projet'!$E$11+1,1))</f>
        <v>279.49721661620544</v>
      </c>
      <c r="BJ153" s="59">
        <f t="shared" si="146"/>
        <v>275.18739333988754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13.292059411204123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13.292059411204123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754.68411025369562</v>
      </c>
      <c r="CD153" s="59">
        <f ca="1">AVERAGE(OFFSET($CC$3,0,0,'Données projet'!$E$12+1,1))-AVERAGE(OFFSET($H$3,0,0,'Données projet'!$E$12+1,1))</f>
        <v>225.2323446080772</v>
      </c>
      <c r="CE153" s="59">
        <f t="shared" si="148"/>
        <v>222.29030402759292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10.846694225472126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10.846694225472126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213.00000000000003</v>
      </c>
      <c r="CU153" s="17">
        <f>CT153*VLOOKUP('Données projet'!$B$13,Paramètres!$A$1:$I$89,3,0)*VLOOKUP('Données projet'!$B$13,Paramètres!$A$1:$I$89,5,0)</f>
        <v>229.2732</v>
      </c>
      <c r="CV153" s="13">
        <f t="shared" si="149"/>
        <v>56.125501442527366</v>
      </c>
      <c r="CW153" s="20">
        <f t="shared" si="121"/>
        <v>497.06940501240177</v>
      </c>
      <c r="CX153" s="59">
        <f t="shared" si="122"/>
        <v>790.40273834573509</v>
      </c>
      <c r="CY153" s="59">
        <f ca="1">AVERAGE(OFFSET($CX$3,0,0,'Données projet'!$E$13+1,1))-AVERAGE(OFFSET($H$3,0,0,'Données projet'!$E$13+1,1))</f>
        <v>240.57184010337932</v>
      </c>
      <c r="CZ153" s="59">
        <f t="shared" si="150"/>
        <v>236.36473521227072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9.1982835803966108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9.1982835803966108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670.99999999999977</v>
      </c>
      <c r="DP153" s="17">
        <f>DO153*VLOOKUP('Données projet'!$B$14,Paramètres!$A$1:$I$89,3,0)*VLOOKUP('Données projet'!$B$14,Paramètres!$A$1:$I$89,5,0)</f>
        <v>314.02799999999991</v>
      </c>
      <c r="DQ153" s="13">
        <f t="shared" si="151"/>
        <v>74.109403804428752</v>
      </c>
      <c r="DR153" s="20">
        <f t="shared" si="124"/>
        <v>676.00597829271317</v>
      </c>
      <c r="DS153" s="59">
        <f t="shared" si="125"/>
        <v>969.33931162604654</v>
      </c>
      <c r="DT153" s="59">
        <f ca="1">AVERAGE(OFFSET($DS$3,0,0,'Données projet'!$E$14+1,1))-AVERAGE(OFFSET($H$3,0,0,'Données projet'!$E$14+1,1))</f>
        <v>304.29617570272939</v>
      </c>
      <c r="DU153" s="59">
        <f t="shared" si="152"/>
        <v>246.20695736161576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24.815736710895152</v>
      </c>
      <c r="EB153" s="21">
        <f>EXP(-LN(2)/25)*EB152+(1-EXP(-LN(2)/25))/(LN(2)/25)*Calculateur!DW153*Calculateur!DY153*VLOOKUP('Données projet'!$B$14,Paramètres!$A$1:$I$89,3,0)*0.475*44/12</f>
        <v>1.4690718603253301</v>
      </c>
      <c r="EC153" s="21">
        <f>EXP(-LN(2)/2)*EC152+(1-EXP(-LN(2)/2))/(LN(2)/2)*DW153*DZ153*VLOOKUP('Données projet'!$B$14,Paramètres!$A$1:$I$89,3,0)*0.475*44/12</f>
        <v>3.4123687310256718E-18</v>
      </c>
      <c r="ED153" s="22">
        <f t="shared" si="126"/>
        <v>26.284808571220481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477.9999999999996</v>
      </c>
      <c r="EK153" s="17">
        <f>EJ153*VLOOKUP('Données projet'!$B$15,Paramètres!$A$1:$I$89,3,0)*VLOOKUP('Données projet'!$B$15,Paramètres!$A$1:$I$89,5,0)</f>
        <v>285.84399999999977</v>
      </c>
      <c r="EL153" s="13">
        <f t="shared" si="153"/>
        <v>68.200525419065656</v>
      </c>
      <c r="EM153" s="20">
        <f t="shared" si="127"/>
        <v>616.62754843820551</v>
      </c>
      <c r="EN153" s="59">
        <f t="shared" si="128"/>
        <v>909.96088177153888</v>
      </c>
      <c r="EO153" s="59">
        <f ca="1">AVERAGE(OFFSET($EN$3,0,0,'Données projet'!$E$15+1,1))-AVERAGE(OFFSET($H$3,0,0,'Données projet'!$E$15+1,1))</f>
        <v>288.41846134875794</v>
      </c>
      <c r="EP153" s="59">
        <f t="shared" si="154"/>
        <v>248.93951719818972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17.95357831511723</v>
      </c>
      <c r="EW153" s="21">
        <f>EXP(-LN(2)/25)*EW152+(1-EXP(-LN(2)/25))/(LN(2)/25)*Calculateur!ER153*Calculateur!ET153*VLOOKUP('Données projet'!$B$15,Paramètres!$A$1:$I$89,3,0)*0.475*44/12</f>
        <v>1.0027749108122754</v>
      </c>
      <c r="EX153" s="21">
        <f>EXP(-LN(2)/2)*EX152+(1-EXP(-LN(2)/2))/(LN(2)/2)*ER153*EU153*VLOOKUP('Données projet'!$B$15,Paramètres!$A$1:$I$89,3,0)*0.475*44/12</f>
        <v>4.220995032498321E-19</v>
      </c>
      <c r="EY153" s="22">
        <f t="shared" si="129"/>
        <v>18.956353225929504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789.00000000000045</v>
      </c>
      <c r="FF153" s="17">
        <f>FE153*VLOOKUP('Données projet'!$B$16,Paramètres!$A$1:$I$89,3,0)*VLOOKUP('Données projet'!$B$16,Paramètres!$A$1:$I$89,5,0)</f>
        <v>358.99500000000023</v>
      </c>
      <c r="FG153" s="13">
        <f t="shared" si="155"/>
        <v>83.411930940690553</v>
      </c>
      <c r="FH153" s="20">
        <f t="shared" si="130"/>
        <v>770.52540472170313</v>
      </c>
      <c r="FI153" s="59">
        <f t="shared" si="131"/>
        <v>1063.8587380550364</v>
      </c>
      <c r="FJ153" s="59">
        <f ca="1">AVERAGE(OFFSET($FI$3,0,0,'Données projet'!$E$16+1,1))-AVERAGE(OFFSET($H$3,0,0,'Données projet'!$E$16+1,1))</f>
        <v>367.36535411813264</v>
      </c>
      <c r="FK153" s="59">
        <f t="shared" si="156"/>
        <v>293.19545174980556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21.937126669706085</v>
      </c>
      <c r="FR153" s="21">
        <f>EXP(-LN(2)/25)*FR152+(1-EXP(-LN(2)/25))/(LN(2)/25)*Calculateur!FM153*Calculateur!FO153*VLOOKUP('Données projet'!$B$16,Paramètres!$A$1:$I$89,3,0)*0.475*44/12</f>
        <v>1.5542203730383495</v>
      </c>
      <c r="FS153" s="21">
        <f>EXP(-LN(2)/2)*FS152+(1-EXP(-LN(2)/2))/(LN(2)/2)*FM153*FP153*VLOOKUP('Données projet'!$B$16,Paramètres!$A$1:$I$89,3,0)*0.475*44/12</f>
        <v>6.2836173687946951E-19</v>
      </c>
      <c r="FT153" s="22">
        <f t="shared" si="132"/>
        <v>23.491347042744437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669.99999999999989</v>
      </c>
      <c r="GA153" s="17">
        <f>FZ153*VLOOKUP('Données projet'!$B$17,Paramètres!$A$1:$I$89,3,0)*VLOOKUP('Données projet'!$B$17,Paramètres!$A$1:$I$89,5,0)</f>
        <v>322.26999999999992</v>
      </c>
      <c r="GB153" s="13">
        <f t="shared" si="157"/>
        <v>75.825476822885776</v>
      </c>
      <c r="GC153" s="20">
        <f t="shared" si="133"/>
        <v>693.34962213319261</v>
      </c>
      <c r="GD153" s="59">
        <f t="shared" si="134"/>
        <v>986.68295546652598</v>
      </c>
      <c r="GE153" s="59">
        <f ca="1">AVERAGE(OFFSET($GD$3,0,0,'Données projet'!$E$17+1,1))-AVERAGE(OFFSET($H$3,0,0,'Données projet'!$E$17+1,1))</f>
        <v>312.64506496298173</v>
      </c>
      <c r="GF153" s="59">
        <f t="shared" si="158"/>
        <v>259.97532509897508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28.318765315562963</v>
      </c>
      <c r="GM153" s="21">
        <f>EXP(-LN(2)/25)*GM152+(1-EXP(-LN(2)/25))/(LN(2)/25)*Calculateur!GH153*Calculateur!GJ153*VLOOKUP('Données projet'!$B$17,Paramètres!$A$1:$I$89,3,0)*0.475*44/12</f>
        <v>0.70269491689684738</v>
      </c>
      <c r="GN153" s="21">
        <f>EXP(-LN(2)/2)*GN152+(1-EXP(-LN(2)/2))/(LN(2)/2)*GH153*GK153*VLOOKUP('Données projet'!$B$17,Paramètres!$A$1:$I$89,3,0)*0.475*44/12</f>
        <v>3.3401492869827675E-18</v>
      </c>
      <c r="GO153" s="21">
        <f t="shared" si="135"/>
        <v>29.021460232459809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267</v>
      </c>
      <c r="GV153" s="17">
        <f>GU153*VLOOKUP('Données projet'!$B$18,Paramètres!$A$1:$I$89,3,0)*VLOOKUP('Données projet'!$B$18,Paramètres!$A$1:$I$89,5,0)</f>
        <v>270.738</v>
      </c>
      <c r="GW153" s="13">
        <f t="shared" si="159"/>
        <v>65.005866623551711</v>
      </c>
      <c r="GX153" s="20">
        <f t="shared" si="136"/>
        <v>584.7539010360191</v>
      </c>
      <c r="GY153" s="59">
        <f t="shared" si="137"/>
        <v>878.08723436935247</v>
      </c>
      <c r="GZ153" s="59">
        <f ca="1">AVERAGE(OFFSET($GY$3,0,0,'Données projet'!$E$18+1,1))-AVERAGE(OFFSET($H$3,0,0,'Données projet'!$E$18+1,1))</f>
        <v>308.80022073574963</v>
      </c>
      <c r="HA153" s="59">
        <f t="shared" si="160"/>
        <v>183.96267407004115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42.354478151472065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42.354478151472065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344.49457749226184</v>
      </c>
      <c r="T154" s="59">
        <f t="shared" si="142"/>
        <v>207.92972431357452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208.99999999999989</v>
      </c>
      <c r="AJ154" s="13">
        <f>AI154*VLOOKUP('Données projet'!$B$10,Paramètres!$A$1:$I$89,3,0)*VLOOKUP('Données projet'!$B$10,Paramètres!$A$1:$I$89,5,0)</f>
        <v>189.1031999999999</v>
      </c>
      <c r="AK154" s="13">
        <f t="shared" ref="AK154:AK203" si="164">EXP(-1.0587+0.8836*LN(AJ154)+0.284)</f>
        <v>47.34162854278712</v>
      </c>
      <c r="AL154" s="20">
        <f t="shared" ref="AL154:AL203" si="165">(AJ154+AK154)*0.475*44/12</f>
        <v>411.80807637868742</v>
      </c>
      <c r="AM154" s="59">
        <f t="shared" si="113"/>
        <v>705.14140971202073</v>
      </c>
      <c r="AN154" s="59">
        <f ca="1">AVERAGE(OFFSET($AM$3,0,0,'Données projet'!$E$10+1,1))-AVERAGE(OFFSET($H$3,0,0,'Données projet'!$E$10+1,1))</f>
        <v>183.0147113277086</v>
      </c>
      <c r="AO154" s="59">
        <f t="shared" si="144"/>
        <v>76.413905647258389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27.841298346079167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27.841298346079167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253.79640000000001</v>
      </c>
      <c r="BF154" s="13">
        <f t="shared" ref="BF154:BF203" si="167">EXP(-1.0587+0.8836*LN(BE154)+0.284)</f>
        <v>61.39816832228076</v>
      </c>
      <c r="BG154" s="20">
        <f t="shared" ref="BG154:BG203" si="168">(BE154+BF154)*0.475*44/12</f>
        <v>548.96387316130563</v>
      </c>
      <c r="BH154" s="59">
        <f t="shared" si="116"/>
        <v>842.29720649463889</v>
      </c>
      <c r="BI154" s="59">
        <f ca="1">AVERAGE(OFFSET($BH$3,0,0,'Données projet'!$E$11+1,1))-AVERAGE(OFFSET($H$3,0,0,'Données projet'!$E$11+1,1))</f>
        <v>279.49721661620544</v>
      </c>
      <c r="BJ154" s="59">
        <f t="shared" si="146"/>
        <v>275.18739333988754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13.031410233506117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13.031410233506117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754.68411025369562</v>
      </c>
      <c r="CD154" s="59">
        <f ca="1">AVERAGE(OFFSET($CC$3,0,0,'Données projet'!$E$12+1,1))-AVERAGE(OFFSET($H$3,0,0,'Données projet'!$E$12+1,1))</f>
        <v>225.2323446080772</v>
      </c>
      <c r="CE154" s="59">
        <f t="shared" si="148"/>
        <v>222.29030402759292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10.633997167540835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10.633997167540835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213.00000000000003</v>
      </c>
      <c r="CU154" s="17">
        <f>CT154*VLOOKUP('Données projet'!$B$13,Paramètres!$A$1:$I$89,3,0)*VLOOKUP('Données projet'!$B$13,Paramètres!$A$1:$I$89,5,0)</f>
        <v>229.2732</v>
      </c>
      <c r="CV154" s="13">
        <f t="shared" ref="CV154:CV203" si="173">EXP(-1.0587+0.8836*LN(CU154)+0.284)</f>
        <v>56.125501442527366</v>
      </c>
      <c r="CW154" s="20">
        <f t="shared" ref="CW154:CW203" si="174">(CU154+CV154)*0.475*44/12</f>
        <v>497.06940501240177</v>
      </c>
      <c r="CX154" s="59">
        <f t="shared" si="122"/>
        <v>790.40273834573509</v>
      </c>
      <c r="CY154" s="59">
        <f ca="1">AVERAGE(OFFSET($CX$3,0,0,'Données projet'!$E$13+1,1))-AVERAGE(OFFSET($H$3,0,0,'Données projet'!$E$13+1,1))</f>
        <v>240.57184010337932</v>
      </c>
      <c r="CZ154" s="59">
        <f t="shared" si="150"/>
        <v>236.36473521227072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9.0179108497840357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9.0179108497840357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670.99999999999977</v>
      </c>
      <c r="DP154" s="17">
        <f>DO154*VLOOKUP('Données projet'!$B$14,Paramètres!$A$1:$I$89,3,0)*VLOOKUP('Données projet'!$B$14,Paramètres!$A$1:$I$89,5,0)</f>
        <v>314.02799999999991</v>
      </c>
      <c r="DQ154" s="13">
        <f t="shared" ref="DQ154:DQ203" si="176">EXP(-1.0587+0.8836*LN(DP154)+0.284)</f>
        <v>74.109403804428752</v>
      </c>
      <c r="DR154" s="20">
        <f t="shared" ref="DR154:DR203" si="177">(DP154+DQ154)*0.475*44/12</f>
        <v>676.00597829271317</v>
      </c>
      <c r="DS154" s="59">
        <f t="shared" si="125"/>
        <v>969.33931162604654</v>
      </c>
      <c r="DT154" s="59">
        <f ca="1">AVERAGE(OFFSET($DS$3,0,0,'Données projet'!$E$14+1,1))-AVERAGE(OFFSET($H$3,0,0,'Données projet'!$E$14+1,1))</f>
        <v>304.29617570272939</v>
      </c>
      <c r="DU154" s="59">
        <f t="shared" si="152"/>
        <v>246.20695736161576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24.329115250099324</v>
      </c>
      <c r="EB154" s="21">
        <f>EXP(-LN(2)/25)*EB153+(1-EXP(-LN(2)/25))/(LN(2)/25)*Calculateur!DW154*Calculateur!DY154*VLOOKUP('Données projet'!$B$14,Paramètres!$A$1:$I$89,3,0)*0.475*44/12</f>
        <v>1.4289000130496023</v>
      </c>
      <c r="EC154" s="21">
        <f>EXP(-LN(2)/2)*EC153+(1-EXP(-LN(2)/2))/(LN(2)/2)*DW154*DZ154*VLOOKUP('Données projet'!$B$14,Paramètres!$A$1:$I$89,3,0)*0.475*44/12</f>
        <v>2.4129090696171867E-18</v>
      </c>
      <c r="ED154" s="22">
        <f t="shared" ref="ED154:ED203" si="178">SUM(EA154:EC154)</f>
        <v>25.758015263148927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477.9999999999996</v>
      </c>
      <c r="EK154" s="17">
        <f>EJ154*VLOOKUP('Données projet'!$B$15,Paramètres!$A$1:$I$89,3,0)*VLOOKUP('Données projet'!$B$15,Paramètres!$A$1:$I$89,5,0)</f>
        <v>285.84399999999977</v>
      </c>
      <c r="EL154" s="13">
        <f t="shared" ref="EL154:EL203" si="179">EXP(-1.0587+0.8836*LN(EK154)+0.284)</f>
        <v>68.200525419065656</v>
      </c>
      <c r="EM154" s="20">
        <f t="shared" ref="EM154:EM203" si="180">(EK154+EL154)*0.475*44/12</f>
        <v>616.62754843820551</v>
      </c>
      <c r="EN154" s="59">
        <f t="shared" si="128"/>
        <v>909.96088177153888</v>
      </c>
      <c r="EO154" s="59">
        <f ca="1">AVERAGE(OFFSET($EN$3,0,0,'Données projet'!$E$15+1,1))-AVERAGE(OFFSET($H$3,0,0,'Données projet'!$E$15+1,1))</f>
        <v>288.41846134875794</v>
      </c>
      <c r="EP154" s="59">
        <f t="shared" si="154"/>
        <v>248.93951719818972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17.601519594959271</v>
      </c>
      <c r="EW154" s="21">
        <f>EXP(-LN(2)/25)*EW153+(1-EXP(-LN(2)/25))/(LN(2)/25)*Calculateur!ER154*Calculateur!ET154*VLOOKUP('Données projet'!$B$15,Paramètres!$A$1:$I$89,3,0)*0.475*44/12</f>
        <v>0.97535397814247304</v>
      </c>
      <c r="EX154" s="21">
        <f>EXP(-LN(2)/2)*EX153+(1-EXP(-LN(2)/2))/(LN(2)/2)*ER154*EU154*VLOOKUP('Données projet'!$B$15,Paramètres!$A$1:$I$89,3,0)*0.475*44/12</f>
        <v>2.9846942108342947E-19</v>
      </c>
      <c r="EY154" s="22">
        <f t="shared" ref="EY154:EY203" si="181">SUM(EV154:EX154)</f>
        <v>18.576873573101743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789.00000000000045</v>
      </c>
      <c r="FF154" s="17">
        <f>FE154*VLOOKUP('Données projet'!$B$16,Paramètres!$A$1:$I$89,3,0)*VLOOKUP('Données projet'!$B$16,Paramètres!$A$1:$I$89,5,0)</f>
        <v>358.99500000000023</v>
      </c>
      <c r="FG154" s="13">
        <f t="shared" ref="FG154:FG203" si="182">EXP(-1.0587+0.8836*LN(FF154)+0.284)</f>
        <v>83.411930940690553</v>
      </c>
      <c r="FH154" s="20">
        <f t="shared" ref="FH154:FH203" si="183">(FF154+FG154)*0.475*44/12</f>
        <v>770.52540472170313</v>
      </c>
      <c r="FI154" s="59">
        <f t="shared" si="131"/>
        <v>1063.8587380550364</v>
      </c>
      <c r="FJ154" s="59">
        <f ca="1">AVERAGE(OFFSET($FI$3,0,0,'Données projet'!$E$16+1,1))-AVERAGE(OFFSET($H$3,0,0,'Données projet'!$E$16+1,1))</f>
        <v>367.36535411813264</v>
      </c>
      <c r="FK154" s="59">
        <f t="shared" si="156"/>
        <v>293.19545174980556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21.506952996039221</v>
      </c>
      <c r="FR154" s="21">
        <f>EXP(-LN(2)/25)*FR153+(1-EXP(-LN(2)/25))/(LN(2)/25)*Calculateur!FM154*Calculateur!FO154*VLOOKUP('Données projet'!$B$16,Paramètres!$A$1:$I$89,3,0)*0.475*44/12</f>
        <v>1.5117201352047187</v>
      </c>
      <c r="FS154" s="21">
        <f>EXP(-LN(2)/2)*FS153+(1-EXP(-LN(2)/2))/(LN(2)/2)*FM154*FP154*VLOOKUP('Données projet'!$B$16,Paramètres!$A$1:$I$89,3,0)*0.475*44/12</f>
        <v>4.4431884518562999E-19</v>
      </c>
      <c r="FT154" s="22">
        <f t="shared" ref="FT154:FT203" si="184">SUM(FQ154:FS154)</f>
        <v>23.01867313124394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669.99999999999989</v>
      </c>
      <c r="GA154" s="17">
        <f>FZ154*VLOOKUP('Données projet'!$B$17,Paramètres!$A$1:$I$89,3,0)*VLOOKUP('Données projet'!$B$17,Paramètres!$A$1:$I$89,5,0)</f>
        <v>322.26999999999992</v>
      </c>
      <c r="GB154" s="13">
        <f t="shared" ref="GB154:GB203" si="185">EXP(-1.0587+0.8836*LN(GA154)+0.284)</f>
        <v>75.825476822885776</v>
      </c>
      <c r="GC154" s="20">
        <f t="shared" ref="GC154:GC203" si="186">(GA154+GB154)*0.475*44/12</f>
        <v>693.34962213319261</v>
      </c>
      <c r="GD154" s="59">
        <f t="shared" si="134"/>
        <v>986.68295546652598</v>
      </c>
      <c r="GE154" s="59">
        <f ca="1">AVERAGE(OFFSET($GD$3,0,0,'Données projet'!$E$17+1,1))-AVERAGE(OFFSET($H$3,0,0,'Données projet'!$E$17+1,1))</f>
        <v>312.64506496298173</v>
      </c>
      <c r="GF154" s="59">
        <f t="shared" si="158"/>
        <v>259.97532509897508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27.763451600466073</v>
      </c>
      <c r="GM154" s="21">
        <f>EXP(-LN(2)/25)*GM153+(1-EXP(-LN(2)/25))/(LN(2)/25)*Calculateur!GH154*Calculateur!GJ154*VLOOKUP('Données projet'!$B$17,Paramètres!$A$1:$I$89,3,0)*0.475*44/12</f>
        <v>0.68347968744118348</v>
      </c>
      <c r="GN154" s="21">
        <f>EXP(-LN(2)/2)*GN153+(1-EXP(-LN(2)/2))/(LN(2)/2)*GH154*GK154*VLOOKUP('Données projet'!$B$17,Paramètres!$A$1:$I$89,3,0)*0.475*44/12</f>
        <v>2.3618422110009265E-18</v>
      </c>
      <c r="GO154" s="21">
        <f t="shared" ref="GO154:GO203" si="187">SUM(GL154:GN154)</f>
        <v>28.446931287907258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267</v>
      </c>
      <c r="GV154" s="17">
        <f>GU154*VLOOKUP('Données projet'!$B$18,Paramètres!$A$1:$I$89,3,0)*VLOOKUP('Données projet'!$B$18,Paramètres!$A$1:$I$89,5,0)</f>
        <v>270.738</v>
      </c>
      <c r="GW154" s="13">
        <f t="shared" ref="GW154:GW203" si="188">EXP(-1.0587+0.8836*LN(GV154)+0.284)</f>
        <v>65.005866623551711</v>
      </c>
      <c r="GX154" s="20">
        <f t="shared" ref="GX154:GX203" si="189">(GV154+GW154)*0.475*44/12</f>
        <v>584.7539010360191</v>
      </c>
      <c r="GY154" s="59">
        <f t="shared" si="137"/>
        <v>878.08723436935247</v>
      </c>
      <c r="GZ154" s="59">
        <f ca="1">AVERAGE(OFFSET($GY$3,0,0,'Données projet'!$E$18+1,1))-AVERAGE(OFFSET($H$3,0,0,'Données projet'!$E$18+1,1))</f>
        <v>308.80022073574963</v>
      </c>
      <c r="HA154" s="59">
        <f t="shared" si="160"/>
        <v>183.96267407004115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41.523932668602505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41.523932668602505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344.49457749226184</v>
      </c>
      <c r="T155" s="59">
        <f t="shared" si="142"/>
        <v>207.92972431357452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208.99999999999989</v>
      </c>
      <c r="AJ155" s="13">
        <f>AI155*VLOOKUP('Données projet'!$B$10,Paramètres!$A$1:$I$89,3,0)*VLOOKUP('Données projet'!$B$10,Paramètres!$A$1:$I$89,5,0)</f>
        <v>189.1031999999999</v>
      </c>
      <c r="AK155" s="13">
        <f t="shared" si="164"/>
        <v>47.34162854278712</v>
      </c>
      <c r="AL155" s="20">
        <f t="shared" si="165"/>
        <v>411.80807637868742</v>
      </c>
      <c r="AM155" s="59">
        <f t="shared" si="113"/>
        <v>705.14140971202073</v>
      </c>
      <c r="AN155" s="59">
        <f ca="1">AVERAGE(OFFSET($AM$3,0,0,'Données projet'!$E$10+1,1))-AVERAGE(OFFSET($H$3,0,0,'Données projet'!$E$10+1,1))</f>
        <v>183.0147113277086</v>
      </c>
      <c r="AO155" s="59">
        <f t="shared" si="144"/>
        <v>76.413905647258389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27.29534746702776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27.29534746702776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253.79640000000001</v>
      </c>
      <c r="BF155" s="13">
        <f t="shared" si="167"/>
        <v>61.39816832228076</v>
      </c>
      <c r="BG155" s="20">
        <f t="shared" si="168"/>
        <v>548.96387316130563</v>
      </c>
      <c r="BH155" s="59">
        <f t="shared" si="116"/>
        <v>842.29720649463889</v>
      </c>
      <c r="BI155" s="59">
        <f ca="1">AVERAGE(OFFSET($BH$3,0,0,'Données projet'!$E$11+1,1))-AVERAGE(OFFSET($H$3,0,0,'Données projet'!$E$11+1,1))</f>
        <v>279.49721661620544</v>
      </c>
      <c r="BJ155" s="59">
        <f t="shared" si="146"/>
        <v>275.18739333988754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12.775872227202468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12.775872227202468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754.68411025369562</v>
      </c>
      <c r="CD155" s="59">
        <f ca="1">AVERAGE(OFFSET($CC$3,0,0,'Données projet'!$E$12+1,1))-AVERAGE(OFFSET($H$3,0,0,'Données projet'!$E$12+1,1))</f>
        <v>225.2323446080772</v>
      </c>
      <c r="CE155" s="59">
        <f t="shared" si="148"/>
        <v>222.29030402759292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10.425470969183182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10.425470969183182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213.00000000000003</v>
      </c>
      <c r="CU155" s="17">
        <f>CT155*VLOOKUP('Données projet'!$B$13,Paramètres!$A$1:$I$89,3,0)*VLOOKUP('Données projet'!$B$13,Paramètres!$A$1:$I$89,5,0)</f>
        <v>229.2732</v>
      </c>
      <c r="CV155" s="13">
        <f t="shared" si="173"/>
        <v>56.125501442527366</v>
      </c>
      <c r="CW155" s="20">
        <f t="shared" si="174"/>
        <v>497.06940501240177</v>
      </c>
      <c r="CX155" s="59">
        <f t="shared" si="122"/>
        <v>790.40273834573509</v>
      </c>
      <c r="CY155" s="59">
        <f ca="1">AVERAGE(OFFSET($CX$3,0,0,'Données projet'!$E$13+1,1))-AVERAGE(OFFSET($H$3,0,0,'Données projet'!$E$13+1,1))</f>
        <v>240.57184010337932</v>
      </c>
      <c r="CZ155" s="59">
        <f t="shared" si="150"/>
        <v>236.36473521227072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8.8410751184022711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8.8410751184022711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670.99999999999977</v>
      </c>
      <c r="DP155" s="17">
        <f>DO155*VLOOKUP('Données projet'!$B$14,Paramètres!$A$1:$I$89,3,0)*VLOOKUP('Données projet'!$B$14,Paramètres!$A$1:$I$89,5,0)</f>
        <v>314.02799999999991</v>
      </c>
      <c r="DQ155" s="13">
        <f t="shared" si="176"/>
        <v>74.109403804428752</v>
      </c>
      <c r="DR155" s="20">
        <f t="shared" si="177"/>
        <v>676.00597829271317</v>
      </c>
      <c r="DS155" s="59">
        <f t="shared" si="125"/>
        <v>969.33931162604654</v>
      </c>
      <c r="DT155" s="59">
        <f ca="1">AVERAGE(OFFSET($DS$3,0,0,'Données projet'!$E$14+1,1))-AVERAGE(OFFSET($H$3,0,0,'Données projet'!$E$14+1,1))</f>
        <v>304.29617570272939</v>
      </c>
      <c r="DU155" s="59">
        <f t="shared" si="152"/>
        <v>246.20695736161576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23.852036139339919</v>
      </c>
      <c r="EB155" s="21">
        <f>EXP(-LN(2)/25)*EB154+(1-EXP(-LN(2)/25))/(LN(2)/25)*Calculateur!DW155*Calculateur!DY155*VLOOKUP('Données projet'!$B$14,Paramètres!$A$1:$I$89,3,0)*0.475*44/12</f>
        <v>1.3898266670501751</v>
      </c>
      <c r="EC155" s="21">
        <f>EXP(-LN(2)/2)*EC154+(1-EXP(-LN(2)/2))/(LN(2)/2)*DW155*DZ155*VLOOKUP('Données projet'!$B$14,Paramètres!$A$1:$I$89,3,0)*0.475*44/12</f>
        <v>1.7061843655128361E-18</v>
      </c>
      <c r="ED155" s="22">
        <f t="shared" si="178"/>
        <v>25.241862806390095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477.9999999999996</v>
      </c>
      <c r="EK155" s="17">
        <f>EJ155*VLOOKUP('Données projet'!$B$15,Paramètres!$A$1:$I$89,3,0)*VLOOKUP('Données projet'!$B$15,Paramètres!$A$1:$I$89,5,0)</f>
        <v>285.84399999999977</v>
      </c>
      <c r="EL155" s="13">
        <f t="shared" si="179"/>
        <v>68.200525419065656</v>
      </c>
      <c r="EM155" s="20">
        <f t="shared" si="180"/>
        <v>616.62754843820551</v>
      </c>
      <c r="EN155" s="59">
        <f t="shared" si="128"/>
        <v>909.96088177153888</v>
      </c>
      <c r="EO155" s="59">
        <f ca="1">AVERAGE(OFFSET($EN$3,0,0,'Données projet'!$E$15+1,1))-AVERAGE(OFFSET($H$3,0,0,'Données projet'!$E$15+1,1))</f>
        <v>288.41846134875794</v>
      </c>
      <c r="EP155" s="59">
        <f t="shared" si="154"/>
        <v>248.93951719818972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17.256364531568995</v>
      </c>
      <c r="EW155" s="21">
        <f>EXP(-LN(2)/25)*EW154+(1-EXP(-LN(2)/25))/(LN(2)/25)*Calculateur!ER155*Calculateur!ET155*VLOOKUP('Données projet'!$B$15,Paramètres!$A$1:$I$89,3,0)*0.475*44/12</f>
        <v>0.94868287231853066</v>
      </c>
      <c r="EX155" s="21">
        <f>EXP(-LN(2)/2)*EX154+(1-EXP(-LN(2)/2))/(LN(2)/2)*ER155*EU155*VLOOKUP('Données projet'!$B$15,Paramètres!$A$1:$I$89,3,0)*0.475*44/12</f>
        <v>2.110497516249161E-19</v>
      </c>
      <c r="EY155" s="22">
        <f t="shared" si="181"/>
        <v>18.205047403887527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789.00000000000045</v>
      </c>
      <c r="FF155" s="17">
        <f>FE155*VLOOKUP('Données projet'!$B$16,Paramètres!$A$1:$I$89,3,0)*VLOOKUP('Données projet'!$B$16,Paramètres!$A$1:$I$89,5,0)</f>
        <v>358.99500000000023</v>
      </c>
      <c r="FG155" s="13">
        <f t="shared" si="182"/>
        <v>83.411930940690553</v>
      </c>
      <c r="FH155" s="20">
        <f t="shared" si="183"/>
        <v>770.52540472170313</v>
      </c>
      <c r="FI155" s="59">
        <f t="shared" si="131"/>
        <v>1063.8587380550364</v>
      </c>
      <c r="FJ155" s="59">
        <f ca="1">AVERAGE(OFFSET($FI$3,0,0,'Données projet'!$E$16+1,1))-AVERAGE(OFFSET($H$3,0,0,'Données projet'!$E$16+1,1))</f>
        <v>367.36535411813264</v>
      </c>
      <c r="FK155" s="59">
        <f t="shared" si="156"/>
        <v>293.19545174980556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21.085214765732928</v>
      </c>
      <c r="FR155" s="21">
        <f>EXP(-LN(2)/25)*FR154+(1-EXP(-LN(2)/25))/(LN(2)/25)*Calculateur!FM155*Calculateur!FO155*VLOOKUP('Données projet'!$B$16,Paramètres!$A$1:$I$89,3,0)*0.475*44/12</f>
        <v>1.4703820686096389</v>
      </c>
      <c r="FS155" s="21">
        <f>EXP(-LN(2)/2)*FS154+(1-EXP(-LN(2)/2))/(LN(2)/2)*FM155*FP155*VLOOKUP('Données projet'!$B$16,Paramètres!$A$1:$I$89,3,0)*0.475*44/12</f>
        <v>3.1418086843973476E-19</v>
      </c>
      <c r="FT155" s="22">
        <f t="shared" si="184"/>
        <v>22.555596834342566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669.99999999999989</v>
      </c>
      <c r="GA155" s="17">
        <f>FZ155*VLOOKUP('Données projet'!$B$17,Paramètres!$A$1:$I$89,3,0)*VLOOKUP('Données projet'!$B$17,Paramètres!$A$1:$I$89,5,0)</f>
        <v>322.26999999999992</v>
      </c>
      <c r="GB155" s="13">
        <f t="shared" si="185"/>
        <v>75.825476822885776</v>
      </c>
      <c r="GC155" s="20">
        <f t="shared" si="186"/>
        <v>693.34962213319261</v>
      </c>
      <c r="GD155" s="59">
        <f t="shared" si="134"/>
        <v>986.68295546652598</v>
      </c>
      <c r="GE155" s="59">
        <f ca="1">AVERAGE(OFFSET($GD$3,0,0,'Données projet'!$E$17+1,1))-AVERAGE(OFFSET($H$3,0,0,'Données projet'!$E$17+1,1))</f>
        <v>312.64506496298173</v>
      </c>
      <c r="GF155" s="59">
        <f t="shared" si="158"/>
        <v>259.97532509897508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27.219027248614314</v>
      </c>
      <c r="GM155" s="21">
        <f>EXP(-LN(2)/25)*GM154+(1-EXP(-LN(2)/25))/(LN(2)/25)*Calculateur!GH155*Calculateur!GJ155*VLOOKUP('Données projet'!$B$17,Paramètres!$A$1:$I$89,3,0)*0.475*44/12</f>
        <v>0.66478989944546962</v>
      </c>
      <c r="GN155" s="21">
        <f>EXP(-LN(2)/2)*GN154+(1-EXP(-LN(2)/2))/(LN(2)/2)*GH155*GK155*VLOOKUP('Données projet'!$B$17,Paramètres!$A$1:$I$89,3,0)*0.475*44/12</f>
        <v>1.6700746434913837E-18</v>
      </c>
      <c r="GO155" s="21">
        <f t="shared" si="187"/>
        <v>27.883817148059784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267</v>
      </c>
      <c r="GV155" s="17">
        <f>GU155*VLOOKUP('Données projet'!$B$18,Paramètres!$A$1:$I$89,3,0)*VLOOKUP('Données projet'!$B$18,Paramètres!$A$1:$I$89,5,0)</f>
        <v>270.738</v>
      </c>
      <c r="GW155" s="13">
        <f t="shared" si="188"/>
        <v>65.005866623551711</v>
      </c>
      <c r="GX155" s="20">
        <f t="shared" si="189"/>
        <v>584.7539010360191</v>
      </c>
      <c r="GY155" s="59">
        <f t="shared" si="137"/>
        <v>878.08723436935247</v>
      </c>
      <c r="GZ155" s="59">
        <f ca="1">AVERAGE(OFFSET($GY$3,0,0,'Données projet'!$E$18+1,1))-AVERAGE(OFFSET($H$3,0,0,'Données projet'!$E$18+1,1))</f>
        <v>308.80022073574963</v>
      </c>
      <c r="HA155" s="59">
        <f t="shared" si="160"/>
        <v>183.96267407004115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40.709673676069293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40.709673676069293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344.49457749226184</v>
      </c>
      <c r="T156" s="59">
        <f t="shared" si="142"/>
        <v>207.92972431357452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208.99999999999989</v>
      </c>
      <c r="AJ156" s="13">
        <f>AI156*VLOOKUP('Données projet'!$B$10,Paramètres!$A$1:$I$89,3,0)*VLOOKUP('Données projet'!$B$10,Paramètres!$A$1:$I$89,5,0)</f>
        <v>189.1031999999999</v>
      </c>
      <c r="AK156" s="13">
        <f t="shared" si="164"/>
        <v>47.34162854278712</v>
      </c>
      <c r="AL156" s="20">
        <f t="shared" si="165"/>
        <v>411.80807637868742</v>
      </c>
      <c r="AM156" s="59">
        <f t="shared" si="113"/>
        <v>705.14140971202073</v>
      </c>
      <c r="AN156" s="59">
        <f ca="1">AVERAGE(OFFSET($AM$3,0,0,'Données projet'!$E$10+1,1))-AVERAGE(OFFSET($H$3,0,0,'Données projet'!$E$10+1,1))</f>
        <v>183.0147113277086</v>
      </c>
      <c r="AO156" s="59">
        <f t="shared" si="144"/>
        <v>76.413905647258389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26.760102351717396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26.760102351717396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253.79640000000001</v>
      </c>
      <c r="BF156" s="13">
        <f t="shared" si="167"/>
        <v>61.39816832228076</v>
      </c>
      <c r="BG156" s="20">
        <f t="shared" si="168"/>
        <v>548.96387316130563</v>
      </c>
      <c r="BH156" s="59">
        <f t="shared" si="116"/>
        <v>842.29720649463889</v>
      </c>
      <c r="BI156" s="59">
        <f ca="1">AVERAGE(OFFSET($BH$3,0,0,'Données projet'!$E$11+1,1))-AVERAGE(OFFSET($H$3,0,0,'Données projet'!$E$11+1,1))</f>
        <v>279.49721661620544</v>
      </c>
      <c r="BJ156" s="59">
        <f t="shared" si="146"/>
        <v>275.18739333988754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12.52534516533964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12.52534516533964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754.68411025369562</v>
      </c>
      <c r="CD156" s="59">
        <f ca="1">AVERAGE(OFFSET($CC$3,0,0,'Données projet'!$E$12+1,1))-AVERAGE(OFFSET($H$3,0,0,'Données projet'!$E$12+1,1))</f>
        <v>225.2323446080772</v>
      </c>
      <c r="CE156" s="59">
        <f t="shared" si="148"/>
        <v>222.29030402759292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10.221033842386902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10.221033842386902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213.00000000000003</v>
      </c>
      <c r="CU156" s="17">
        <f>CT156*VLOOKUP('Données projet'!$B$13,Paramètres!$A$1:$I$89,3,0)*VLOOKUP('Données projet'!$B$13,Paramètres!$A$1:$I$89,5,0)</f>
        <v>229.2732</v>
      </c>
      <c r="CV156" s="13">
        <f t="shared" si="173"/>
        <v>56.125501442527366</v>
      </c>
      <c r="CW156" s="20">
        <f t="shared" si="174"/>
        <v>497.06940501240177</v>
      </c>
      <c r="CX156" s="59">
        <f t="shared" si="122"/>
        <v>790.40273834573509</v>
      </c>
      <c r="CY156" s="59">
        <f ca="1">AVERAGE(OFFSET($CX$3,0,0,'Données projet'!$E$13+1,1))-AVERAGE(OFFSET($H$3,0,0,'Données projet'!$E$13+1,1))</f>
        <v>240.57184010337932</v>
      </c>
      <c r="CZ156" s="59">
        <f t="shared" si="150"/>
        <v>236.36473521227072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8.6677070278537567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8.6677070278537567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670.99999999999977</v>
      </c>
      <c r="DP156" s="17">
        <f>DO156*VLOOKUP('Données projet'!$B$14,Paramètres!$A$1:$I$89,3,0)*VLOOKUP('Données projet'!$B$14,Paramètres!$A$1:$I$89,5,0)</f>
        <v>314.02799999999991</v>
      </c>
      <c r="DQ156" s="13">
        <f t="shared" si="176"/>
        <v>74.109403804428752</v>
      </c>
      <c r="DR156" s="20">
        <f t="shared" si="177"/>
        <v>676.00597829271317</v>
      </c>
      <c r="DS156" s="59">
        <f t="shared" si="125"/>
        <v>969.33931162604654</v>
      </c>
      <c r="DT156" s="59">
        <f ca="1">AVERAGE(OFFSET($DS$3,0,0,'Données projet'!$E$14+1,1))-AVERAGE(OFFSET($H$3,0,0,'Données projet'!$E$14+1,1))</f>
        <v>304.29617570272939</v>
      </c>
      <c r="DU156" s="59">
        <f t="shared" si="152"/>
        <v>246.20695736161576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23.384312258952981</v>
      </c>
      <c r="EB156" s="21">
        <f>EXP(-LN(2)/25)*EB155+(1-EXP(-LN(2)/25))/(LN(2)/25)*Calculateur!DW156*Calculateur!DY156*VLOOKUP('Données projet'!$B$14,Paramètres!$A$1:$I$89,3,0)*0.475*44/12</f>
        <v>1.3518217837518802</v>
      </c>
      <c r="EC156" s="21">
        <f>EXP(-LN(2)/2)*EC155+(1-EXP(-LN(2)/2))/(LN(2)/2)*DW156*DZ156*VLOOKUP('Données projet'!$B$14,Paramètres!$A$1:$I$89,3,0)*0.475*44/12</f>
        <v>1.2064545348085935E-18</v>
      </c>
      <c r="ED156" s="22">
        <f t="shared" si="178"/>
        <v>24.736134042704862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477.9999999999996</v>
      </c>
      <c r="EK156" s="17">
        <f>EJ156*VLOOKUP('Données projet'!$B$15,Paramètres!$A$1:$I$89,3,0)*VLOOKUP('Données projet'!$B$15,Paramètres!$A$1:$I$89,5,0)</f>
        <v>285.84399999999977</v>
      </c>
      <c r="EL156" s="13">
        <f t="shared" si="179"/>
        <v>68.200525419065656</v>
      </c>
      <c r="EM156" s="20">
        <f t="shared" si="180"/>
        <v>616.62754843820551</v>
      </c>
      <c r="EN156" s="59">
        <f t="shared" si="128"/>
        <v>909.96088177153888</v>
      </c>
      <c r="EO156" s="59">
        <f ca="1">AVERAGE(OFFSET($EN$3,0,0,'Données projet'!$E$15+1,1))-AVERAGE(OFFSET($H$3,0,0,'Données projet'!$E$15+1,1))</f>
        <v>288.41846134875794</v>
      </c>
      <c r="EP156" s="59">
        <f t="shared" si="154"/>
        <v>248.93951719818972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16.917977748447999</v>
      </c>
      <c r="EW156" s="21">
        <f>EXP(-LN(2)/25)*EW155+(1-EXP(-LN(2)/25))/(LN(2)/25)*Calculateur!ER156*Calculateur!ET156*VLOOKUP('Données projet'!$B$15,Paramètres!$A$1:$I$89,3,0)*0.475*44/12</f>
        <v>0.92274108928591647</v>
      </c>
      <c r="EX156" s="21">
        <f>EXP(-LN(2)/2)*EX155+(1-EXP(-LN(2)/2))/(LN(2)/2)*ER156*EU156*VLOOKUP('Données projet'!$B$15,Paramètres!$A$1:$I$89,3,0)*0.475*44/12</f>
        <v>1.4923471054171476E-19</v>
      </c>
      <c r="EY156" s="22">
        <f t="shared" si="181"/>
        <v>17.840718837733917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789.00000000000045</v>
      </c>
      <c r="FF156" s="17">
        <f>FE156*VLOOKUP('Données projet'!$B$16,Paramètres!$A$1:$I$89,3,0)*VLOOKUP('Données projet'!$B$16,Paramètres!$A$1:$I$89,5,0)</f>
        <v>358.99500000000023</v>
      </c>
      <c r="FG156" s="13">
        <f t="shared" si="182"/>
        <v>83.411930940690553</v>
      </c>
      <c r="FH156" s="20">
        <f t="shared" si="183"/>
        <v>770.52540472170313</v>
      </c>
      <c r="FI156" s="59">
        <f t="shared" si="131"/>
        <v>1063.8587380550364</v>
      </c>
      <c r="FJ156" s="59">
        <f ca="1">AVERAGE(OFFSET($FI$3,0,0,'Données projet'!$E$16+1,1))-AVERAGE(OFFSET($H$3,0,0,'Données projet'!$E$16+1,1))</f>
        <v>367.36535411813264</v>
      </c>
      <c r="FK156" s="59">
        <f t="shared" si="156"/>
        <v>293.19545174980556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20.671746564888021</v>
      </c>
      <c r="FR156" s="21">
        <f>EXP(-LN(2)/25)*FR155+(1-EXP(-LN(2)/25))/(LN(2)/25)*Calculateur!FM156*Calculateur!FO156*VLOOKUP('Données projet'!$B$16,Paramètres!$A$1:$I$89,3,0)*0.475*44/12</f>
        <v>1.430174393619476</v>
      </c>
      <c r="FS156" s="21">
        <f>EXP(-LN(2)/2)*FS155+(1-EXP(-LN(2)/2))/(LN(2)/2)*FM156*FP156*VLOOKUP('Données projet'!$B$16,Paramètres!$A$1:$I$89,3,0)*0.475*44/12</f>
        <v>2.2215942259281499E-19</v>
      </c>
      <c r="FT156" s="22">
        <f t="shared" si="184"/>
        <v>22.101920958507499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669.99999999999989</v>
      </c>
      <c r="GA156" s="17">
        <f>FZ156*VLOOKUP('Données projet'!$B$17,Paramètres!$A$1:$I$89,3,0)*VLOOKUP('Données projet'!$B$17,Paramètres!$A$1:$I$89,5,0)</f>
        <v>322.26999999999992</v>
      </c>
      <c r="GB156" s="13">
        <f t="shared" si="185"/>
        <v>75.825476822885776</v>
      </c>
      <c r="GC156" s="20">
        <f t="shared" si="186"/>
        <v>693.34962213319261</v>
      </c>
      <c r="GD156" s="59">
        <f t="shared" si="134"/>
        <v>986.68295546652598</v>
      </c>
      <c r="GE156" s="59">
        <f ca="1">AVERAGE(OFFSET($GD$3,0,0,'Données projet'!$E$17+1,1))-AVERAGE(OFFSET($H$3,0,0,'Données projet'!$E$17+1,1))</f>
        <v>312.64506496298173</v>
      </c>
      <c r="GF156" s="59">
        <f t="shared" si="158"/>
        <v>259.97532509897508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26.685278726236302</v>
      </c>
      <c r="GM156" s="21">
        <f>EXP(-LN(2)/25)*GM155+(1-EXP(-LN(2)/25))/(LN(2)/25)*Calculateur!GH156*Calculateur!GJ156*VLOOKUP('Données projet'!$B$17,Paramètres!$A$1:$I$89,3,0)*0.475*44/12</f>
        <v>0.64661118468535184</v>
      </c>
      <c r="GN156" s="21">
        <f>EXP(-LN(2)/2)*GN155+(1-EXP(-LN(2)/2))/(LN(2)/2)*GH156*GK156*VLOOKUP('Données projet'!$B$17,Paramètres!$A$1:$I$89,3,0)*0.475*44/12</f>
        <v>1.1809211055004632E-18</v>
      </c>
      <c r="GO156" s="21">
        <f t="shared" si="187"/>
        <v>27.331889910921653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267</v>
      </c>
      <c r="GV156" s="17">
        <f>GU156*VLOOKUP('Données projet'!$B$18,Paramètres!$A$1:$I$89,3,0)*VLOOKUP('Données projet'!$B$18,Paramètres!$A$1:$I$89,5,0)</f>
        <v>270.738</v>
      </c>
      <c r="GW156" s="13">
        <f t="shared" si="188"/>
        <v>65.005866623551711</v>
      </c>
      <c r="GX156" s="20">
        <f t="shared" si="189"/>
        <v>584.7539010360191</v>
      </c>
      <c r="GY156" s="59">
        <f t="shared" si="137"/>
        <v>878.08723436935247</v>
      </c>
      <c r="GZ156" s="59">
        <f ca="1">AVERAGE(OFFSET($GY$3,0,0,'Données projet'!$E$18+1,1))-AVERAGE(OFFSET($H$3,0,0,'Données projet'!$E$18+1,1))</f>
        <v>308.80022073574963</v>
      </c>
      <c r="HA156" s="59">
        <f t="shared" si="160"/>
        <v>183.96267407004115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39.911381805730713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39.911381805730713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344.49457749226184</v>
      </c>
      <c r="T157" s="59">
        <f t="shared" si="142"/>
        <v>207.92972431357452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208.99999999999989</v>
      </c>
      <c r="AJ157" s="13">
        <f>AI157*VLOOKUP('Données projet'!$B$10,Paramètres!$A$1:$I$89,3,0)*VLOOKUP('Données projet'!$B$10,Paramètres!$A$1:$I$89,5,0)</f>
        <v>189.1031999999999</v>
      </c>
      <c r="AK157" s="13">
        <f t="shared" si="164"/>
        <v>47.34162854278712</v>
      </c>
      <c r="AL157" s="20">
        <f t="shared" si="165"/>
        <v>411.80807637868742</v>
      </c>
      <c r="AM157" s="59">
        <f t="shared" si="113"/>
        <v>705.14140971202073</v>
      </c>
      <c r="AN157" s="59">
        <f ca="1">AVERAGE(OFFSET($AM$3,0,0,'Données projet'!$E$10+1,1))-AVERAGE(OFFSET($H$3,0,0,'Données projet'!$E$10+1,1))</f>
        <v>183.0147113277086</v>
      </c>
      <c r="AO157" s="59">
        <f t="shared" si="144"/>
        <v>76.413905647258389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26.235353066650983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26.235353066650983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253.79640000000001</v>
      </c>
      <c r="BF157" s="13">
        <f t="shared" si="167"/>
        <v>61.39816832228076</v>
      </c>
      <c r="BG157" s="20">
        <f t="shared" si="168"/>
        <v>548.96387316130563</v>
      </c>
      <c r="BH157" s="59">
        <f t="shared" si="116"/>
        <v>842.29720649463889</v>
      </c>
      <c r="BI157" s="59">
        <f ca="1">AVERAGE(OFFSET($BH$3,0,0,'Données projet'!$E$11+1,1))-AVERAGE(OFFSET($H$3,0,0,'Données projet'!$E$11+1,1))</f>
        <v>279.49721661620544</v>
      </c>
      <c r="BJ157" s="59">
        <f t="shared" si="146"/>
        <v>275.18739333988754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12.279730786353522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12.279730786353522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754.68411025369562</v>
      </c>
      <c r="CD157" s="59">
        <f ca="1">AVERAGE(OFFSET($CC$3,0,0,'Données projet'!$E$12+1,1))-AVERAGE(OFFSET($H$3,0,0,'Données projet'!$E$12+1,1))</f>
        <v>225.2323446080772</v>
      </c>
      <c r="CE157" s="59">
        <f t="shared" si="148"/>
        <v>222.29030402759292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10.020605602952761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10.020605602952761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213.00000000000003</v>
      </c>
      <c r="CU157" s="17">
        <f>CT157*VLOOKUP('Données projet'!$B$13,Paramètres!$A$1:$I$89,3,0)*VLOOKUP('Données projet'!$B$13,Paramètres!$A$1:$I$89,5,0)</f>
        <v>229.2732</v>
      </c>
      <c r="CV157" s="13">
        <f t="shared" si="173"/>
        <v>56.125501442527366</v>
      </c>
      <c r="CW157" s="20">
        <f t="shared" si="174"/>
        <v>497.06940501240177</v>
      </c>
      <c r="CX157" s="59">
        <f t="shared" si="122"/>
        <v>790.40273834573509</v>
      </c>
      <c r="CY157" s="59">
        <f ca="1">AVERAGE(OFFSET($CX$3,0,0,'Données projet'!$E$13+1,1))-AVERAGE(OFFSET($H$3,0,0,'Données projet'!$E$13+1,1))</f>
        <v>240.57184010337932</v>
      </c>
      <c r="CZ157" s="59">
        <f t="shared" si="150"/>
        <v>236.36473521227072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8.4977385798168061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8.4977385798168061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670.99999999999977</v>
      </c>
      <c r="DP157" s="17">
        <f>DO157*VLOOKUP('Données projet'!$B$14,Paramètres!$A$1:$I$89,3,0)*VLOOKUP('Données projet'!$B$14,Paramètres!$A$1:$I$89,5,0)</f>
        <v>314.02799999999991</v>
      </c>
      <c r="DQ157" s="13">
        <f t="shared" si="176"/>
        <v>74.109403804428752</v>
      </c>
      <c r="DR157" s="20">
        <f t="shared" si="177"/>
        <v>676.00597829271317</v>
      </c>
      <c r="DS157" s="59">
        <f t="shared" si="125"/>
        <v>969.33931162604654</v>
      </c>
      <c r="DT157" s="59">
        <f ca="1">AVERAGE(OFFSET($DS$3,0,0,'Données projet'!$E$14+1,1))-AVERAGE(OFFSET($H$3,0,0,'Données projet'!$E$14+1,1))</f>
        <v>304.29617570272939</v>
      </c>
      <c r="DU157" s="59">
        <f t="shared" si="152"/>
        <v>246.20695736161576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22.925760158577035</v>
      </c>
      <c r="EB157" s="21">
        <f>EXP(-LN(2)/25)*EB156+(1-EXP(-LN(2)/25))/(LN(2)/25)*Calculateur!DW157*Calculateur!DY157*VLOOKUP('Données projet'!$B$14,Paramètres!$A$1:$I$89,3,0)*0.475*44/12</f>
        <v>1.3148561459859671</v>
      </c>
      <c r="EC157" s="21">
        <f>EXP(-LN(2)/2)*EC156+(1-EXP(-LN(2)/2))/(LN(2)/2)*DW157*DZ157*VLOOKUP('Données projet'!$B$14,Paramètres!$A$1:$I$89,3,0)*0.475*44/12</f>
        <v>8.5309218275641815E-19</v>
      </c>
      <c r="ED157" s="22">
        <f t="shared" si="178"/>
        <v>24.240616304563002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477.9999999999996</v>
      </c>
      <c r="EK157" s="17">
        <f>EJ157*VLOOKUP('Données projet'!$B$15,Paramètres!$A$1:$I$89,3,0)*VLOOKUP('Données projet'!$B$15,Paramètres!$A$1:$I$89,5,0)</f>
        <v>285.84399999999977</v>
      </c>
      <c r="EL157" s="13">
        <f t="shared" si="179"/>
        <v>68.200525419065656</v>
      </c>
      <c r="EM157" s="20">
        <f t="shared" si="180"/>
        <v>616.62754843820551</v>
      </c>
      <c r="EN157" s="59">
        <f t="shared" si="128"/>
        <v>909.96088177153888</v>
      </c>
      <c r="EO157" s="59">
        <f ca="1">AVERAGE(OFFSET($EN$3,0,0,'Données projet'!$E$15+1,1))-AVERAGE(OFFSET($H$3,0,0,'Données projet'!$E$15+1,1))</f>
        <v>288.41846134875794</v>
      </c>
      <c r="EP157" s="59">
        <f t="shared" si="154"/>
        <v>248.93951719818972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16.586226523748451</v>
      </c>
      <c r="EW157" s="21">
        <f>EXP(-LN(2)/25)*EW156+(1-EXP(-LN(2)/25))/(LN(2)/25)*Calculateur!ER157*Calculateur!ET157*VLOOKUP('Données projet'!$B$15,Paramètres!$A$1:$I$89,3,0)*0.475*44/12</f>
        <v>0.89750868567454811</v>
      </c>
      <c r="EX157" s="21">
        <f>EXP(-LN(2)/2)*EX156+(1-EXP(-LN(2)/2))/(LN(2)/2)*ER157*EU157*VLOOKUP('Données projet'!$B$15,Paramètres!$A$1:$I$89,3,0)*0.475*44/12</f>
        <v>1.0552487581245806E-19</v>
      </c>
      <c r="EY157" s="22">
        <f t="shared" si="181"/>
        <v>17.483735209422999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789.00000000000045</v>
      </c>
      <c r="FF157" s="17">
        <f>FE157*VLOOKUP('Données projet'!$B$16,Paramètres!$A$1:$I$89,3,0)*VLOOKUP('Données projet'!$B$16,Paramètres!$A$1:$I$89,5,0)</f>
        <v>358.99500000000023</v>
      </c>
      <c r="FG157" s="13">
        <f t="shared" si="182"/>
        <v>83.411930940690553</v>
      </c>
      <c r="FH157" s="20">
        <f t="shared" si="183"/>
        <v>770.52540472170313</v>
      </c>
      <c r="FI157" s="59">
        <f t="shared" si="131"/>
        <v>1063.8587380550364</v>
      </c>
      <c r="FJ157" s="59">
        <f ca="1">AVERAGE(OFFSET($FI$3,0,0,'Données projet'!$E$16+1,1))-AVERAGE(OFFSET($H$3,0,0,'Données projet'!$E$16+1,1))</f>
        <v>367.36535411813264</v>
      </c>
      <c r="FK157" s="59">
        <f t="shared" si="156"/>
        <v>293.19545174980556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20.266386223270985</v>
      </c>
      <c r="FR157" s="21">
        <f>EXP(-LN(2)/25)*FR156+(1-EXP(-LN(2)/25))/(LN(2)/25)*Calculateur!FM157*Calculateur!FO157*VLOOKUP('Données projet'!$B$16,Paramètres!$A$1:$I$89,3,0)*0.475*44/12</f>
        <v>1.3910661996163487</v>
      </c>
      <c r="FS157" s="21">
        <f>EXP(-LN(2)/2)*FS156+(1-EXP(-LN(2)/2))/(LN(2)/2)*FM157*FP157*VLOOKUP('Données projet'!$B$16,Paramètres!$A$1:$I$89,3,0)*0.475*44/12</f>
        <v>1.5709043421986738E-19</v>
      </c>
      <c r="FT157" s="22">
        <f t="shared" si="184"/>
        <v>21.657452422887332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669.99999999999989</v>
      </c>
      <c r="GA157" s="17">
        <f>FZ157*VLOOKUP('Données projet'!$B$17,Paramètres!$A$1:$I$89,3,0)*VLOOKUP('Données projet'!$B$17,Paramètres!$A$1:$I$89,5,0)</f>
        <v>322.26999999999992</v>
      </c>
      <c r="GB157" s="13">
        <f t="shared" si="185"/>
        <v>75.825476822885776</v>
      </c>
      <c r="GC157" s="20">
        <f t="shared" si="186"/>
        <v>693.34962213319261</v>
      </c>
      <c r="GD157" s="59">
        <f t="shared" si="134"/>
        <v>986.68295546652598</v>
      </c>
      <c r="GE157" s="59">
        <f ca="1">AVERAGE(OFFSET($GD$3,0,0,'Données projet'!$E$17+1,1))-AVERAGE(OFFSET($H$3,0,0,'Données projet'!$E$17+1,1))</f>
        <v>312.64506496298173</v>
      </c>
      <c r="GF157" s="59">
        <f t="shared" si="158"/>
        <v>259.97532509897508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26.161996686827667</v>
      </c>
      <c r="GM157" s="21">
        <f>EXP(-LN(2)/25)*GM156+(1-EXP(-LN(2)/25))/(LN(2)/25)*Calculateur!GH157*Calculateur!GJ157*VLOOKUP('Données projet'!$B$17,Paramètres!$A$1:$I$89,3,0)*0.475*44/12</f>
        <v>0.62892956783632659</v>
      </c>
      <c r="GN157" s="21">
        <f>EXP(-LN(2)/2)*GN156+(1-EXP(-LN(2)/2))/(LN(2)/2)*GH157*GK157*VLOOKUP('Données projet'!$B$17,Paramètres!$A$1:$I$89,3,0)*0.475*44/12</f>
        <v>8.3503732174569187E-19</v>
      </c>
      <c r="GO157" s="21">
        <f t="shared" si="187"/>
        <v>26.790926254663994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267</v>
      </c>
      <c r="GV157" s="17">
        <f>GU157*VLOOKUP('Données projet'!$B$18,Paramètres!$A$1:$I$89,3,0)*VLOOKUP('Données projet'!$B$18,Paramètres!$A$1:$I$89,5,0)</f>
        <v>270.738</v>
      </c>
      <c r="GW157" s="13">
        <f t="shared" si="188"/>
        <v>65.005866623551711</v>
      </c>
      <c r="GX157" s="20">
        <f t="shared" si="189"/>
        <v>584.7539010360191</v>
      </c>
      <c r="GY157" s="59">
        <f t="shared" si="137"/>
        <v>878.08723436935247</v>
      </c>
      <c r="GZ157" s="59">
        <f ca="1">AVERAGE(OFFSET($GY$3,0,0,'Données projet'!$E$18+1,1))-AVERAGE(OFFSET($H$3,0,0,'Données projet'!$E$18+1,1))</f>
        <v>308.80022073574963</v>
      </c>
      <c r="HA157" s="59">
        <f t="shared" si="160"/>
        <v>183.96267407004115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39.128743952059509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39.128743952059509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344.49457749226184</v>
      </c>
      <c r="T158" s="59">
        <f t="shared" si="142"/>
        <v>207.92972431357452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208.99999999999989</v>
      </c>
      <c r="AJ158" s="13">
        <f>AI158*VLOOKUP('Données projet'!$B$10,Paramètres!$A$1:$I$89,3,0)*VLOOKUP('Données projet'!$B$10,Paramètres!$A$1:$I$89,5,0)</f>
        <v>189.1031999999999</v>
      </c>
      <c r="AK158" s="13">
        <f t="shared" si="164"/>
        <v>47.34162854278712</v>
      </c>
      <c r="AL158" s="20">
        <f t="shared" si="165"/>
        <v>411.80807637868742</v>
      </c>
      <c r="AM158" s="59">
        <f t="shared" si="113"/>
        <v>705.14140971202073</v>
      </c>
      <c r="AN158" s="59">
        <f ca="1">AVERAGE(OFFSET($AM$3,0,0,'Données projet'!$E$10+1,1))-AVERAGE(OFFSET($H$3,0,0,'Données projet'!$E$10+1,1))</f>
        <v>183.0147113277086</v>
      </c>
      <c r="AO158" s="59">
        <f t="shared" si="144"/>
        <v>76.413905647258389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25.720893794999263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25.720893794999263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253.79640000000001</v>
      </c>
      <c r="BF158" s="13">
        <f t="shared" si="167"/>
        <v>61.39816832228076</v>
      </c>
      <c r="BG158" s="20">
        <f t="shared" si="168"/>
        <v>548.96387316130563</v>
      </c>
      <c r="BH158" s="59">
        <f t="shared" si="116"/>
        <v>842.29720649463889</v>
      </c>
      <c r="BI158" s="59">
        <f ca="1">AVERAGE(OFFSET($BH$3,0,0,'Données projet'!$E$11+1,1))-AVERAGE(OFFSET($H$3,0,0,'Données projet'!$E$11+1,1))</f>
        <v>279.49721661620544</v>
      </c>
      <c r="BJ158" s="59">
        <f t="shared" si="146"/>
        <v>275.18739333988754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12.038932755529343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12.038932755529343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754.68411025369562</v>
      </c>
      <c r="CD158" s="59">
        <f ca="1">AVERAGE(OFFSET($CC$3,0,0,'Données projet'!$E$12+1,1))-AVERAGE(OFFSET($H$3,0,0,'Données projet'!$E$12+1,1))</f>
        <v>225.2323446080772</v>
      </c>
      <c r="CE158" s="59">
        <f t="shared" si="148"/>
        <v>222.29030402759292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9.8241076390447688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9.8241076390447688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213.00000000000003</v>
      </c>
      <c r="CU158" s="17">
        <f>CT158*VLOOKUP('Données projet'!$B$13,Paramètres!$A$1:$I$89,3,0)*VLOOKUP('Données projet'!$B$13,Paramètres!$A$1:$I$89,5,0)</f>
        <v>229.2732</v>
      </c>
      <c r="CV158" s="13">
        <f t="shared" si="173"/>
        <v>56.125501442527366</v>
      </c>
      <c r="CW158" s="20">
        <f t="shared" si="174"/>
        <v>497.06940501240177</v>
      </c>
      <c r="CX158" s="59">
        <f t="shared" si="122"/>
        <v>790.40273834573509</v>
      </c>
      <c r="CY158" s="59">
        <f ca="1">AVERAGE(OFFSET($CX$3,0,0,'Données projet'!$E$13+1,1))-AVERAGE(OFFSET($H$3,0,0,'Données projet'!$E$13+1,1))</f>
        <v>240.57184010337932</v>
      </c>
      <c r="CZ158" s="59">
        <f t="shared" si="150"/>
        <v>236.36473521227072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8.3311031093753432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8.3311031093753432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670.99999999999977</v>
      </c>
      <c r="DP158" s="17">
        <f>DO158*VLOOKUP('Données projet'!$B$14,Paramètres!$A$1:$I$89,3,0)*VLOOKUP('Données projet'!$B$14,Paramètres!$A$1:$I$89,5,0)</f>
        <v>314.02799999999991</v>
      </c>
      <c r="DQ158" s="13">
        <f t="shared" si="176"/>
        <v>74.109403804428752</v>
      </c>
      <c r="DR158" s="20">
        <f t="shared" si="177"/>
        <v>676.00597829271317</v>
      </c>
      <c r="DS158" s="59">
        <f t="shared" si="125"/>
        <v>969.33931162604654</v>
      </c>
      <c r="DT158" s="59">
        <f ca="1">AVERAGE(OFFSET($DS$3,0,0,'Données projet'!$E$14+1,1))-AVERAGE(OFFSET($H$3,0,0,'Données projet'!$E$14+1,1))</f>
        <v>304.29617570272939</v>
      </c>
      <c r="DU158" s="59">
        <f t="shared" si="152"/>
        <v>246.20695736161576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22.476199985200296</v>
      </c>
      <c r="EB158" s="21">
        <f>EXP(-LN(2)/25)*EB157+(1-EXP(-LN(2)/25))/(LN(2)/25)*Calculateur!DW158*Calculateur!DY158*VLOOKUP('Données projet'!$B$14,Paramètres!$A$1:$I$89,3,0)*0.475*44/12</f>
        <v>1.2789013355287013</v>
      </c>
      <c r="EC158" s="21">
        <f>EXP(-LN(2)/2)*EC157+(1-EXP(-LN(2)/2))/(LN(2)/2)*DW158*DZ158*VLOOKUP('Données projet'!$B$14,Paramètres!$A$1:$I$89,3,0)*0.475*44/12</f>
        <v>6.0322726740429686E-19</v>
      </c>
      <c r="ED158" s="22">
        <f t="shared" si="178"/>
        <v>23.755101320728997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477.9999999999996</v>
      </c>
      <c r="EK158" s="17">
        <f>EJ158*VLOOKUP('Données projet'!$B$15,Paramètres!$A$1:$I$89,3,0)*VLOOKUP('Données projet'!$B$15,Paramètres!$A$1:$I$89,5,0)</f>
        <v>285.84399999999977</v>
      </c>
      <c r="EL158" s="13">
        <f t="shared" si="179"/>
        <v>68.200525419065656</v>
      </c>
      <c r="EM158" s="20">
        <f t="shared" si="180"/>
        <v>616.62754843820551</v>
      </c>
      <c r="EN158" s="59">
        <f t="shared" si="128"/>
        <v>909.96088177153888</v>
      </c>
      <c r="EO158" s="59">
        <f ca="1">AVERAGE(OFFSET($EN$3,0,0,'Données projet'!$E$15+1,1))-AVERAGE(OFFSET($H$3,0,0,'Données projet'!$E$15+1,1))</f>
        <v>288.41846134875794</v>
      </c>
      <c r="EP158" s="59">
        <f t="shared" si="154"/>
        <v>248.93951719818972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16.260980738216993</v>
      </c>
      <c r="EW158" s="21">
        <f>EXP(-LN(2)/25)*EW157+(1-EXP(-LN(2)/25))/(LN(2)/25)*Calculateur!ER158*Calculateur!ET158*VLOOKUP('Données projet'!$B$15,Paramètres!$A$1:$I$89,3,0)*0.475*44/12</f>
        <v>0.87296626346684714</v>
      </c>
      <c r="EX158" s="21">
        <f>EXP(-LN(2)/2)*EX157+(1-EXP(-LN(2)/2))/(LN(2)/2)*ER158*EU158*VLOOKUP('Données projet'!$B$15,Paramètres!$A$1:$I$89,3,0)*0.475*44/12</f>
        <v>7.4617355270857392E-20</v>
      </c>
      <c r="EY158" s="22">
        <f t="shared" si="181"/>
        <v>17.13394700168384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789.00000000000045</v>
      </c>
      <c r="FF158" s="17">
        <f>FE158*VLOOKUP('Données projet'!$B$16,Paramètres!$A$1:$I$89,3,0)*VLOOKUP('Données projet'!$B$16,Paramètres!$A$1:$I$89,5,0)</f>
        <v>358.99500000000023</v>
      </c>
      <c r="FG158" s="13">
        <f t="shared" si="182"/>
        <v>83.411930940690553</v>
      </c>
      <c r="FH158" s="20">
        <f t="shared" si="183"/>
        <v>770.52540472170313</v>
      </c>
      <c r="FI158" s="59">
        <f t="shared" si="131"/>
        <v>1063.8587380550364</v>
      </c>
      <c r="FJ158" s="59">
        <f ca="1">AVERAGE(OFFSET($FI$3,0,0,'Données projet'!$E$16+1,1))-AVERAGE(OFFSET($H$3,0,0,'Données projet'!$E$16+1,1))</f>
        <v>367.36535411813264</v>
      </c>
      <c r="FK158" s="59">
        <f t="shared" si="156"/>
        <v>293.19545174980556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19.868974750707661</v>
      </c>
      <c r="FR158" s="21">
        <f>EXP(-LN(2)/25)*FR157+(1-EXP(-LN(2)/25))/(LN(2)/25)*Calculateur!FM158*Calculateur!FO158*VLOOKUP('Données projet'!$B$16,Paramètres!$A$1:$I$89,3,0)*0.475*44/12</f>
        <v>1.3530274212348474</v>
      </c>
      <c r="FS158" s="21">
        <f>EXP(-LN(2)/2)*FS157+(1-EXP(-LN(2)/2))/(LN(2)/2)*FM158*FP158*VLOOKUP('Données projet'!$B$16,Paramètres!$A$1:$I$89,3,0)*0.475*44/12</f>
        <v>1.110797112964075E-19</v>
      </c>
      <c r="FT158" s="22">
        <f t="shared" si="184"/>
        <v>21.22200217194251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669.99999999999989</v>
      </c>
      <c r="GA158" s="17">
        <f>FZ158*VLOOKUP('Données projet'!$B$17,Paramètres!$A$1:$I$89,3,0)*VLOOKUP('Données projet'!$B$17,Paramètres!$A$1:$I$89,5,0)</f>
        <v>322.26999999999992</v>
      </c>
      <c r="GB158" s="13">
        <f t="shared" si="185"/>
        <v>75.825476822885776</v>
      </c>
      <c r="GC158" s="20">
        <f t="shared" si="186"/>
        <v>693.34962213319261</v>
      </c>
      <c r="GD158" s="59">
        <f t="shared" si="134"/>
        <v>986.68295546652598</v>
      </c>
      <c r="GE158" s="59">
        <f ca="1">AVERAGE(OFFSET($GD$3,0,0,'Données projet'!$E$17+1,1))-AVERAGE(OFFSET($H$3,0,0,'Données projet'!$E$17+1,1))</f>
        <v>312.64506496298173</v>
      </c>
      <c r="GF158" s="59">
        <f t="shared" si="158"/>
        <v>259.97532509897508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25.64897588904131</v>
      </c>
      <c r="GM158" s="21">
        <f>EXP(-LN(2)/25)*GM157+(1-EXP(-LN(2)/25))/(LN(2)/25)*Calculateur!GH158*Calculateur!GJ158*VLOOKUP('Données projet'!$B$17,Paramètres!$A$1:$I$89,3,0)*0.475*44/12</f>
        <v>0.61173145572987375</v>
      </c>
      <c r="GN158" s="21">
        <f>EXP(-LN(2)/2)*GN157+(1-EXP(-LN(2)/2))/(LN(2)/2)*GH158*GK158*VLOOKUP('Données projet'!$B$17,Paramètres!$A$1:$I$89,3,0)*0.475*44/12</f>
        <v>5.9046055275023162E-19</v>
      </c>
      <c r="GO158" s="21">
        <f t="shared" si="187"/>
        <v>26.260707344771184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267</v>
      </c>
      <c r="GV158" s="17">
        <f>GU158*VLOOKUP('Données projet'!$B$18,Paramètres!$A$1:$I$89,3,0)*VLOOKUP('Données projet'!$B$18,Paramètres!$A$1:$I$89,5,0)</f>
        <v>270.738</v>
      </c>
      <c r="GW158" s="13">
        <f t="shared" si="188"/>
        <v>65.005866623551711</v>
      </c>
      <c r="GX158" s="20">
        <f t="shared" si="189"/>
        <v>584.7539010360191</v>
      </c>
      <c r="GY158" s="59">
        <f t="shared" si="137"/>
        <v>878.08723436935247</v>
      </c>
      <c r="GZ158" s="59">
        <f ca="1">AVERAGE(OFFSET($GY$3,0,0,'Données projet'!$E$18+1,1))-AVERAGE(OFFSET($H$3,0,0,'Données projet'!$E$18+1,1))</f>
        <v>308.80022073574963</v>
      </c>
      <c r="HA158" s="59">
        <f t="shared" si="160"/>
        <v>183.96267407004115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38.361453149336846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38.361453149336846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344.49457749226184</v>
      </c>
      <c r="T159" s="59">
        <f t="shared" si="142"/>
        <v>207.92972431357452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208.99999999999989</v>
      </c>
      <c r="AJ159" s="13">
        <f>AI159*VLOOKUP('Données projet'!$B$10,Paramètres!$A$1:$I$89,3,0)*VLOOKUP('Données projet'!$B$10,Paramètres!$A$1:$I$89,5,0)</f>
        <v>189.1031999999999</v>
      </c>
      <c r="AK159" s="13">
        <f t="shared" si="164"/>
        <v>47.34162854278712</v>
      </c>
      <c r="AL159" s="20">
        <f t="shared" si="165"/>
        <v>411.80807637868742</v>
      </c>
      <c r="AM159" s="59">
        <f t="shared" si="113"/>
        <v>705.14140971202073</v>
      </c>
      <c r="AN159" s="59">
        <f ca="1">AVERAGE(OFFSET($AM$3,0,0,'Données projet'!$E$10+1,1))-AVERAGE(OFFSET($H$3,0,0,'Données projet'!$E$10+1,1))</f>
        <v>183.0147113277086</v>
      </c>
      <c r="AO159" s="59">
        <f t="shared" si="144"/>
        <v>76.413905647258389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25.216522755875463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25.216522755875463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253.79640000000001</v>
      </c>
      <c r="BF159" s="13">
        <f t="shared" si="167"/>
        <v>61.39816832228076</v>
      </c>
      <c r="BG159" s="20">
        <f t="shared" si="168"/>
        <v>548.96387316130563</v>
      </c>
      <c r="BH159" s="59">
        <f t="shared" si="116"/>
        <v>842.29720649463889</v>
      </c>
      <c r="BI159" s="59">
        <f ca="1">AVERAGE(OFFSET($BH$3,0,0,'Données projet'!$E$11+1,1))-AVERAGE(OFFSET($H$3,0,0,'Données projet'!$E$11+1,1))</f>
        <v>279.49721661620544</v>
      </c>
      <c r="BJ159" s="59">
        <f t="shared" si="146"/>
        <v>275.18739333988754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11.802856627217331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11.802856627217331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754.68411025369562</v>
      </c>
      <c r="CD159" s="59">
        <f ca="1">AVERAGE(OFFSET($CC$3,0,0,'Données projet'!$E$12+1,1))-AVERAGE(OFFSET($H$3,0,0,'Données projet'!$E$12+1,1))</f>
        <v>225.2323446080772</v>
      </c>
      <c r="CE159" s="59">
        <f t="shared" si="148"/>
        <v>222.29030402759292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9.6314628803570894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9.6314628803570894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213.00000000000003</v>
      </c>
      <c r="CU159" s="17">
        <f>CT159*VLOOKUP('Données projet'!$B$13,Paramètres!$A$1:$I$89,3,0)*VLOOKUP('Données projet'!$B$13,Paramètres!$A$1:$I$89,5,0)</f>
        <v>229.2732</v>
      </c>
      <c r="CV159" s="13">
        <f t="shared" si="173"/>
        <v>56.125501442527366</v>
      </c>
      <c r="CW159" s="20">
        <f t="shared" si="174"/>
        <v>497.06940501240177</v>
      </c>
      <c r="CX159" s="59">
        <f t="shared" si="122"/>
        <v>790.40273834573509</v>
      </c>
      <c r="CY159" s="59">
        <f ca="1">AVERAGE(OFFSET($CX$3,0,0,'Données projet'!$E$13+1,1))-AVERAGE(OFFSET($H$3,0,0,'Données projet'!$E$13+1,1))</f>
        <v>240.57184010337932</v>
      </c>
      <c r="CZ159" s="59">
        <f t="shared" si="150"/>
        <v>236.36473521227072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8.1677352588716357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8.1677352588716357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670.99999999999977</v>
      </c>
      <c r="DP159" s="17">
        <f>DO159*VLOOKUP('Données projet'!$B$14,Paramètres!$A$1:$I$89,3,0)*VLOOKUP('Données projet'!$B$14,Paramètres!$A$1:$I$89,5,0)</f>
        <v>314.02799999999991</v>
      </c>
      <c r="DQ159" s="13">
        <f t="shared" si="176"/>
        <v>74.109403804428752</v>
      </c>
      <c r="DR159" s="20">
        <f t="shared" si="177"/>
        <v>676.00597829271317</v>
      </c>
      <c r="DS159" s="59">
        <f t="shared" si="125"/>
        <v>969.33931162604654</v>
      </c>
      <c r="DT159" s="59">
        <f ca="1">AVERAGE(OFFSET($DS$3,0,0,'Données projet'!$E$14+1,1))-AVERAGE(OFFSET($H$3,0,0,'Données projet'!$E$14+1,1))</f>
        <v>304.29617570272939</v>
      </c>
      <c r="DU159" s="59">
        <f t="shared" si="152"/>
        <v>246.20695736161576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22.035455412618845</v>
      </c>
      <c r="EB159" s="21">
        <f>EXP(-LN(2)/25)*EB158+(1-EXP(-LN(2)/25))/(LN(2)/25)*Calculateur!DW159*Calculateur!DY159*VLOOKUP('Données projet'!$B$14,Paramètres!$A$1:$I$89,3,0)*0.475*44/12</f>
        <v>1.2439297112541707</v>
      </c>
      <c r="EC159" s="21">
        <f>EXP(-LN(2)/2)*EC158+(1-EXP(-LN(2)/2))/(LN(2)/2)*DW159*DZ159*VLOOKUP('Données projet'!$B$14,Paramètres!$A$1:$I$89,3,0)*0.475*44/12</f>
        <v>4.2654609137820917E-19</v>
      </c>
      <c r="ED159" s="22">
        <f t="shared" si="178"/>
        <v>23.279385123873016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477.9999999999996</v>
      </c>
      <c r="EK159" s="17">
        <f>EJ159*VLOOKUP('Données projet'!$B$15,Paramètres!$A$1:$I$89,3,0)*VLOOKUP('Données projet'!$B$15,Paramètres!$A$1:$I$89,5,0)</f>
        <v>285.84399999999977</v>
      </c>
      <c r="EL159" s="13">
        <f t="shared" si="179"/>
        <v>68.200525419065656</v>
      </c>
      <c r="EM159" s="20">
        <f t="shared" si="180"/>
        <v>616.62754843820551</v>
      </c>
      <c r="EN159" s="59">
        <f t="shared" si="128"/>
        <v>909.96088177153888</v>
      </c>
      <c r="EO159" s="59">
        <f ca="1">AVERAGE(OFFSET($EN$3,0,0,'Données projet'!$E$15+1,1))-AVERAGE(OFFSET($H$3,0,0,'Données projet'!$E$15+1,1))</f>
        <v>288.41846134875794</v>
      </c>
      <c r="EP159" s="59">
        <f t="shared" si="154"/>
        <v>248.93951719818972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15.942112824159466</v>
      </c>
      <c r="EW159" s="21">
        <f>EXP(-LN(2)/25)*EW158+(1-EXP(-LN(2)/25))/(LN(2)/25)*Calculateur!ER159*Calculateur!ET159*VLOOKUP('Données projet'!$B$15,Paramètres!$A$1:$I$89,3,0)*0.475*44/12</f>
        <v>0.84909495508504562</v>
      </c>
      <c r="EX159" s="21">
        <f>EXP(-LN(2)/2)*EX158+(1-EXP(-LN(2)/2))/(LN(2)/2)*ER159*EU159*VLOOKUP('Données projet'!$B$15,Paramètres!$A$1:$I$89,3,0)*0.475*44/12</f>
        <v>5.2762437906229043E-20</v>
      </c>
      <c r="EY159" s="22">
        <f t="shared" si="181"/>
        <v>16.791207779244512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789.00000000000045</v>
      </c>
      <c r="FF159" s="17">
        <f>FE159*VLOOKUP('Données projet'!$B$16,Paramètres!$A$1:$I$89,3,0)*VLOOKUP('Données projet'!$B$16,Paramètres!$A$1:$I$89,5,0)</f>
        <v>358.99500000000023</v>
      </c>
      <c r="FG159" s="13">
        <f t="shared" si="182"/>
        <v>83.411930940690553</v>
      </c>
      <c r="FH159" s="20">
        <f t="shared" si="183"/>
        <v>770.52540472170313</v>
      </c>
      <c r="FI159" s="59">
        <f t="shared" si="131"/>
        <v>1063.8587380550364</v>
      </c>
      <c r="FJ159" s="59">
        <f ca="1">AVERAGE(OFFSET($FI$3,0,0,'Données projet'!$E$16+1,1))-AVERAGE(OFFSET($H$3,0,0,'Données projet'!$E$16+1,1))</f>
        <v>367.36535411813264</v>
      </c>
      <c r="FK159" s="59">
        <f t="shared" si="156"/>
        <v>293.19545174980556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19.479356274724243</v>
      </c>
      <c r="FR159" s="21">
        <f>EXP(-LN(2)/25)*FR158+(1-EXP(-LN(2)/25))/(LN(2)/25)*Calculateur!FM159*Calculateur!FO159*VLOOKUP('Données projet'!$B$16,Paramètres!$A$1:$I$89,3,0)*0.475*44/12</f>
        <v>1.3160288152485609</v>
      </c>
      <c r="FS159" s="21">
        <f>EXP(-LN(2)/2)*FS158+(1-EXP(-LN(2)/2))/(LN(2)/2)*FM159*FP159*VLOOKUP('Données projet'!$B$16,Paramètres!$A$1:$I$89,3,0)*0.475*44/12</f>
        <v>7.8545217109933689E-20</v>
      </c>
      <c r="FT159" s="22">
        <f t="shared" si="184"/>
        <v>20.795385089972804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669.99999999999989</v>
      </c>
      <c r="GA159" s="17">
        <f>FZ159*VLOOKUP('Données projet'!$B$17,Paramètres!$A$1:$I$89,3,0)*VLOOKUP('Données projet'!$B$17,Paramètres!$A$1:$I$89,5,0)</f>
        <v>322.26999999999992</v>
      </c>
      <c r="GB159" s="13">
        <f t="shared" si="185"/>
        <v>75.825476822885776</v>
      </c>
      <c r="GC159" s="20">
        <f t="shared" si="186"/>
        <v>693.34962213319261</v>
      </c>
      <c r="GD159" s="59">
        <f t="shared" si="134"/>
        <v>986.68295546652598</v>
      </c>
      <c r="GE159" s="59">
        <f ca="1">AVERAGE(OFFSET($GD$3,0,0,'Données projet'!$E$17+1,1))-AVERAGE(OFFSET($H$3,0,0,'Données projet'!$E$17+1,1))</f>
        <v>312.64506496298173</v>
      </c>
      <c r="GF159" s="59">
        <f t="shared" si="158"/>
        <v>259.97532509897508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25.146015116187751</v>
      </c>
      <c r="GM159" s="21">
        <f>EXP(-LN(2)/25)*GM158+(1-EXP(-LN(2)/25))/(LN(2)/25)*Calculateur!GH159*Calculateur!GJ159*VLOOKUP('Données projet'!$B$17,Paramètres!$A$1:$I$89,3,0)*0.475*44/12</f>
        <v>0.59500362690338127</v>
      </c>
      <c r="GN159" s="21">
        <f>EXP(-LN(2)/2)*GN158+(1-EXP(-LN(2)/2))/(LN(2)/2)*GH159*GK159*VLOOKUP('Données projet'!$B$17,Paramètres!$A$1:$I$89,3,0)*0.475*44/12</f>
        <v>4.1751866087284593E-19</v>
      </c>
      <c r="GO159" s="21">
        <f t="shared" si="187"/>
        <v>25.741018743091132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267</v>
      </c>
      <c r="GV159" s="17">
        <f>GU159*VLOOKUP('Données projet'!$B$18,Paramètres!$A$1:$I$89,3,0)*VLOOKUP('Données projet'!$B$18,Paramètres!$A$1:$I$89,5,0)</f>
        <v>270.738</v>
      </c>
      <c r="GW159" s="13">
        <f t="shared" si="188"/>
        <v>65.005866623551711</v>
      </c>
      <c r="GX159" s="20">
        <f t="shared" si="189"/>
        <v>584.7539010360191</v>
      </c>
      <c r="GY159" s="59">
        <f t="shared" si="137"/>
        <v>878.08723436935247</v>
      </c>
      <c r="GZ159" s="59">
        <f ca="1">AVERAGE(OFFSET($GY$3,0,0,'Données projet'!$E$18+1,1))-AVERAGE(OFFSET($H$3,0,0,'Données projet'!$E$18+1,1))</f>
        <v>308.80022073574963</v>
      </c>
      <c r="HA159" s="59">
        <f t="shared" si="160"/>
        <v>183.96267407004115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37.609208451254396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37.609208451254396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344.49457749226184</v>
      </c>
      <c r="T160" s="59">
        <f t="shared" si="142"/>
        <v>207.92972431357452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208.99999999999989</v>
      </c>
      <c r="AJ160" s="13">
        <f>AI160*VLOOKUP('Données projet'!$B$10,Paramètres!$A$1:$I$89,3,0)*VLOOKUP('Données projet'!$B$10,Paramètres!$A$1:$I$89,5,0)</f>
        <v>189.1031999999999</v>
      </c>
      <c r="AK160" s="13">
        <f t="shared" si="164"/>
        <v>47.34162854278712</v>
      </c>
      <c r="AL160" s="20">
        <f t="shared" si="165"/>
        <v>411.80807637868742</v>
      </c>
      <c r="AM160" s="59">
        <f t="shared" si="113"/>
        <v>705.14140971202073</v>
      </c>
      <c r="AN160" s="59">
        <f ca="1">AVERAGE(OFFSET($AM$3,0,0,'Données projet'!$E$10+1,1))-AVERAGE(OFFSET($H$3,0,0,'Données projet'!$E$10+1,1))</f>
        <v>183.0147113277086</v>
      </c>
      <c r="AO160" s="59">
        <f t="shared" si="144"/>
        <v>76.413905647258389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24.722042125192921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24.722042125192921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253.79640000000001</v>
      </c>
      <c r="BF160" s="13">
        <f t="shared" si="167"/>
        <v>61.39816832228076</v>
      </c>
      <c r="BG160" s="20">
        <f t="shared" si="168"/>
        <v>548.96387316130563</v>
      </c>
      <c r="BH160" s="59">
        <f t="shared" si="116"/>
        <v>842.29720649463889</v>
      </c>
      <c r="BI160" s="59">
        <f ca="1">AVERAGE(OFFSET($BH$3,0,0,'Données projet'!$E$11+1,1))-AVERAGE(OFFSET($H$3,0,0,'Données projet'!$E$11+1,1))</f>
        <v>279.49721661620544</v>
      </c>
      <c r="BJ160" s="59">
        <f t="shared" si="146"/>
        <v>275.18739333988754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11.571409807789296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11.571409807789296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754.68411025369562</v>
      </c>
      <c r="CD160" s="59">
        <f ca="1">AVERAGE(OFFSET($CC$3,0,0,'Données projet'!$E$12+1,1))-AVERAGE(OFFSET($H$3,0,0,'Données projet'!$E$12+1,1))</f>
        <v>225.2323446080772</v>
      </c>
      <c r="CE160" s="59">
        <f t="shared" si="148"/>
        <v>222.29030402759292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9.4425957678855745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9.4425957678855745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213.00000000000003</v>
      </c>
      <c r="CU160" s="17">
        <f>CT160*VLOOKUP('Données projet'!$B$13,Paramètres!$A$1:$I$89,3,0)*VLOOKUP('Données projet'!$B$13,Paramètres!$A$1:$I$89,5,0)</f>
        <v>229.2732</v>
      </c>
      <c r="CV160" s="13">
        <f t="shared" si="173"/>
        <v>56.125501442527366</v>
      </c>
      <c r="CW160" s="20">
        <f t="shared" si="174"/>
        <v>497.06940501240177</v>
      </c>
      <c r="CX160" s="59">
        <f t="shared" si="122"/>
        <v>790.40273834573509</v>
      </c>
      <c r="CY160" s="59">
        <f ca="1">AVERAGE(OFFSET($CX$3,0,0,'Données projet'!$E$13+1,1))-AVERAGE(OFFSET($H$3,0,0,'Données projet'!$E$13+1,1))</f>
        <v>240.57184010337932</v>
      </c>
      <c r="CZ160" s="59">
        <f t="shared" si="150"/>
        <v>236.36473521227072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8.007570952271756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8.007570952271756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670.99999999999977</v>
      </c>
      <c r="DP160" s="17">
        <f>DO160*VLOOKUP('Données projet'!$B$14,Paramètres!$A$1:$I$89,3,0)*VLOOKUP('Données projet'!$B$14,Paramètres!$A$1:$I$89,5,0)</f>
        <v>314.02799999999991</v>
      </c>
      <c r="DQ160" s="13">
        <f t="shared" si="176"/>
        <v>74.109403804428752</v>
      </c>
      <c r="DR160" s="20">
        <f t="shared" si="177"/>
        <v>676.00597829271317</v>
      </c>
      <c r="DS160" s="59">
        <f t="shared" si="125"/>
        <v>969.33931162604654</v>
      </c>
      <c r="DT160" s="59">
        <f ca="1">AVERAGE(OFFSET($DS$3,0,0,'Données projet'!$E$14+1,1))-AVERAGE(OFFSET($H$3,0,0,'Données projet'!$E$14+1,1))</f>
        <v>304.29617570272939</v>
      </c>
      <c r="DU160" s="59">
        <f t="shared" si="152"/>
        <v>246.20695736161576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21.603353572278071</v>
      </c>
      <c r="EB160" s="21">
        <f>EXP(-LN(2)/25)*EB159+(1-EXP(-LN(2)/25))/(LN(2)/25)*Calculateur!DW160*Calculateur!DY160*VLOOKUP('Données projet'!$B$14,Paramètres!$A$1:$I$89,3,0)*0.475*44/12</f>
        <v>1.2099143878845049</v>
      </c>
      <c r="EC160" s="21">
        <f>EXP(-LN(2)/2)*EC159+(1-EXP(-LN(2)/2))/(LN(2)/2)*DW160*DZ160*VLOOKUP('Données projet'!$B$14,Paramètres!$A$1:$I$89,3,0)*0.475*44/12</f>
        <v>3.0161363370214848E-19</v>
      </c>
      <c r="ED160" s="22">
        <f t="shared" si="178"/>
        <v>22.813267960162577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477.9999999999996</v>
      </c>
      <c r="EK160" s="17">
        <f>EJ160*VLOOKUP('Données projet'!$B$15,Paramètres!$A$1:$I$89,3,0)*VLOOKUP('Données projet'!$B$15,Paramètres!$A$1:$I$89,5,0)</f>
        <v>285.84399999999977</v>
      </c>
      <c r="EL160" s="13">
        <f t="shared" si="179"/>
        <v>68.200525419065656</v>
      </c>
      <c r="EM160" s="20">
        <f t="shared" si="180"/>
        <v>616.62754843820551</v>
      </c>
      <c r="EN160" s="59">
        <f t="shared" si="128"/>
        <v>909.96088177153888</v>
      </c>
      <c r="EO160" s="59">
        <f ca="1">AVERAGE(OFFSET($EN$3,0,0,'Données projet'!$E$15+1,1))-AVERAGE(OFFSET($H$3,0,0,'Données projet'!$E$15+1,1))</f>
        <v>288.41846134875794</v>
      </c>
      <c r="EP160" s="59">
        <f t="shared" si="154"/>
        <v>248.93951719818972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15.629497715406384</v>
      </c>
      <c r="EW160" s="21">
        <f>EXP(-LN(2)/25)*EW159+(1-EXP(-LN(2)/25))/(LN(2)/25)*Calculateur!ER160*Calculateur!ET160*VLOOKUP('Données projet'!$B$15,Paramètres!$A$1:$I$89,3,0)*0.475*44/12</f>
        <v>0.825876408886282</v>
      </c>
      <c r="EX160" s="21">
        <f>EXP(-LN(2)/2)*EX159+(1-EXP(-LN(2)/2))/(LN(2)/2)*ER160*EU160*VLOOKUP('Données projet'!$B$15,Paramètres!$A$1:$I$89,3,0)*0.475*44/12</f>
        <v>3.7308677635428702E-20</v>
      </c>
      <c r="EY160" s="22">
        <f t="shared" si="181"/>
        <v>16.455374124292664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789.00000000000045</v>
      </c>
      <c r="FF160" s="17">
        <f>FE160*VLOOKUP('Données projet'!$B$16,Paramètres!$A$1:$I$89,3,0)*VLOOKUP('Données projet'!$B$16,Paramètres!$A$1:$I$89,5,0)</f>
        <v>358.99500000000023</v>
      </c>
      <c r="FG160" s="13">
        <f t="shared" si="182"/>
        <v>83.411930940690553</v>
      </c>
      <c r="FH160" s="20">
        <f t="shared" si="183"/>
        <v>770.52540472170313</v>
      </c>
      <c r="FI160" s="59">
        <f t="shared" si="131"/>
        <v>1063.8587380550364</v>
      </c>
      <c r="FJ160" s="59">
        <f ca="1">AVERAGE(OFFSET($FI$3,0,0,'Données projet'!$E$16+1,1))-AVERAGE(OFFSET($H$3,0,0,'Données projet'!$E$16+1,1))</f>
        <v>367.36535411813264</v>
      </c>
      <c r="FK160" s="59">
        <f t="shared" si="156"/>
        <v>293.19545174980556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19.097377979411053</v>
      </c>
      <c r="FR160" s="21">
        <f>EXP(-LN(2)/25)*FR159+(1-EXP(-LN(2)/25))/(LN(2)/25)*Calculateur!FM160*Calculateur!FO160*VLOOKUP('Données projet'!$B$16,Paramètres!$A$1:$I$89,3,0)*0.475*44/12</f>
        <v>1.2800419380886414</v>
      </c>
      <c r="FS160" s="21">
        <f>EXP(-LN(2)/2)*FS159+(1-EXP(-LN(2)/2))/(LN(2)/2)*FM160*FP160*VLOOKUP('Données projet'!$B$16,Paramètres!$A$1:$I$89,3,0)*0.475*44/12</f>
        <v>5.5539855648203748E-20</v>
      </c>
      <c r="FT160" s="22">
        <f t="shared" si="184"/>
        <v>20.377419917499694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669.99999999999989</v>
      </c>
      <c r="GA160" s="17">
        <f>FZ160*VLOOKUP('Données projet'!$B$17,Paramètres!$A$1:$I$89,3,0)*VLOOKUP('Données projet'!$B$17,Paramètres!$A$1:$I$89,5,0)</f>
        <v>322.26999999999992</v>
      </c>
      <c r="GB160" s="13">
        <f t="shared" si="185"/>
        <v>75.825476822885776</v>
      </c>
      <c r="GC160" s="20">
        <f t="shared" si="186"/>
        <v>693.34962213319261</v>
      </c>
      <c r="GD160" s="59">
        <f t="shared" si="134"/>
        <v>986.68295546652598</v>
      </c>
      <c r="GE160" s="59">
        <f ca="1">AVERAGE(OFFSET($GD$3,0,0,'Données projet'!$E$17+1,1))-AVERAGE(OFFSET($H$3,0,0,'Données projet'!$E$17+1,1))</f>
        <v>312.64506496298173</v>
      </c>
      <c r="GF160" s="59">
        <f t="shared" si="158"/>
        <v>259.97532509897508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24.652917097314074</v>
      </c>
      <c r="GM160" s="21">
        <f>EXP(-LN(2)/25)*GM159+(1-EXP(-LN(2)/25))/(LN(2)/25)*Calculateur!GH160*Calculateur!GJ160*VLOOKUP('Données projet'!$B$17,Paramètres!$A$1:$I$89,3,0)*0.475*44/12</f>
        <v>0.57873322143582751</v>
      </c>
      <c r="GN160" s="21">
        <f>EXP(-LN(2)/2)*GN159+(1-EXP(-LN(2)/2))/(LN(2)/2)*GH160*GK160*VLOOKUP('Données projet'!$B$17,Paramètres!$A$1:$I$89,3,0)*0.475*44/12</f>
        <v>2.9523027637511581E-19</v>
      </c>
      <c r="GO160" s="21">
        <f t="shared" si="187"/>
        <v>25.231650318749899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267</v>
      </c>
      <c r="GV160" s="17">
        <f>GU160*VLOOKUP('Données projet'!$B$18,Paramètres!$A$1:$I$89,3,0)*VLOOKUP('Données projet'!$B$18,Paramètres!$A$1:$I$89,5,0)</f>
        <v>270.738</v>
      </c>
      <c r="GW160" s="13">
        <f t="shared" si="188"/>
        <v>65.005866623551711</v>
      </c>
      <c r="GX160" s="20">
        <f t="shared" si="189"/>
        <v>584.7539010360191</v>
      </c>
      <c r="GY160" s="59">
        <f t="shared" si="137"/>
        <v>878.08723436935247</v>
      </c>
      <c r="GZ160" s="59">
        <f ca="1">AVERAGE(OFFSET($GY$3,0,0,'Données projet'!$E$18+1,1))-AVERAGE(OFFSET($H$3,0,0,'Données projet'!$E$18+1,1))</f>
        <v>308.80022073574963</v>
      </c>
      <c r="HA160" s="59">
        <f t="shared" si="160"/>
        <v>183.96267407004115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36.871714812877379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36.871714812877379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344.49457749226184</v>
      </c>
      <c r="T161" s="59">
        <f t="shared" si="142"/>
        <v>207.92972431357452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208.99999999999989</v>
      </c>
      <c r="AJ161" s="13">
        <f>AI161*VLOOKUP('Données projet'!$B$10,Paramètres!$A$1:$I$89,3,0)*VLOOKUP('Données projet'!$B$10,Paramètres!$A$1:$I$89,5,0)</f>
        <v>189.1031999999999</v>
      </c>
      <c r="AK161" s="13">
        <f t="shared" si="164"/>
        <v>47.34162854278712</v>
      </c>
      <c r="AL161" s="20">
        <f t="shared" si="165"/>
        <v>411.80807637868742</v>
      </c>
      <c r="AM161" s="59">
        <f t="shared" si="113"/>
        <v>705.14140971202073</v>
      </c>
      <c r="AN161" s="59">
        <f ca="1">AVERAGE(OFFSET($AM$3,0,0,'Données projet'!$E$10+1,1))-AVERAGE(OFFSET($H$3,0,0,'Données projet'!$E$10+1,1))</f>
        <v>183.0147113277086</v>
      </c>
      <c r="AO161" s="59">
        <f t="shared" si="144"/>
        <v>76.413905647258389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24.237257958074661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24.237257958074661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253.79640000000001</v>
      </c>
      <c r="BF161" s="13">
        <f t="shared" si="167"/>
        <v>61.39816832228076</v>
      </c>
      <c r="BG161" s="20">
        <f t="shared" si="168"/>
        <v>548.96387316130563</v>
      </c>
      <c r="BH161" s="59">
        <f t="shared" si="116"/>
        <v>842.29720649463889</v>
      </c>
      <c r="BI161" s="59">
        <f ca="1">AVERAGE(OFFSET($BH$3,0,0,'Données projet'!$E$11+1,1))-AVERAGE(OFFSET($H$3,0,0,'Données projet'!$E$11+1,1))</f>
        <v>279.49721661620544</v>
      </c>
      <c r="BJ161" s="59">
        <f t="shared" si="146"/>
        <v>275.18739333988754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11.344501519321625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11.344501519321625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754.68411025369562</v>
      </c>
      <c r="CD161" s="59">
        <f ca="1">AVERAGE(OFFSET($CC$3,0,0,'Données projet'!$E$12+1,1))-AVERAGE(OFFSET($H$3,0,0,'Données projet'!$E$12+1,1))</f>
        <v>225.2323446080772</v>
      </c>
      <c r="CE161" s="59">
        <f t="shared" si="148"/>
        <v>222.29030402759292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9.2574322242920619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9.2574322242920619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213.00000000000003</v>
      </c>
      <c r="CU161" s="17">
        <f>CT161*VLOOKUP('Données projet'!$B$13,Paramètres!$A$1:$I$89,3,0)*VLOOKUP('Données projet'!$B$13,Paramètres!$A$1:$I$89,5,0)</f>
        <v>229.2732</v>
      </c>
      <c r="CV161" s="13">
        <f t="shared" si="173"/>
        <v>56.125501442527366</v>
      </c>
      <c r="CW161" s="20">
        <f t="shared" si="174"/>
        <v>497.06940501240177</v>
      </c>
      <c r="CX161" s="59">
        <f t="shared" si="122"/>
        <v>790.40273834573509</v>
      </c>
      <c r="CY161" s="59">
        <f ca="1">AVERAGE(OFFSET($CX$3,0,0,'Données projet'!$E$13+1,1))-AVERAGE(OFFSET($H$3,0,0,'Données projet'!$E$13+1,1))</f>
        <v>240.57184010337932</v>
      </c>
      <c r="CZ161" s="59">
        <f t="shared" si="150"/>
        <v>236.36473521227072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7.8505473700337189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7.8505473700337189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670.99999999999977</v>
      </c>
      <c r="DP161" s="17">
        <f>DO161*VLOOKUP('Données projet'!$B$14,Paramètres!$A$1:$I$89,3,0)*VLOOKUP('Données projet'!$B$14,Paramètres!$A$1:$I$89,5,0)</f>
        <v>314.02799999999991</v>
      </c>
      <c r="DQ161" s="13">
        <f t="shared" si="176"/>
        <v>74.109403804428752</v>
      </c>
      <c r="DR161" s="20">
        <f t="shared" si="177"/>
        <v>676.00597829271317</v>
      </c>
      <c r="DS161" s="59">
        <f t="shared" si="125"/>
        <v>969.33931162604654</v>
      </c>
      <c r="DT161" s="59">
        <f ca="1">AVERAGE(OFFSET($DS$3,0,0,'Données projet'!$E$14+1,1))-AVERAGE(OFFSET($H$3,0,0,'Données projet'!$E$14+1,1))</f>
        <v>304.29617570272939</v>
      </c>
      <c r="DU161" s="59">
        <f t="shared" si="152"/>
        <v>246.20695736161576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21.17972498547028</v>
      </c>
      <c r="EB161" s="21">
        <f>EXP(-LN(2)/25)*EB160+(1-EXP(-LN(2)/25))/(LN(2)/25)*Calculateur!DW161*Calculateur!DY161*VLOOKUP('Données projet'!$B$14,Paramètres!$A$1:$I$89,3,0)*0.475*44/12</f>
        <v>1.1768292153211708</v>
      </c>
      <c r="EC161" s="21">
        <f>EXP(-LN(2)/2)*EC160+(1-EXP(-LN(2)/2))/(LN(2)/2)*DW161*DZ161*VLOOKUP('Données projet'!$B$14,Paramètres!$A$1:$I$89,3,0)*0.475*44/12</f>
        <v>2.1327304568910461E-19</v>
      </c>
      <c r="ED161" s="22">
        <f t="shared" si="178"/>
        <v>22.35655420079145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477.9999999999996</v>
      </c>
      <c r="EK161" s="17">
        <f>EJ161*VLOOKUP('Données projet'!$B$15,Paramètres!$A$1:$I$89,3,0)*VLOOKUP('Données projet'!$B$15,Paramètres!$A$1:$I$89,5,0)</f>
        <v>285.84399999999977</v>
      </c>
      <c r="EL161" s="13">
        <f t="shared" si="179"/>
        <v>68.200525419065656</v>
      </c>
      <c r="EM161" s="20">
        <f t="shared" si="180"/>
        <v>616.62754843820551</v>
      </c>
      <c r="EN161" s="59">
        <f t="shared" si="128"/>
        <v>909.96088177153888</v>
      </c>
      <c r="EO161" s="59">
        <f ca="1">AVERAGE(OFFSET($EN$3,0,0,'Données projet'!$E$15+1,1))-AVERAGE(OFFSET($H$3,0,0,'Données projet'!$E$15+1,1))</f>
        <v>288.41846134875794</v>
      </c>
      <c r="EP161" s="59">
        <f t="shared" si="154"/>
        <v>248.93951719818972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15.32301279825956</v>
      </c>
      <c r="EW161" s="21">
        <f>EXP(-LN(2)/25)*EW160+(1-EXP(-LN(2)/25))/(LN(2)/25)*Calculateur!ER161*Calculateur!ET161*VLOOKUP('Données projet'!$B$15,Paramètres!$A$1:$I$89,3,0)*0.475*44/12</f>
        <v>0.80329277505433383</v>
      </c>
      <c r="EX161" s="21">
        <f>EXP(-LN(2)/2)*EX160+(1-EXP(-LN(2)/2))/(LN(2)/2)*ER161*EU161*VLOOKUP('Données projet'!$B$15,Paramètres!$A$1:$I$89,3,0)*0.475*44/12</f>
        <v>2.6381218953114525E-20</v>
      </c>
      <c r="EY161" s="22">
        <f t="shared" si="181"/>
        <v>16.126305573313893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789.00000000000045</v>
      </c>
      <c r="FF161" s="17">
        <f>FE161*VLOOKUP('Données projet'!$B$16,Paramètres!$A$1:$I$89,3,0)*VLOOKUP('Données projet'!$B$16,Paramètres!$A$1:$I$89,5,0)</f>
        <v>358.99500000000023</v>
      </c>
      <c r="FG161" s="13">
        <f t="shared" si="182"/>
        <v>83.411930940690553</v>
      </c>
      <c r="FH161" s="20">
        <f t="shared" si="183"/>
        <v>770.52540472170313</v>
      </c>
      <c r="FI161" s="59">
        <f t="shared" si="131"/>
        <v>1063.8587380550364</v>
      </c>
      <c r="FJ161" s="59">
        <f ca="1">AVERAGE(OFFSET($FI$3,0,0,'Données projet'!$E$16+1,1))-AVERAGE(OFFSET($H$3,0,0,'Données projet'!$E$16+1,1))</f>
        <v>367.36535411813264</v>
      </c>
      <c r="FK161" s="59">
        <f t="shared" si="156"/>
        <v>293.19545174980556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18.722890045485201</v>
      </c>
      <c r="FR161" s="21">
        <f>EXP(-LN(2)/25)*FR160+(1-EXP(-LN(2)/25))/(LN(2)/25)*Calculateur!FM161*Calculateur!FO161*VLOOKUP('Données projet'!$B$16,Paramètres!$A$1:$I$89,3,0)*0.475*44/12</f>
        <v>1.2450391239771275</v>
      </c>
      <c r="FS161" s="21">
        <f>EXP(-LN(2)/2)*FS160+(1-EXP(-LN(2)/2))/(LN(2)/2)*FM161*FP161*VLOOKUP('Données projet'!$B$16,Paramètres!$A$1:$I$89,3,0)*0.475*44/12</f>
        <v>3.9272608554966845E-20</v>
      </c>
      <c r="FT161" s="22">
        <f t="shared" si="184"/>
        <v>19.96792916946233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669.99999999999989</v>
      </c>
      <c r="GA161" s="17">
        <f>FZ161*VLOOKUP('Données projet'!$B$17,Paramètres!$A$1:$I$89,3,0)*VLOOKUP('Données projet'!$B$17,Paramètres!$A$1:$I$89,5,0)</f>
        <v>322.26999999999992</v>
      </c>
      <c r="GB161" s="13">
        <f t="shared" si="185"/>
        <v>75.825476822885776</v>
      </c>
      <c r="GC161" s="20">
        <f t="shared" si="186"/>
        <v>693.34962213319261</v>
      </c>
      <c r="GD161" s="59">
        <f t="shared" si="134"/>
        <v>986.68295546652598</v>
      </c>
      <c r="GE161" s="59">
        <f ca="1">AVERAGE(OFFSET($GD$3,0,0,'Données projet'!$E$17+1,1))-AVERAGE(OFFSET($H$3,0,0,'Données projet'!$E$17+1,1))</f>
        <v>312.64506496298173</v>
      </c>
      <c r="GF161" s="59">
        <f t="shared" si="158"/>
        <v>259.97532509897508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24.169488429830412</v>
      </c>
      <c r="GM161" s="21">
        <f>EXP(-LN(2)/25)*GM160+(1-EXP(-LN(2)/25))/(LN(2)/25)*Calculateur!GH161*Calculateur!GJ161*VLOOKUP('Données projet'!$B$17,Paramètres!$A$1:$I$89,3,0)*0.475*44/12</f>
        <v>0.56290773106140735</v>
      </c>
      <c r="GN161" s="21">
        <f>EXP(-LN(2)/2)*GN160+(1-EXP(-LN(2)/2))/(LN(2)/2)*GH161*GK161*VLOOKUP('Données projet'!$B$17,Paramètres!$A$1:$I$89,3,0)*0.475*44/12</f>
        <v>2.0875933043642297E-19</v>
      </c>
      <c r="GO161" s="21">
        <f t="shared" si="187"/>
        <v>24.73239616089182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267</v>
      </c>
      <c r="GV161" s="17">
        <f>GU161*VLOOKUP('Données projet'!$B$18,Paramètres!$A$1:$I$89,3,0)*VLOOKUP('Données projet'!$B$18,Paramètres!$A$1:$I$89,5,0)</f>
        <v>270.738</v>
      </c>
      <c r="GW161" s="13">
        <f t="shared" si="188"/>
        <v>65.005866623551711</v>
      </c>
      <c r="GX161" s="20">
        <f t="shared" si="189"/>
        <v>584.7539010360191</v>
      </c>
      <c r="GY161" s="59">
        <f t="shared" si="137"/>
        <v>878.08723436935247</v>
      </c>
      <c r="GZ161" s="59">
        <f ca="1">AVERAGE(OFFSET($GY$3,0,0,'Données projet'!$E$18+1,1))-AVERAGE(OFFSET($H$3,0,0,'Données projet'!$E$18+1,1))</f>
        <v>308.80022073574963</v>
      </c>
      <c r="HA161" s="59">
        <f t="shared" si="160"/>
        <v>183.96267407004115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36.148682974922231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36.148682974922231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344.49457749226184</v>
      </c>
      <c r="T162" s="59">
        <f t="shared" si="142"/>
        <v>207.92972431357452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208.99999999999989</v>
      </c>
      <c r="AJ162" s="13">
        <f>AI162*VLOOKUP('Données projet'!$B$10,Paramètres!$A$1:$I$89,3,0)*VLOOKUP('Données projet'!$B$10,Paramètres!$A$1:$I$89,5,0)</f>
        <v>189.1031999999999</v>
      </c>
      <c r="AK162" s="13">
        <f t="shared" si="164"/>
        <v>47.34162854278712</v>
      </c>
      <c r="AL162" s="20">
        <f t="shared" si="165"/>
        <v>411.80807637868742</v>
      </c>
      <c r="AM162" s="59">
        <f t="shared" si="113"/>
        <v>705.14140971202073</v>
      </c>
      <c r="AN162" s="59">
        <f ca="1">AVERAGE(OFFSET($AM$3,0,0,'Données projet'!$E$10+1,1))-AVERAGE(OFFSET($H$3,0,0,'Données projet'!$E$10+1,1))</f>
        <v>183.0147113277086</v>
      </c>
      <c r="AO162" s="59">
        <f t="shared" si="144"/>
        <v>76.413905647258389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23.761980112784446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23.761980112784446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253.79640000000001</v>
      </c>
      <c r="BF162" s="13">
        <f t="shared" si="167"/>
        <v>61.39816832228076</v>
      </c>
      <c r="BG162" s="20">
        <f t="shared" si="168"/>
        <v>548.96387316130563</v>
      </c>
      <c r="BH162" s="59">
        <f t="shared" si="116"/>
        <v>842.29720649463889</v>
      </c>
      <c r="BI162" s="59">
        <f ca="1">AVERAGE(OFFSET($BH$3,0,0,'Données projet'!$E$11+1,1))-AVERAGE(OFFSET($H$3,0,0,'Données projet'!$E$11+1,1))</f>
        <v>279.49721661620544</v>
      </c>
      <c r="BJ162" s="59">
        <f t="shared" si="146"/>
        <v>275.18739333988754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11.122042763990414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11.122042763990414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754.68411025369562</v>
      </c>
      <c r="CD162" s="59">
        <f ca="1">AVERAGE(OFFSET($CC$3,0,0,'Données projet'!$E$12+1,1))-AVERAGE(OFFSET($H$3,0,0,'Données projet'!$E$12+1,1))</f>
        <v>225.2323446080772</v>
      </c>
      <c r="CE162" s="59">
        <f t="shared" si="148"/>
        <v>222.29030402759292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9.0758996248498089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9.0758996248498089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213.00000000000003</v>
      </c>
      <c r="CU162" s="17">
        <f>CT162*VLOOKUP('Données projet'!$B$13,Paramètres!$A$1:$I$89,3,0)*VLOOKUP('Données projet'!$B$13,Paramètres!$A$1:$I$89,5,0)</f>
        <v>229.2732</v>
      </c>
      <c r="CV162" s="13">
        <f t="shared" si="173"/>
        <v>56.125501442527366</v>
      </c>
      <c r="CW162" s="20">
        <f t="shared" si="174"/>
        <v>497.06940501240177</v>
      </c>
      <c r="CX162" s="59">
        <f t="shared" si="122"/>
        <v>790.40273834573509</v>
      </c>
      <c r="CY162" s="59">
        <f ca="1">AVERAGE(OFFSET($CX$3,0,0,'Données projet'!$E$13+1,1))-AVERAGE(OFFSET($H$3,0,0,'Données projet'!$E$13+1,1))</f>
        <v>240.57184010337932</v>
      </c>
      <c r="CZ162" s="59">
        <f t="shared" si="150"/>
        <v>236.36473521227072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7.6966029244684417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7.6966029244684417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670.99999999999977</v>
      </c>
      <c r="DP162" s="17">
        <f>DO162*VLOOKUP('Données projet'!$B$14,Paramètres!$A$1:$I$89,3,0)*VLOOKUP('Données projet'!$B$14,Paramètres!$A$1:$I$89,5,0)</f>
        <v>314.02799999999991</v>
      </c>
      <c r="DQ162" s="13">
        <f t="shared" si="176"/>
        <v>74.109403804428752</v>
      </c>
      <c r="DR162" s="20">
        <f t="shared" si="177"/>
        <v>676.00597829271317</v>
      </c>
      <c r="DS162" s="59">
        <f t="shared" si="125"/>
        <v>969.33931162604654</v>
      </c>
      <c r="DT162" s="59">
        <f ca="1">AVERAGE(OFFSET($DS$3,0,0,'Données projet'!$E$14+1,1))-AVERAGE(OFFSET($H$3,0,0,'Données projet'!$E$14+1,1))</f>
        <v>304.29617570272939</v>
      </c>
      <c r="DU162" s="59">
        <f t="shared" si="152"/>
        <v>246.20695736161576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20.764403496861867</v>
      </c>
      <c r="EB162" s="21">
        <f>EXP(-LN(2)/25)*EB161+(1-EXP(-LN(2)/25))/(LN(2)/25)*Calculateur!DW162*Calculateur!DY162*VLOOKUP('Données projet'!$B$14,Paramètres!$A$1:$I$89,3,0)*0.475*44/12</f>
        <v>1.1446487585414546</v>
      </c>
      <c r="EC162" s="21">
        <f>EXP(-LN(2)/2)*EC161+(1-EXP(-LN(2)/2))/(LN(2)/2)*DW162*DZ162*VLOOKUP('Données projet'!$B$14,Paramètres!$A$1:$I$89,3,0)*0.475*44/12</f>
        <v>1.5080681685107426E-19</v>
      </c>
      <c r="ED162" s="22">
        <f t="shared" si="178"/>
        <v>21.909052255403321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477.9999999999996</v>
      </c>
      <c r="EK162" s="17">
        <f>EJ162*VLOOKUP('Données projet'!$B$15,Paramètres!$A$1:$I$89,3,0)*VLOOKUP('Données projet'!$B$15,Paramètres!$A$1:$I$89,5,0)</f>
        <v>285.84399999999977</v>
      </c>
      <c r="EL162" s="13">
        <f t="shared" si="179"/>
        <v>68.200525419065656</v>
      </c>
      <c r="EM162" s="20">
        <f t="shared" si="180"/>
        <v>616.62754843820551</v>
      </c>
      <c r="EN162" s="59">
        <f t="shared" si="128"/>
        <v>909.96088177153888</v>
      </c>
      <c r="EO162" s="59">
        <f ca="1">AVERAGE(OFFSET($EN$3,0,0,'Données projet'!$E$15+1,1))-AVERAGE(OFFSET($H$3,0,0,'Données projet'!$E$15+1,1))</f>
        <v>288.41846134875794</v>
      </c>
      <c r="EP162" s="59">
        <f t="shared" si="154"/>
        <v>248.93951719818972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15.022537863400645</v>
      </c>
      <c r="EW162" s="21">
        <f>EXP(-LN(2)/25)*EW161+(1-EXP(-LN(2)/25))/(LN(2)/25)*Calculateur!ER162*Calculateur!ET162*VLOOKUP('Données projet'!$B$15,Paramètres!$A$1:$I$89,3,0)*0.475*44/12</f>
        <v>0.78132669187714199</v>
      </c>
      <c r="EX162" s="21">
        <f>EXP(-LN(2)/2)*EX161+(1-EXP(-LN(2)/2))/(LN(2)/2)*ER162*EU162*VLOOKUP('Données projet'!$B$15,Paramètres!$A$1:$I$89,3,0)*0.475*44/12</f>
        <v>1.8654338817714354E-20</v>
      </c>
      <c r="EY162" s="22">
        <f t="shared" si="181"/>
        <v>15.803864555277787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789.00000000000045</v>
      </c>
      <c r="FF162" s="17">
        <f>FE162*VLOOKUP('Données projet'!$B$16,Paramètres!$A$1:$I$89,3,0)*VLOOKUP('Données projet'!$B$16,Paramètres!$A$1:$I$89,5,0)</f>
        <v>358.99500000000023</v>
      </c>
      <c r="FG162" s="13">
        <f t="shared" si="182"/>
        <v>83.411930940690553</v>
      </c>
      <c r="FH162" s="20">
        <f t="shared" si="183"/>
        <v>770.52540472170313</v>
      </c>
      <c r="FI162" s="59">
        <f t="shared" si="131"/>
        <v>1063.8587380550364</v>
      </c>
      <c r="FJ162" s="59">
        <f ca="1">AVERAGE(OFFSET($FI$3,0,0,'Données projet'!$E$16+1,1))-AVERAGE(OFFSET($H$3,0,0,'Données projet'!$E$16+1,1))</f>
        <v>367.36535411813264</v>
      </c>
      <c r="FK162" s="59">
        <f t="shared" si="156"/>
        <v>293.19545174980556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18.355745591528549</v>
      </c>
      <c r="FR162" s="21">
        <f>EXP(-LN(2)/25)*FR161+(1-EXP(-LN(2)/25))/(LN(2)/25)*Calculateur!FM162*Calculateur!FO162*VLOOKUP('Données projet'!$B$16,Paramètres!$A$1:$I$89,3,0)*0.475*44/12</f>
        <v>1.2109934636582109</v>
      </c>
      <c r="FS162" s="21">
        <f>EXP(-LN(2)/2)*FS161+(1-EXP(-LN(2)/2))/(LN(2)/2)*FM162*FP162*VLOOKUP('Données projet'!$B$16,Paramètres!$A$1:$I$89,3,0)*0.475*44/12</f>
        <v>2.7769927824101874E-20</v>
      </c>
      <c r="FT162" s="22">
        <f t="shared" si="184"/>
        <v>19.566739055186762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669.99999999999989</v>
      </c>
      <c r="GA162" s="17">
        <f>FZ162*VLOOKUP('Données projet'!$B$17,Paramètres!$A$1:$I$89,3,0)*VLOOKUP('Données projet'!$B$17,Paramètres!$A$1:$I$89,5,0)</f>
        <v>322.26999999999992</v>
      </c>
      <c r="GB162" s="13">
        <f t="shared" si="185"/>
        <v>75.825476822885776</v>
      </c>
      <c r="GC162" s="20">
        <f t="shared" si="186"/>
        <v>693.34962213319261</v>
      </c>
      <c r="GD162" s="59">
        <f t="shared" si="134"/>
        <v>986.68295546652598</v>
      </c>
      <c r="GE162" s="59">
        <f ca="1">AVERAGE(OFFSET($GD$3,0,0,'Données projet'!$E$17+1,1))-AVERAGE(OFFSET($H$3,0,0,'Données projet'!$E$17+1,1))</f>
        <v>312.64506496298173</v>
      </c>
      <c r="GF162" s="59">
        <f t="shared" si="158"/>
        <v>259.97532509897508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23.695539503653734</v>
      </c>
      <c r="GM162" s="21">
        <f>EXP(-LN(2)/25)*GM161+(1-EXP(-LN(2)/25))/(LN(2)/25)*Calculateur!GH162*Calculateur!GJ162*VLOOKUP('Données projet'!$B$17,Paramètres!$A$1:$I$89,3,0)*0.475*44/12</f>
        <v>0.54751498955350208</v>
      </c>
      <c r="GN162" s="21">
        <f>EXP(-LN(2)/2)*GN161+(1-EXP(-LN(2)/2))/(LN(2)/2)*GH162*GK162*VLOOKUP('Données projet'!$B$17,Paramètres!$A$1:$I$89,3,0)*0.475*44/12</f>
        <v>1.476151381875579E-19</v>
      </c>
      <c r="GO162" s="21">
        <f t="shared" si="187"/>
        <v>24.243054493207236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267</v>
      </c>
      <c r="GV162" s="17">
        <f>GU162*VLOOKUP('Données projet'!$B$18,Paramètres!$A$1:$I$89,3,0)*VLOOKUP('Données projet'!$B$18,Paramètres!$A$1:$I$89,5,0)</f>
        <v>270.738</v>
      </c>
      <c r="GW162" s="13">
        <f t="shared" si="188"/>
        <v>65.005866623551711</v>
      </c>
      <c r="GX162" s="20">
        <f t="shared" si="189"/>
        <v>584.7539010360191</v>
      </c>
      <c r="GY162" s="59">
        <f t="shared" si="137"/>
        <v>878.08723436935247</v>
      </c>
      <c r="GZ162" s="59">
        <f ca="1">AVERAGE(OFFSET($GY$3,0,0,'Données projet'!$E$18+1,1))-AVERAGE(OFFSET($H$3,0,0,'Données projet'!$E$18+1,1))</f>
        <v>308.80022073574963</v>
      </c>
      <c r="HA162" s="59">
        <f t="shared" si="160"/>
        <v>183.96267407004115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35.439829350303512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35.439829350303512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344.49457749226184</v>
      </c>
      <c r="T163" s="59">
        <f t="shared" si="142"/>
        <v>207.92972431357452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208.99999999999989</v>
      </c>
      <c r="AJ163" s="13">
        <f>AI163*VLOOKUP('Données projet'!$B$10,Paramètres!$A$1:$I$89,3,0)*VLOOKUP('Données projet'!$B$10,Paramètres!$A$1:$I$89,5,0)</f>
        <v>189.1031999999999</v>
      </c>
      <c r="AK163" s="13">
        <f t="shared" si="164"/>
        <v>47.34162854278712</v>
      </c>
      <c r="AL163" s="20">
        <f t="shared" si="165"/>
        <v>411.80807637868742</v>
      </c>
      <c r="AM163" s="59">
        <f t="shared" si="113"/>
        <v>705.14140971202073</v>
      </c>
      <c r="AN163" s="59">
        <f ca="1">AVERAGE(OFFSET($AM$3,0,0,'Données projet'!$E$10+1,1))-AVERAGE(OFFSET($H$3,0,0,'Données projet'!$E$10+1,1))</f>
        <v>183.0147113277086</v>
      </c>
      <c r="AO163" s="59">
        <f t="shared" si="144"/>
        <v>76.413905647258389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23.29602217614951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23.29602217614951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253.79640000000001</v>
      </c>
      <c r="BF163" s="13">
        <f t="shared" si="167"/>
        <v>61.39816832228076</v>
      </c>
      <c r="BG163" s="20">
        <f t="shared" si="168"/>
        <v>548.96387316130563</v>
      </c>
      <c r="BH163" s="59">
        <f t="shared" si="116"/>
        <v>842.29720649463889</v>
      </c>
      <c r="BI163" s="59">
        <f ca="1">AVERAGE(OFFSET($BH$3,0,0,'Données projet'!$E$11+1,1))-AVERAGE(OFFSET($H$3,0,0,'Données projet'!$E$11+1,1))</f>
        <v>279.49721661620544</v>
      </c>
      <c r="BJ163" s="59">
        <f t="shared" si="146"/>
        <v>275.18739333988754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10.903946289164805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10.903946289164805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754.68411025369562</v>
      </c>
      <c r="CD163" s="59">
        <f ca="1">AVERAGE(OFFSET($CC$3,0,0,'Données projet'!$E$12+1,1))-AVERAGE(OFFSET($H$3,0,0,'Données projet'!$E$12+1,1))</f>
        <v>225.2323446080772</v>
      </c>
      <c r="CE163" s="59">
        <f t="shared" si="148"/>
        <v>222.29030402759292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8.8979267689586656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8.8979267689586656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213.00000000000003</v>
      </c>
      <c r="CU163" s="17">
        <f>CT163*VLOOKUP('Données projet'!$B$13,Paramètres!$A$1:$I$89,3,0)*VLOOKUP('Données projet'!$B$13,Paramètres!$A$1:$I$89,5,0)</f>
        <v>229.2732</v>
      </c>
      <c r="CV163" s="13">
        <f t="shared" si="173"/>
        <v>56.125501442527366</v>
      </c>
      <c r="CW163" s="20">
        <f t="shared" si="174"/>
        <v>497.06940501240177</v>
      </c>
      <c r="CX163" s="59">
        <f t="shared" si="122"/>
        <v>790.40273834573509</v>
      </c>
      <c r="CY163" s="59">
        <f ca="1">AVERAGE(OFFSET($CX$3,0,0,'Données projet'!$E$13+1,1))-AVERAGE(OFFSET($H$3,0,0,'Données projet'!$E$13+1,1))</f>
        <v>240.57184010337932</v>
      </c>
      <c r="CZ163" s="59">
        <f t="shared" si="150"/>
        <v>236.36473521227072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7.5456772355838595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7.5456772355838595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670.99999999999977</v>
      </c>
      <c r="DP163" s="17">
        <f>DO163*VLOOKUP('Données projet'!$B$14,Paramètres!$A$1:$I$89,3,0)*VLOOKUP('Données projet'!$B$14,Paramètres!$A$1:$I$89,5,0)</f>
        <v>314.02799999999991</v>
      </c>
      <c r="DQ163" s="13">
        <f t="shared" si="176"/>
        <v>74.109403804428752</v>
      </c>
      <c r="DR163" s="20">
        <f t="shared" si="177"/>
        <v>676.00597829271317</v>
      </c>
      <c r="DS163" s="59">
        <f t="shared" si="125"/>
        <v>969.33931162604654</v>
      </c>
      <c r="DT163" s="59">
        <f ca="1">AVERAGE(OFFSET($DS$3,0,0,'Données projet'!$E$14+1,1))-AVERAGE(OFFSET($H$3,0,0,'Données projet'!$E$14+1,1))</f>
        <v>304.29617570272939</v>
      </c>
      <c r="DU163" s="59">
        <f t="shared" si="152"/>
        <v>246.20695736161576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20.357226209323969</v>
      </c>
      <c r="EB163" s="21">
        <f>EXP(-LN(2)/25)*EB162+(1-EXP(-LN(2)/25))/(LN(2)/25)*Calculateur!DW163*Calculateur!DY163*VLOOKUP('Données projet'!$B$14,Paramètres!$A$1:$I$89,3,0)*0.475*44/12</f>
        <v>1.1133482780446764</v>
      </c>
      <c r="EC163" s="21">
        <f>EXP(-LN(2)/2)*EC162+(1-EXP(-LN(2)/2))/(LN(2)/2)*DW163*DZ163*VLOOKUP('Données projet'!$B$14,Paramètres!$A$1:$I$89,3,0)*0.475*44/12</f>
        <v>1.0663652284455233E-19</v>
      </c>
      <c r="ED163" s="22">
        <f t="shared" si="178"/>
        <v>21.470574487368644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477.9999999999996</v>
      </c>
      <c r="EK163" s="17">
        <f>EJ163*VLOOKUP('Données projet'!$B$15,Paramètres!$A$1:$I$89,3,0)*VLOOKUP('Données projet'!$B$15,Paramètres!$A$1:$I$89,5,0)</f>
        <v>285.84399999999977</v>
      </c>
      <c r="EL163" s="13">
        <f t="shared" si="179"/>
        <v>68.200525419065656</v>
      </c>
      <c r="EM163" s="20">
        <f t="shared" si="180"/>
        <v>616.62754843820551</v>
      </c>
      <c r="EN163" s="59">
        <f t="shared" si="128"/>
        <v>909.96088177153888</v>
      </c>
      <c r="EO163" s="59">
        <f ca="1">AVERAGE(OFFSET($EN$3,0,0,'Données projet'!$E$15+1,1))-AVERAGE(OFFSET($H$3,0,0,'Données projet'!$E$15+1,1))</f>
        <v>288.41846134875794</v>
      </c>
      <c r="EP163" s="59">
        <f t="shared" si="154"/>
        <v>248.93951719818972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14.727955058742699</v>
      </c>
      <c r="EW163" s="21">
        <f>EXP(-LN(2)/25)*EW162+(1-EXP(-LN(2)/25))/(LN(2)/25)*Calculateur!ER163*Calculateur!ET163*VLOOKUP('Données projet'!$B$15,Paramètres!$A$1:$I$89,3,0)*0.475*44/12</f>
        <v>0.75996127239957656</v>
      </c>
      <c r="EX163" s="21">
        <f>EXP(-LN(2)/2)*EX162+(1-EXP(-LN(2)/2))/(LN(2)/2)*ER163*EU163*VLOOKUP('Données projet'!$B$15,Paramètres!$A$1:$I$89,3,0)*0.475*44/12</f>
        <v>1.3190609476557264E-20</v>
      </c>
      <c r="EY163" s="22">
        <f t="shared" si="181"/>
        <v>15.487916331142277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789.00000000000045</v>
      </c>
      <c r="FF163" s="17">
        <f>FE163*VLOOKUP('Données projet'!$B$16,Paramètres!$A$1:$I$89,3,0)*VLOOKUP('Données projet'!$B$16,Paramètres!$A$1:$I$89,5,0)</f>
        <v>358.99500000000023</v>
      </c>
      <c r="FG163" s="13">
        <f t="shared" si="182"/>
        <v>83.411930940690553</v>
      </c>
      <c r="FH163" s="20">
        <f t="shared" si="183"/>
        <v>770.52540472170313</v>
      </c>
      <c r="FI163" s="59">
        <f t="shared" si="131"/>
        <v>1063.8587380550364</v>
      </c>
      <c r="FJ163" s="59">
        <f ca="1">AVERAGE(OFFSET($FI$3,0,0,'Données projet'!$E$16+1,1))-AVERAGE(OFFSET($H$3,0,0,'Données projet'!$E$16+1,1))</f>
        <v>367.36535411813264</v>
      </c>
      <c r="FK163" s="59">
        <f t="shared" si="156"/>
        <v>293.19545174980556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17.995800616377981</v>
      </c>
      <c r="FR163" s="21">
        <f>EXP(-LN(2)/25)*FR162+(1-EXP(-LN(2)/25))/(LN(2)/25)*Calculateur!FM163*Calculateur!FO163*VLOOKUP('Données projet'!$B$16,Paramètres!$A$1:$I$89,3,0)*0.475*44/12</f>
        <v>1.1778787837110987</v>
      </c>
      <c r="FS163" s="21">
        <f>EXP(-LN(2)/2)*FS162+(1-EXP(-LN(2)/2))/(LN(2)/2)*FM163*FP163*VLOOKUP('Données projet'!$B$16,Paramètres!$A$1:$I$89,3,0)*0.475*44/12</f>
        <v>1.9636304277483422E-20</v>
      </c>
      <c r="FT163" s="22">
        <f t="shared" si="184"/>
        <v>19.173679400089078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669.99999999999989</v>
      </c>
      <c r="GA163" s="17">
        <f>FZ163*VLOOKUP('Données projet'!$B$17,Paramètres!$A$1:$I$89,3,0)*VLOOKUP('Données projet'!$B$17,Paramètres!$A$1:$I$89,5,0)</f>
        <v>322.26999999999992</v>
      </c>
      <c r="GB163" s="13">
        <f t="shared" si="185"/>
        <v>75.825476822885776</v>
      </c>
      <c r="GC163" s="20">
        <f t="shared" si="186"/>
        <v>693.34962213319261</v>
      </c>
      <c r="GD163" s="59">
        <f t="shared" si="134"/>
        <v>986.68295546652598</v>
      </c>
      <c r="GE163" s="59">
        <f ca="1">AVERAGE(OFFSET($GD$3,0,0,'Données projet'!$E$17+1,1))-AVERAGE(OFFSET($H$3,0,0,'Données projet'!$E$17+1,1))</f>
        <v>312.64506496298173</v>
      </c>
      <c r="GF163" s="59">
        <f t="shared" si="158"/>
        <v>259.97532509897508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23.230884426839079</v>
      </c>
      <c r="GM163" s="21">
        <f>EXP(-LN(2)/25)*GM162+(1-EXP(-LN(2)/25))/(LN(2)/25)*Calculateur!GH163*Calculateur!GJ163*VLOOKUP('Données projet'!$B$17,Paramètres!$A$1:$I$89,3,0)*0.475*44/12</f>
        <v>0.53254316337159968</v>
      </c>
      <c r="GN163" s="21">
        <f>EXP(-LN(2)/2)*GN162+(1-EXP(-LN(2)/2))/(LN(2)/2)*GH163*GK163*VLOOKUP('Données projet'!$B$17,Paramètres!$A$1:$I$89,3,0)*0.475*44/12</f>
        <v>1.0437966521821148E-19</v>
      </c>
      <c r="GO163" s="21">
        <f t="shared" si="187"/>
        <v>23.763427590210679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267</v>
      </c>
      <c r="GV163" s="17">
        <f>GU163*VLOOKUP('Données projet'!$B$18,Paramètres!$A$1:$I$89,3,0)*VLOOKUP('Données projet'!$B$18,Paramètres!$A$1:$I$89,5,0)</f>
        <v>270.738</v>
      </c>
      <c r="GW163" s="13">
        <f t="shared" si="188"/>
        <v>65.005866623551711</v>
      </c>
      <c r="GX163" s="20">
        <f t="shared" si="189"/>
        <v>584.7539010360191</v>
      </c>
      <c r="GY163" s="59">
        <f t="shared" si="137"/>
        <v>878.08723436935247</v>
      </c>
      <c r="GZ163" s="59">
        <f ca="1">AVERAGE(OFFSET($GY$3,0,0,'Données projet'!$E$18+1,1))-AVERAGE(OFFSET($H$3,0,0,'Données projet'!$E$18+1,1))</f>
        <v>308.80022073574963</v>
      </c>
      <c r="HA163" s="59">
        <f t="shared" si="160"/>
        <v>183.96267407004115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34.744875912905542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34.744875912905542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344.49457749226184</v>
      </c>
      <c r="T164" s="59">
        <f t="shared" si="142"/>
        <v>207.92972431357452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208.99999999999989</v>
      </c>
      <c r="AJ164" s="13">
        <f>AI164*VLOOKUP('Données projet'!$B$10,Paramètres!$A$1:$I$89,3,0)*VLOOKUP('Données projet'!$B$10,Paramètres!$A$1:$I$89,5,0)</f>
        <v>189.1031999999999</v>
      </c>
      <c r="AK164" s="13">
        <f t="shared" si="164"/>
        <v>47.34162854278712</v>
      </c>
      <c r="AL164" s="20">
        <f t="shared" si="165"/>
        <v>411.80807637868742</v>
      </c>
      <c r="AM164" s="59">
        <f t="shared" si="113"/>
        <v>705.14140971202073</v>
      </c>
      <c r="AN164" s="59">
        <f ca="1">AVERAGE(OFFSET($AM$3,0,0,'Données projet'!$E$10+1,1))-AVERAGE(OFFSET($H$3,0,0,'Données projet'!$E$10+1,1))</f>
        <v>183.0147113277086</v>
      </c>
      <c r="AO164" s="59">
        <f t="shared" si="144"/>
        <v>76.413905647258389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22.839201390445705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22.839201390445705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253.79640000000001</v>
      </c>
      <c r="BF164" s="13">
        <f t="shared" si="167"/>
        <v>61.39816832228076</v>
      </c>
      <c r="BG164" s="20">
        <f t="shared" si="168"/>
        <v>548.96387316130563</v>
      </c>
      <c r="BH164" s="59">
        <f t="shared" si="116"/>
        <v>842.29720649463889</v>
      </c>
      <c r="BI164" s="59">
        <f ca="1">AVERAGE(OFFSET($BH$3,0,0,'Données projet'!$E$11+1,1))-AVERAGE(OFFSET($H$3,0,0,'Données projet'!$E$11+1,1))</f>
        <v>279.49721661620544</v>
      </c>
      <c r="BJ164" s="59">
        <f t="shared" si="146"/>
        <v>275.18739333988754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10.690126553184813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10.690126553184813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754.68411025369562</v>
      </c>
      <c r="CD164" s="59">
        <f ca="1">AVERAGE(OFFSET($CC$3,0,0,'Données projet'!$E$12+1,1))-AVERAGE(OFFSET($H$3,0,0,'Données projet'!$E$12+1,1))</f>
        <v>225.2323446080772</v>
      </c>
      <c r="CE164" s="59">
        <f t="shared" si="148"/>
        <v>222.29030402759292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8.7234438522188231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8.7234438522188231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213.00000000000003</v>
      </c>
      <c r="CU164" s="17">
        <f>CT164*VLOOKUP('Données projet'!$B$13,Paramètres!$A$1:$I$89,3,0)*VLOOKUP('Données projet'!$B$13,Paramètres!$A$1:$I$89,5,0)</f>
        <v>229.2732</v>
      </c>
      <c r="CV164" s="13">
        <f t="shared" si="173"/>
        <v>56.125501442527366</v>
      </c>
      <c r="CW164" s="20">
        <f t="shared" si="174"/>
        <v>497.06940501240177</v>
      </c>
      <c r="CX164" s="59">
        <f t="shared" si="122"/>
        <v>790.40273834573509</v>
      </c>
      <c r="CY164" s="59">
        <f ca="1">AVERAGE(OFFSET($CX$3,0,0,'Données projet'!$E$13+1,1))-AVERAGE(OFFSET($H$3,0,0,'Données projet'!$E$13+1,1))</f>
        <v>240.57184010337932</v>
      </c>
      <c r="CZ164" s="59">
        <f t="shared" si="150"/>
        <v>236.36473521227072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7.3977111074027233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7.3977111074027233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670.99999999999977</v>
      </c>
      <c r="DP164" s="17">
        <f>DO164*VLOOKUP('Données projet'!$B$14,Paramètres!$A$1:$I$89,3,0)*VLOOKUP('Données projet'!$B$14,Paramètres!$A$1:$I$89,5,0)</f>
        <v>314.02799999999991</v>
      </c>
      <c r="DQ164" s="13">
        <f t="shared" si="176"/>
        <v>74.109403804428752</v>
      </c>
      <c r="DR164" s="20">
        <f t="shared" si="177"/>
        <v>676.00597829271317</v>
      </c>
      <c r="DS164" s="59">
        <f t="shared" si="125"/>
        <v>969.33931162604654</v>
      </c>
      <c r="DT164" s="59">
        <f ca="1">AVERAGE(OFFSET($DS$3,0,0,'Données projet'!$E$14+1,1))-AVERAGE(OFFSET($H$3,0,0,'Données projet'!$E$14+1,1))</f>
        <v>304.29617570272939</v>
      </c>
      <c r="DU164" s="59">
        <f t="shared" si="152"/>
        <v>246.20695736161576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19.958033420041069</v>
      </c>
      <c r="EB164" s="21">
        <f>EXP(-LN(2)/25)*EB163+(1-EXP(-LN(2)/25))/(LN(2)/25)*Calculateur!DW164*Calculateur!DY164*VLOOKUP('Données projet'!$B$14,Paramètres!$A$1:$I$89,3,0)*0.475*44/12</f>
        <v>1.0829037108331034</v>
      </c>
      <c r="EC164" s="21">
        <f>EXP(-LN(2)/2)*EC163+(1-EXP(-LN(2)/2))/(LN(2)/2)*DW164*DZ164*VLOOKUP('Données projet'!$B$14,Paramètres!$A$1:$I$89,3,0)*0.475*44/12</f>
        <v>7.5403408425537143E-20</v>
      </c>
      <c r="ED164" s="22">
        <f t="shared" si="178"/>
        <v>21.040937130874173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477.9999999999996</v>
      </c>
      <c r="EK164" s="17">
        <f>EJ164*VLOOKUP('Données projet'!$B$15,Paramètres!$A$1:$I$89,3,0)*VLOOKUP('Données projet'!$B$15,Paramètres!$A$1:$I$89,5,0)</f>
        <v>285.84399999999977</v>
      </c>
      <c r="EL164" s="13">
        <f t="shared" si="179"/>
        <v>68.200525419065656</v>
      </c>
      <c r="EM164" s="20">
        <f t="shared" si="180"/>
        <v>616.62754843820551</v>
      </c>
      <c r="EN164" s="59">
        <f t="shared" si="128"/>
        <v>909.96088177153888</v>
      </c>
      <c r="EO164" s="59">
        <f ca="1">AVERAGE(OFFSET($EN$3,0,0,'Données projet'!$E$15+1,1))-AVERAGE(OFFSET($H$3,0,0,'Données projet'!$E$15+1,1))</f>
        <v>288.41846134875794</v>
      </c>
      <c r="EP164" s="59">
        <f t="shared" si="154"/>
        <v>248.93951719818972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14.439148843206327</v>
      </c>
      <c r="EW164" s="21">
        <f>EXP(-LN(2)/25)*EW163+(1-EXP(-LN(2)/25))/(LN(2)/25)*Calculateur!ER164*Calculateur!ET164*VLOOKUP('Données projet'!$B$15,Paramètres!$A$1:$I$89,3,0)*0.475*44/12</f>
        <v>0.73918009144118368</v>
      </c>
      <c r="EX164" s="21">
        <f>EXP(-LN(2)/2)*EX163+(1-EXP(-LN(2)/2))/(LN(2)/2)*ER164*EU164*VLOOKUP('Données projet'!$B$15,Paramètres!$A$1:$I$89,3,0)*0.475*44/12</f>
        <v>9.3271694088571785E-21</v>
      </c>
      <c r="EY164" s="22">
        <f t="shared" si="181"/>
        <v>15.17832893464751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789.00000000000045</v>
      </c>
      <c r="FF164" s="17">
        <f>FE164*VLOOKUP('Données projet'!$B$16,Paramètres!$A$1:$I$89,3,0)*VLOOKUP('Données projet'!$B$16,Paramètres!$A$1:$I$89,5,0)</f>
        <v>358.99500000000023</v>
      </c>
      <c r="FG164" s="13">
        <f t="shared" si="182"/>
        <v>83.411930940690553</v>
      </c>
      <c r="FH164" s="20">
        <f t="shared" si="183"/>
        <v>770.52540472170313</v>
      </c>
      <c r="FI164" s="59">
        <f t="shared" si="131"/>
        <v>1063.8587380550364</v>
      </c>
      <c r="FJ164" s="59">
        <f ca="1">AVERAGE(OFFSET($FI$3,0,0,'Données projet'!$E$16+1,1))-AVERAGE(OFFSET($H$3,0,0,'Données projet'!$E$16+1,1))</f>
        <v>367.36535411813264</v>
      </c>
      <c r="FK164" s="59">
        <f t="shared" si="156"/>
        <v>293.19545174980556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17.642913942645361</v>
      </c>
      <c r="FR164" s="21">
        <f>EXP(-LN(2)/25)*FR163+(1-EXP(-LN(2)/25))/(LN(2)/25)*Calculateur!FM164*Calculateur!FO164*VLOOKUP('Données projet'!$B$16,Paramètres!$A$1:$I$89,3,0)*0.475*44/12</f>
        <v>1.1456696264285655</v>
      </c>
      <c r="FS164" s="21">
        <f>EXP(-LN(2)/2)*FS163+(1-EXP(-LN(2)/2))/(LN(2)/2)*FM164*FP164*VLOOKUP('Données projet'!$B$16,Paramètres!$A$1:$I$89,3,0)*0.475*44/12</f>
        <v>1.3884963912050937E-20</v>
      </c>
      <c r="FT164" s="22">
        <f t="shared" si="184"/>
        <v>18.788583569073925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669.99999999999989</v>
      </c>
      <c r="GA164" s="17">
        <f>FZ164*VLOOKUP('Données projet'!$B$17,Paramètres!$A$1:$I$89,3,0)*VLOOKUP('Données projet'!$B$17,Paramètres!$A$1:$I$89,5,0)</f>
        <v>322.26999999999992</v>
      </c>
      <c r="GB164" s="13">
        <f t="shared" si="185"/>
        <v>75.825476822885776</v>
      </c>
      <c r="GC164" s="20">
        <f t="shared" si="186"/>
        <v>693.34962213319261</v>
      </c>
      <c r="GD164" s="59">
        <f t="shared" si="134"/>
        <v>986.68295546652598</v>
      </c>
      <c r="GE164" s="59">
        <f ca="1">AVERAGE(OFFSET($GD$3,0,0,'Données projet'!$E$17+1,1))-AVERAGE(OFFSET($H$3,0,0,'Données projet'!$E$17+1,1))</f>
        <v>312.64506496298173</v>
      </c>
      <c r="GF164" s="59">
        <f t="shared" si="158"/>
        <v>259.97532509897508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22.775340952669151</v>
      </c>
      <c r="GM164" s="21">
        <f>EXP(-LN(2)/25)*GM163+(1-EXP(-LN(2)/25))/(LN(2)/25)*Calculateur!GH164*Calculateur!GJ164*VLOOKUP('Données projet'!$B$17,Paramètres!$A$1:$I$89,3,0)*0.475*44/12</f>
        <v>0.51798074256397542</v>
      </c>
      <c r="GN164" s="21">
        <f>EXP(-LN(2)/2)*GN163+(1-EXP(-LN(2)/2))/(LN(2)/2)*GH164*GK164*VLOOKUP('Données projet'!$B$17,Paramètres!$A$1:$I$89,3,0)*0.475*44/12</f>
        <v>7.3807569093778952E-20</v>
      </c>
      <c r="GO164" s="21">
        <f t="shared" si="187"/>
        <v>23.293321695233125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267</v>
      </c>
      <c r="GV164" s="17">
        <f>GU164*VLOOKUP('Données projet'!$B$18,Paramètres!$A$1:$I$89,3,0)*VLOOKUP('Données projet'!$B$18,Paramètres!$A$1:$I$89,5,0)</f>
        <v>270.738</v>
      </c>
      <c r="GW164" s="13">
        <f t="shared" si="188"/>
        <v>65.005866623551711</v>
      </c>
      <c r="GX164" s="20">
        <f t="shared" si="189"/>
        <v>584.7539010360191</v>
      </c>
      <c r="GY164" s="59">
        <f t="shared" si="137"/>
        <v>878.08723436935247</v>
      </c>
      <c r="GZ164" s="59">
        <f ca="1">AVERAGE(OFFSET($GY$3,0,0,'Données projet'!$E$18+1,1))-AVERAGE(OFFSET($H$3,0,0,'Données projet'!$E$18+1,1))</f>
        <v>308.80022073574963</v>
      </c>
      <c r="HA164" s="59">
        <f t="shared" si="160"/>
        <v>183.96267407004115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34.063550088535209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34.063550088535209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344.49457749226184</v>
      </c>
      <c r="T165" s="59">
        <f t="shared" si="142"/>
        <v>207.92972431357452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208.99999999999989</v>
      </c>
      <c r="AJ165" s="13">
        <f>AI165*VLOOKUP('Données projet'!$B$10,Paramètres!$A$1:$I$89,3,0)*VLOOKUP('Données projet'!$B$10,Paramètres!$A$1:$I$89,5,0)</f>
        <v>189.1031999999999</v>
      </c>
      <c r="AK165" s="13">
        <f t="shared" si="164"/>
        <v>47.34162854278712</v>
      </c>
      <c r="AL165" s="20">
        <f t="shared" si="165"/>
        <v>411.80807637868742</v>
      </c>
      <c r="AM165" s="59">
        <f t="shared" si="113"/>
        <v>705.14140971202073</v>
      </c>
      <c r="AN165" s="59">
        <f ca="1">AVERAGE(OFFSET($AM$3,0,0,'Données projet'!$E$10+1,1))-AVERAGE(OFFSET($H$3,0,0,'Données projet'!$E$10+1,1))</f>
        <v>183.0147113277086</v>
      </c>
      <c r="AO165" s="59">
        <f t="shared" si="144"/>
        <v>76.413905647258389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22.391338581716386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22.391338581716386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253.79640000000001</v>
      </c>
      <c r="BF165" s="13">
        <f t="shared" si="167"/>
        <v>61.39816832228076</v>
      </c>
      <c r="BG165" s="20">
        <f t="shared" si="168"/>
        <v>548.96387316130563</v>
      </c>
      <c r="BH165" s="59">
        <f t="shared" si="116"/>
        <v>842.29720649463889</v>
      </c>
      <c r="BI165" s="59">
        <f ca="1">AVERAGE(OFFSET($BH$3,0,0,'Données projet'!$E$11+1,1))-AVERAGE(OFFSET($H$3,0,0,'Données projet'!$E$11+1,1))</f>
        <v>279.49721661620544</v>
      </c>
      <c r="BJ165" s="59">
        <f t="shared" si="146"/>
        <v>275.18739333988754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10.480499691810227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10.480499691810227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754.68411025369562</v>
      </c>
      <c r="CD165" s="59">
        <f ca="1">AVERAGE(OFFSET($CC$3,0,0,'Données projet'!$E$12+1,1))-AVERAGE(OFFSET($H$3,0,0,'Données projet'!$E$12+1,1))</f>
        <v>225.2323446080772</v>
      </c>
      <c r="CE165" s="59">
        <f t="shared" si="148"/>
        <v>222.29030402759292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8.5523824390521792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8.5523824390521792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213.00000000000003</v>
      </c>
      <c r="CU165" s="17">
        <f>CT165*VLOOKUP('Données projet'!$B$13,Paramètres!$A$1:$I$89,3,0)*VLOOKUP('Données projet'!$B$13,Paramètres!$A$1:$I$89,5,0)</f>
        <v>229.2732</v>
      </c>
      <c r="CV165" s="13">
        <f t="shared" si="173"/>
        <v>56.125501442527366</v>
      </c>
      <c r="CW165" s="20">
        <f t="shared" si="174"/>
        <v>497.06940501240177</v>
      </c>
      <c r="CX165" s="59">
        <f t="shared" si="122"/>
        <v>790.40273834573509</v>
      </c>
      <c r="CY165" s="59">
        <f ca="1">AVERAGE(OFFSET($CX$3,0,0,'Données projet'!$E$13+1,1))-AVERAGE(OFFSET($H$3,0,0,'Données projet'!$E$13+1,1))</f>
        <v>240.57184010337932</v>
      </c>
      <c r="CZ165" s="59">
        <f t="shared" si="150"/>
        <v>236.36473521227072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7.252646504744793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7.252646504744793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670.99999999999977</v>
      </c>
      <c r="DP165" s="17">
        <f>DO165*VLOOKUP('Données projet'!$B$14,Paramètres!$A$1:$I$89,3,0)*VLOOKUP('Données projet'!$B$14,Paramètres!$A$1:$I$89,5,0)</f>
        <v>314.02799999999991</v>
      </c>
      <c r="DQ165" s="13">
        <f t="shared" si="176"/>
        <v>74.109403804428752</v>
      </c>
      <c r="DR165" s="20">
        <f t="shared" si="177"/>
        <v>676.00597829271317</v>
      </c>
      <c r="DS165" s="59">
        <f t="shared" si="125"/>
        <v>969.33931162604654</v>
      </c>
      <c r="DT165" s="59">
        <f ca="1">AVERAGE(OFFSET($DS$3,0,0,'Données projet'!$E$14+1,1))-AVERAGE(OFFSET($H$3,0,0,'Données projet'!$E$14+1,1))</f>
        <v>304.29617570272939</v>
      </c>
      <c r="DU165" s="59">
        <f t="shared" si="152"/>
        <v>246.20695736161576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19.566668557872447</v>
      </c>
      <c r="EB165" s="21">
        <f>EXP(-LN(2)/25)*EB164+(1-EXP(-LN(2)/25))/(LN(2)/25)*Calculateur!DW165*Calculateur!DY165*VLOOKUP('Données projet'!$B$14,Paramètres!$A$1:$I$89,3,0)*0.475*44/12</f>
        <v>1.0532916519129412</v>
      </c>
      <c r="EC165" s="21">
        <f>EXP(-LN(2)/2)*EC164+(1-EXP(-LN(2)/2))/(LN(2)/2)*DW165*DZ165*VLOOKUP('Données projet'!$B$14,Paramètres!$A$1:$I$89,3,0)*0.475*44/12</f>
        <v>5.331826142227617E-20</v>
      </c>
      <c r="ED165" s="22">
        <f t="shared" si="178"/>
        <v>20.61996020978539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477.9999999999996</v>
      </c>
      <c r="EK165" s="17">
        <f>EJ165*VLOOKUP('Données projet'!$B$15,Paramètres!$A$1:$I$89,3,0)*VLOOKUP('Données projet'!$B$15,Paramètres!$A$1:$I$89,5,0)</f>
        <v>285.84399999999977</v>
      </c>
      <c r="EL165" s="13">
        <f t="shared" si="179"/>
        <v>68.200525419065656</v>
      </c>
      <c r="EM165" s="20">
        <f t="shared" si="180"/>
        <v>616.62754843820551</v>
      </c>
      <c r="EN165" s="59">
        <f t="shared" si="128"/>
        <v>909.96088177153888</v>
      </c>
      <c r="EO165" s="59">
        <f ca="1">AVERAGE(OFFSET($EN$3,0,0,'Données projet'!$E$15+1,1))-AVERAGE(OFFSET($H$3,0,0,'Données projet'!$E$15+1,1))</f>
        <v>288.41846134875794</v>
      </c>
      <c r="EP165" s="59">
        <f t="shared" si="154"/>
        <v>248.93951719818972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14.156005941402226</v>
      </c>
      <c r="EW165" s="21">
        <f>EXP(-LN(2)/25)*EW164+(1-EXP(-LN(2)/25))/(LN(2)/25)*Calculateur!ER165*Calculateur!ET165*VLOOKUP('Données projet'!$B$15,Paramètres!$A$1:$I$89,3,0)*0.475*44/12</f>
        <v>0.71896717296893298</v>
      </c>
      <c r="EX165" s="21">
        <f>EXP(-LN(2)/2)*EX164+(1-EXP(-LN(2)/2))/(LN(2)/2)*ER165*EU165*VLOOKUP('Données projet'!$B$15,Paramètres!$A$1:$I$89,3,0)*0.475*44/12</f>
        <v>6.5953047382786334E-21</v>
      </c>
      <c r="EY165" s="22">
        <f t="shared" si="181"/>
        <v>14.874973114371159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789.00000000000045</v>
      </c>
      <c r="FF165" s="17">
        <f>FE165*VLOOKUP('Données projet'!$B$16,Paramètres!$A$1:$I$89,3,0)*VLOOKUP('Données projet'!$B$16,Paramètres!$A$1:$I$89,5,0)</f>
        <v>358.99500000000023</v>
      </c>
      <c r="FG165" s="13">
        <f t="shared" si="182"/>
        <v>83.411930940690553</v>
      </c>
      <c r="FH165" s="20">
        <f t="shared" si="183"/>
        <v>770.52540472170313</v>
      </c>
      <c r="FI165" s="59">
        <f t="shared" si="131"/>
        <v>1063.8587380550364</v>
      </c>
      <c r="FJ165" s="59">
        <f ca="1">AVERAGE(OFFSET($FI$3,0,0,'Données projet'!$E$16+1,1))-AVERAGE(OFFSET($H$3,0,0,'Données projet'!$E$16+1,1))</f>
        <v>367.36535411813264</v>
      </c>
      <c r="FK165" s="59">
        <f t="shared" si="156"/>
        <v>293.19545174980556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17.29694716134502</v>
      </c>
      <c r="FR165" s="21">
        <f>EXP(-LN(2)/25)*FR164+(1-EXP(-LN(2)/25))/(LN(2)/25)*Calculateur!FM165*Calculateur!FO165*VLOOKUP('Données projet'!$B$16,Paramètres!$A$1:$I$89,3,0)*0.475*44/12</f>
        <v>1.1143412302457292</v>
      </c>
      <c r="FS165" s="21">
        <f>EXP(-LN(2)/2)*FS164+(1-EXP(-LN(2)/2))/(LN(2)/2)*FM165*FP165*VLOOKUP('Données projet'!$B$16,Paramètres!$A$1:$I$89,3,0)*0.475*44/12</f>
        <v>9.8181521387417112E-21</v>
      </c>
      <c r="FT165" s="22">
        <f t="shared" si="184"/>
        <v>18.411288391590748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669.99999999999989</v>
      </c>
      <c r="GA165" s="17">
        <f>FZ165*VLOOKUP('Données projet'!$B$17,Paramètres!$A$1:$I$89,3,0)*VLOOKUP('Données projet'!$B$17,Paramètres!$A$1:$I$89,5,0)</f>
        <v>322.26999999999992</v>
      </c>
      <c r="GB165" s="13">
        <f t="shared" si="185"/>
        <v>75.825476822885776</v>
      </c>
      <c r="GC165" s="20">
        <f t="shared" si="186"/>
        <v>693.34962213319261</v>
      </c>
      <c r="GD165" s="59">
        <f t="shared" si="134"/>
        <v>986.68295546652598</v>
      </c>
      <c r="GE165" s="59">
        <f ca="1">AVERAGE(OFFSET($GD$3,0,0,'Données projet'!$E$17+1,1))-AVERAGE(OFFSET($H$3,0,0,'Données projet'!$E$17+1,1))</f>
        <v>312.64506496298173</v>
      </c>
      <c r="GF165" s="59">
        <f t="shared" si="158"/>
        <v>259.97532509897508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22.328730408173609</v>
      </c>
      <c r="GM165" s="21">
        <f>EXP(-LN(2)/25)*GM164+(1-EXP(-LN(2)/25))/(LN(2)/25)*Calculateur!GH165*Calculateur!GJ165*VLOOKUP('Données projet'!$B$17,Paramètres!$A$1:$I$89,3,0)*0.475*44/12</f>
        <v>0.50381653191914011</v>
      </c>
      <c r="GN165" s="21">
        <f>EXP(-LN(2)/2)*GN164+(1-EXP(-LN(2)/2))/(LN(2)/2)*GH165*GK165*VLOOKUP('Données projet'!$B$17,Paramètres!$A$1:$I$89,3,0)*0.475*44/12</f>
        <v>5.2189832609105742E-20</v>
      </c>
      <c r="GO165" s="21">
        <f t="shared" si="187"/>
        <v>22.832546940092747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267</v>
      </c>
      <c r="GV165" s="17">
        <f>GU165*VLOOKUP('Données projet'!$B$18,Paramètres!$A$1:$I$89,3,0)*VLOOKUP('Données projet'!$B$18,Paramètres!$A$1:$I$89,5,0)</f>
        <v>270.738</v>
      </c>
      <c r="GW165" s="13">
        <f t="shared" si="188"/>
        <v>65.005866623551711</v>
      </c>
      <c r="GX165" s="20">
        <f t="shared" si="189"/>
        <v>584.7539010360191</v>
      </c>
      <c r="GY165" s="59">
        <f t="shared" si="137"/>
        <v>878.08723436935247</v>
      </c>
      <c r="GZ165" s="59">
        <f ca="1">AVERAGE(OFFSET($GY$3,0,0,'Données projet'!$E$18+1,1))-AVERAGE(OFFSET($H$3,0,0,'Données projet'!$E$18+1,1))</f>
        <v>308.80022073574963</v>
      </c>
      <c r="HA165" s="59">
        <f t="shared" si="160"/>
        <v>183.96267407004115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33.395584648013056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33.395584648013056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344.49457749226184</v>
      </c>
      <c r="T166" s="59">
        <f t="shared" si="142"/>
        <v>207.92972431357452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208.99999999999989</v>
      </c>
      <c r="AJ166" s="13">
        <f>AI166*VLOOKUP('Données projet'!$B$10,Paramètres!$A$1:$I$89,3,0)*VLOOKUP('Données projet'!$B$10,Paramètres!$A$1:$I$89,5,0)</f>
        <v>189.1031999999999</v>
      </c>
      <c r="AK166" s="13">
        <f t="shared" si="164"/>
        <v>47.34162854278712</v>
      </c>
      <c r="AL166" s="20">
        <f t="shared" si="165"/>
        <v>411.80807637868742</v>
      </c>
      <c r="AM166" s="59">
        <f t="shared" si="113"/>
        <v>705.14140971202073</v>
      </c>
      <c r="AN166" s="59">
        <f ca="1">AVERAGE(OFFSET($AM$3,0,0,'Données projet'!$E$10+1,1))-AVERAGE(OFFSET($H$3,0,0,'Données projet'!$E$10+1,1))</f>
        <v>183.0147113277086</v>
      </c>
      <c r="AO166" s="59">
        <f t="shared" si="144"/>
        <v>76.413905647258389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21.952258089496908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21.952258089496908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253.79640000000001</v>
      </c>
      <c r="BF166" s="13">
        <f t="shared" si="167"/>
        <v>61.39816832228076</v>
      </c>
      <c r="BG166" s="20">
        <f t="shared" si="168"/>
        <v>548.96387316130563</v>
      </c>
      <c r="BH166" s="59">
        <f t="shared" si="116"/>
        <v>842.29720649463889</v>
      </c>
      <c r="BI166" s="59">
        <f ca="1">AVERAGE(OFFSET($BH$3,0,0,'Données projet'!$E$11+1,1))-AVERAGE(OFFSET($H$3,0,0,'Données projet'!$E$11+1,1))</f>
        <v>279.49721661620544</v>
      </c>
      <c r="BJ166" s="59">
        <f t="shared" si="146"/>
        <v>275.18739333988754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10.274983485327436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10.274983485327436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754.68411025369562</v>
      </c>
      <c r="CD166" s="59">
        <f ca="1">AVERAGE(OFFSET($CC$3,0,0,'Données projet'!$E$12+1,1))-AVERAGE(OFFSET($H$3,0,0,'Données projet'!$E$12+1,1))</f>
        <v>225.2323446080772</v>
      </c>
      <c r="CE166" s="59">
        <f t="shared" si="148"/>
        <v>222.29030402759292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8.384675435860574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8.384675435860574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213.00000000000003</v>
      </c>
      <c r="CU166" s="17">
        <f>CT166*VLOOKUP('Données projet'!$B$13,Paramètres!$A$1:$I$89,3,0)*VLOOKUP('Données projet'!$B$13,Paramètres!$A$1:$I$89,5,0)</f>
        <v>229.2732</v>
      </c>
      <c r="CV166" s="13">
        <f t="shared" si="173"/>
        <v>56.125501442527366</v>
      </c>
      <c r="CW166" s="20">
        <f t="shared" si="174"/>
        <v>497.06940501240177</v>
      </c>
      <c r="CX166" s="59">
        <f t="shared" si="122"/>
        <v>790.40273834573509</v>
      </c>
      <c r="CY166" s="59">
        <f ca="1">AVERAGE(OFFSET($CX$3,0,0,'Données projet'!$E$13+1,1))-AVERAGE(OFFSET($H$3,0,0,'Données projet'!$E$13+1,1))</f>
        <v>240.57184010337932</v>
      </c>
      <c r="CZ166" s="59">
        <f t="shared" si="150"/>
        <v>236.36473521227072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7.1104265304643137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7.1104265304643137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670.99999999999977</v>
      </c>
      <c r="DP166" s="17">
        <f>DO166*VLOOKUP('Données projet'!$B$14,Paramètres!$A$1:$I$89,3,0)*VLOOKUP('Données projet'!$B$14,Paramètres!$A$1:$I$89,5,0)</f>
        <v>314.02799999999991</v>
      </c>
      <c r="DQ166" s="13">
        <f t="shared" si="176"/>
        <v>74.109403804428752</v>
      </c>
      <c r="DR166" s="20">
        <f t="shared" si="177"/>
        <v>676.00597829271317</v>
      </c>
      <c r="DS166" s="59">
        <f t="shared" si="125"/>
        <v>969.33931162604654</v>
      </c>
      <c r="DT166" s="59">
        <f ca="1">AVERAGE(OFFSET($DS$3,0,0,'Données projet'!$E$14+1,1))-AVERAGE(OFFSET($H$3,0,0,'Données projet'!$E$14+1,1))</f>
        <v>304.29617570272939</v>
      </c>
      <c r="DU166" s="59">
        <f t="shared" si="152"/>
        <v>246.20695736161576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19.182978121941957</v>
      </c>
      <c r="EB166" s="21">
        <f>EXP(-LN(2)/25)*EB165+(1-EXP(-LN(2)/25))/(LN(2)/25)*Calculateur!DW166*Calculateur!DY166*VLOOKUP('Données projet'!$B$14,Paramètres!$A$1:$I$89,3,0)*0.475*44/12</f>
        <v>1.0244893363011811</v>
      </c>
      <c r="EC166" s="21">
        <f>EXP(-LN(2)/2)*EC165+(1-EXP(-LN(2)/2))/(LN(2)/2)*DW166*DZ166*VLOOKUP('Données projet'!$B$14,Paramètres!$A$1:$I$89,3,0)*0.475*44/12</f>
        <v>3.7701704212768578E-20</v>
      </c>
      <c r="ED166" s="22">
        <f t="shared" si="178"/>
        <v>20.207467458243137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477.9999999999996</v>
      </c>
      <c r="EK166" s="17">
        <f>EJ166*VLOOKUP('Données projet'!$B$15,Paramètres!$A$1:$I$89,3,0)*VLOOKUP('Données projet'!$B$15,Paramètres!$A$1:$I$89,5,0)</f>
        <v>285.84399999999977</v>
      </c>
      <c r="EL166" s="13">
        <f t="shared" si="179"/>
        <v>68.200525419065656</v>
      </c>
      <c r="EM166" s="20">
        <f t="shared" si="180"/>
        <v>616.62754843820551</v>
      </c>
      <c r="EN166" s="59">
        <f t="shared" si="128"/>
        <v>909.96088177153888</v>
      </c>
      <c r="EO166" s="59">
        <f ca="1">AVERAGE(OFFSET($EN$3,0,0,'Données projet'!$E$15+1,1))-AVERAGE(OFFSET($H$3,0,0,'Données projet'!$E$15+1,1))</f>
        <v>288.41846134875794</v>
      </c>
      <c r="EP166" s="59">
        <f t="shared" si="154"/>
        <v>248.93951719818972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13.878415299202386</v>
      </c>
      <c r="EW166" s="21">
        <f>EXP(-LN(2)/25)*EW165+(1-EXP(-LN(2)/25))/(LN(2)/25)*Calculateur!ER166*Calculateur!ET166*VLOOKUP('Données projet'!$B$15,Paramètres!$A$1:$I$89,3,0)*0.475*44/12</f>
        <v>0.69930697781525708</v>
      </c>
      <c r="EX166" s="21">
        <f>EXP(-LN(2)/2)*EX165+(1-EXP(-LN(2)/2))/(LN(2)/2)*ER166*EU166*VLOOKUP('Données projet'!$B$15,Paramètres!$A$1:$I$89,3,0)*0.475*44/12</f>
        <v>4.66358470442859E-21</v>
      </c>
      <c r="EY166" s="22">
        <f t="shared" si="181"/>
        <v>14.577722277017642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789.00000000000045</v>
      </c>
      <c r="FF166" s="17">
        <f>FE166*VLOOKUP('Données projet'!$B$16,Paramètres!$A$1:$I$89,3,0)*VLOOKUP('Données projet'!$B$16,Paramètres!$A$1:$I$89,5,0)</f>
        <v>358.99500000000023</v>
      </c>
      <c r="FG166" s="13">
        <f t="shared" si="182"/>
        <v>83.411930940690553</v>
      </c>
      <c r="FH166" s="20">
        <f t="shared" si="183"/>
        <v>770.52540472170313</v>
      </c>
      <c r="FI166" s="59">
        <f t="shared" si="131"/>
        <v>1063.8587380550364</v>
      </c>
      <c r="FJ166" s="59">
        <f ca="1">AVERAGE(OFFSET($FI$3,0,0,'Données projet'!$E$16+1,1))-AVERAGE(OFFSET($H$3,0,0,'Données projet'!$E$16+1,1))</f>
        <v>367.36535411813264</v>
      </c>
      <c r="FK166" s="59">
        <f t="shared" si="156"/>
        <v>293.19545174980556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16.957764577607076</v>
      </c>
      <c r="FR166" s="21">
        <f>EXP(-LN(2)/25)*FR165+(1-EXP(-LN(2)/25))/(LN(2)/25)*Calculateur!FM166*Calculateur!FO166*VLOOKUP('Données projet'!$B$16,Paramètres!$A$1:$I$89,3,0)*0.475*44/12</f>
        <v>1.0838695107040013</v>
      </c>
      <c r="FS166" s="21">
        <f>EXP(-LN(2)/2)*FS165+(1-EXP(-LN(2)/2))/(LN(2)/2)*FM166*FP166*VLOOKUP('Données projet'!$B$16,Paramètres!$A$1:$I$89,3,0)*0.475*44/12</f>
        <v>6.9424819560254685E-21</v>
      </c>
      <c r="FT166" s="22">
        <f t="shared" si="184"/>
        <v>18.041634088311078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669.99999999999989</v>
      </c>
      <c r="GA166" s="17">
        <f>FZ166*VLOOKUP('Données projet'!$B$17,Paramètres!$A$1:$I$89,3,0)*VLOOKUP('Données projet'!$B$17,Paramètres!$A$1:$I$89,5,0)</f>
        <v>322.26999999999992</v>
      </c>
      <c r="GB166" s="13">
        <f t="shared" si="185"/>
        <v>75.825476822885776</v>
      </c>
      <c r="GC166" s="20">
        <f t="shared" si="186"/>
        <v>693.34962213319261</v>
      </c>
      <c r="GD166" s="59">
        <f t="shared" si="134"/>
        <v>986.68295546652598</v>
      </c>
      <c r="GE166" s="59">
        <f ca="1">AVERAGE(OFFSET($GD$3,0,0,'Données projet'!$E$17+1,1))-AVERAGE(OFFSET($H$3,0,0,'Données projet'!$E$17+1,1))</f>
        <v>312.64506496298173</v>
      </c>
      <c r="GF166" s="59">
        <f t="shared" si="158"/>
        <v>259.97532509897508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21.890877624050091</v>
      </c>
      <c r="GM166" s="21">
        <f>EXP(-LN(2)/25)*GM165+(1-EXP(-LN(2)/25))/(LN(2)/25)*Calculateur!GH166*Calculateur!GJ166*VLOOKUP('Données projet'!$B$17,Paramètres!$A$1:$I$89,3,0)*0.475*44/12</f>
        <v>0.49003964235925129</v>
      </c>
      <c r="GN166" s="21">
        <f>EXP(-LN(2)/2)*GN165+(1-EXP(-LN(2)/2))/(LN(2)/2)*GH166*GK166*VLOOKUP('Données projet'!$B$17,Paramètres!$A$1:$I$89,3,0)*0.475*44/12</f>
        <v>3.6903784546889476E-20</v>
      </c>
      <c r="GO166" s="21">
        <f t="shared" si="187"/>
        <v>22.380917266409341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267</v>
      </c>
      <c r="GV166" s="17">
        <f>GU166*VLOOKUP('Données projet'!$B$18,Paramètres!$A$1:$I$89,3,0)*VLOOKUP('Données projet'!$B$18,Paramètres!$A$1:$I$89,5,0)</f>
        <v>270.738</v>
      </c>
      <c r="GW166" s="13">
        <f t="shared" si="188"/>
        <v>65.005866623551711</v>
      </c>
      <c r="GX166" s="20">
        <f t="shared" si="189"/>
        <v>584.7539010360191</v>
      </c>
      <c r="GY166" s="59">
        <f t="shared" si="137"/>
        <v>878.08723436935247</v>
      </c>
      <c r="GZ166" s="59">
        <f ca="1">AVERAGE(OFFSET($GY$3,0,0,'Données projet'!$E$18+1,1))-AVERAGE(OFFSET($H$3,0,0,'Données projet'!$E$18+1,1))</f>
        <v>308.80022073574963</v>
      </c>
      <c r="HA166" s="59">
        <f t="shared" si="160"/>
        <v>183.96267407004115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32.740717602360853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32.740717602360853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344.49457749226184</v>
      </c>
      <c r="T167" s="59">
        <f t="shared" si="142"/>
        <v>207.92972431357452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208.99999999999989</v>
      </c>
      <c r="AJ167" s="13">
        <f>AI167*VLOOKUP('Données projet'!$B$10,Paramètres!$A$1:$I$89,3,0)*VLOOKUP('Données projet'!$B$10,Paramètres!$A$1:$I$89,5,0)</f>
        <v>189.1031999999999</v>
      </c>
      <c r="AK167" s="13">
        <f t="shared" si="164"/>
        <v>47.34162854278712</v>
      </c>
      <c r="AL167" s="20">
        <f t="shared" si="165"/>
        <v>411.80807637868742</v>
      </c>
      <c r="AM167" s="59">
        <f t="shared" si="113"/>
        <v>705.14140971202073</v>
      </c>
      <c r="AN167" s="59">
        <f ca="1">AVERAGE(OFFSET($AM$3,0,0,'Données projet'!$E$10+1,1))-AVERAGE(OFFSET($H$3,0,0,'Données projet'!$E$10+1,1))</f>
        <v>183.0147113277086</v>
      </c>
      <c r="AO167" s="59">
        <f t="shared" si="144"/>
        <v>76.413905647258389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21.521787697917201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21.521787697917201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253.79640000000001</v>
      </c>
      <c r="BF167" s="13">
        <f t="shared" si="167"/>
        <v>61.39816832228076</v>
      </c>
      <c r="BG167" s="20">
        <f t="shared" si="168"/>
        <v>548.96387316130563</v>
      </c>
      <c r="BH167" s="59">
        <f t="shared" si="116"/>
        <v>842.29720649463889</v>
      </c>
      <c r="BI167" s="59">
        <f ca="1">AVERAGE(OFFSET($BH$3,0,0,'Données projet'!$E$11+1,1))-AVERAGE(OFFSET($H$3,0,0,'Données projet'!$E$11+1,1))</f>
        <v>279.49721661620544</v>
      </c>
      <c r="BJ167" s="59">
        <f t="shared" si="146"/>
        <v>275.18739333988754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10.073497326301265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10.073497326301265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754.68411025369562</v>
      </c>
      <c r="CD167" s="59">
        <f ca="1">AVERAGE(OFFSET($CC$3,0,0,'Données projet'!$E$12+1,1))-AVERAGE(OFFSET($H$3,0,0,'Données projet'!$E$12+1,1))</f>
        <v>225.2323446080772</v>
      </c>
      <c r="CE167" s="59">
        <f t="shared" si="148"/>
        <v>222.29030402759292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8.2202570647103848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8.2202570647103848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213.00000000000003</v>
      </c>
      <c r="CU167" s="17">
        <f>CT167*VLOOKUP('Données projet'!$B$13,Paramètres!$A$1:$I$89,3,0)*VLOOKUP('Données projet'!$B$13,Paramètres!$A$1:$I$89,5,0)</f>
        <v>229.2732</v>
      </c>
      <c r="CV167" s="13">
        <f t="shared" si="173"/>
        <v>56.125501442527366</v>
      </c>
      <c r="CW167" s="20">
        <f t="shared" si="174"/>
        <v>497.06940501240177</v>
      </c>
      <c r="CX167" s="59">
        <f t="shared" si="122"/>
        <v>790.40273834573509</v>
      </c>
      <c r="CY167" s="59">
        <f ca="1">AVERAGE(OFFSET($CX$3,0,0,'Données projet'!$E$13+1,1))-AVERAGE(OFFSET($H$3,0,0,'Données projet'!$E$13+1,1))</f>
        <v>240.57184010337932</v>
      </c>
      <c r="CZ167" s="59">
        <f t="shared" si="150"/>
        <v>236.36473521227072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6.9709954031338555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6.9709954031338555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670.99999999999977</v>
      </c>
      <c r="DP167" s="17">
        <f>DO167*VLOOKUP('Données projet'!$B$14,Paramètres!$A$1:$I$89,3,0)*VLOOKUP('Données projet'!$B$14,Paramètres!$A$1:$I$89,5,0)</f>
        <v>314.02799999999991</v>
      </c>
      <c r="DQ167" s="13">
        <f t="shared" si="176"/>
        <v>74.109403804428752</v>
      </c>
      <c r="DR167" s="20">
        <f t="shared" si="177"/>
        <v>676.00597829271317</v>
      </c>
      <c r="DS167" s="59">
        <f t="shared" si="125"/>
        <v>969.33931162604654</v>
      </c>
      <c r="DT167" s="59">
        <f ca="1">AVERAGE(OFFSET($DS$3,0,0,'Données projet'!$E$14+1,1))-AVERAGE(OFFSET($H$3,0,0,'Données projet'!$E$14+1,1))</f>
        <v>304.29617570272939</v>
      </c>
      <c r="DU167" s="59">
        <f t="shared" si="152"/>
        <v>246.20695736161576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18.806811621432004</v>
      </c>
      <c r="EB167" s="21">
        <f>EXP(-LN(2)/25)*EB166+(1-EXP(-LN(2)/25))/(LN(2)/25)*Calculateur!DW167*Calculateur!DY167*VLOOKUP('Données projet'!$B$14,Paramètres!$A$1:$I$89,3,0)*0.475*44/12</f>
        <v>0.99647462152447264</v>
      </c>
      <c r="EC167" s="21">
        <f>EXP(-LN(2)/2)*EC166+(1-EXP(-LN(2)/2))/(LN(2)/2)*DW167*DZ167*VLOOKUP('Données projet'!$B$14,Paramètres!$A$1:$I$89,3,0)*0.475*44/12</f>
        <v>2.6659130711138088E-20</v>
      </c>
      <c r="ED167" s="22">
        <f t="shared" si="178"/>
        <v>19.803286242956478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477.9999999999996</v>
      </c>
      <c r="EK167" s="17">
        <f>EJ167*VLOOKUP('Données projet'!$B$15,Paramètres!$A$1:$I$89,3,0)*VLOOKUP('Données projet'!$B$15,Paramètres!$A$1:$I$89,5,0)</f>
        <v>285.84399999999977</v>
      </c>
      <c r="EL167" s="13">
        <f t="shared" si="179"/>
        <v>68.200525419065656</v>
      </c>
      <c r="EM167" s="20">
        <f t="shared" si="180"/>
        <v>616.62754843820551</v>
      </c>
      <c r="EN167" s="59">
        <f t="shared" si="128"/>
        <v>909.96088177153888</v>
      </c>
      <c r="EO167" s="59">
        <f ca="1">AVERAGE(OFFSET($EN$3,0,0,'Données projet'!$E$15+1,1))-AVERAGE(OFFSET($H$3,0,0,'Données projet'!$E$15+1,1))</f>
        <v>288.41846134875794</v>
      </c>
      <c r="EP167" s="59">
        <f t="shared" si="154"/>
        <v>248.93951719818972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13.60626804018251</v>
      </c>
      <c r="EW167" s="21">
        <f>EXP(-LN(2)/25)*EW166+(1-EXP(-LN(2)/25))/(LN(2)/25)*Calculateur!ER167*Calculateur!ET167*VLOOKUP('Données projet'!$B$15,Paramètres!$A$1:$I$89,3,0)*0.475*44/12</f>
        <v>0.68018439173194323</v>
      </c>
      <c r="EX167" s="21">
        <f>EXP(-LN(2)/2)*EX166+(1-EXP(-LN(2)/2))/(LN(2)/2)*ER167*EU167*VLOOKUP('Données projet'!$B$15,Paramètres!$A$1:$I$89,3,0)*0.475*44/12</f>
        <v>3.2976523691393171E-21</v>
      </c>
      <c r="EY167" s="22">
        <f t="shared" si="181"/>
        <v>14.286452431914453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789.00000000000045</v>
      </c>
      <c r="FF167" s="17">
        <f>FE167*VLOOKUP('Données projet'!$B$16,Paramètres!$A$1:$I$89,3,0)*VLOOKUP('Données projet'!$B$16,Paramètres!$A$1:$I$89,5,0)</f>
        <v>358.99500000000023</v>
      </c>
      <c r="FG167" s="13">
        <f t="shared" si="182"/>
        <v>83.411930940690553</v>
      </c>
      <c r="FH167" s="20">
        <f t="shared" si="183"/>
        <v>770.52540472170313</v>
      </c>
      <c r="FI167" s="59">
        <f t="shared" si="131"/>
        <v>1063.8587380550364</v>
      </c>
      <c r="FJ167" s="59">
        <f ca="1">AVERAGE(OFFSET($FI$3,0,0,'Données projet'!$E$16+1,1))-AVERAGE(OFFSET($H$3,0,0,'Données projet'!$E$16+1,1))</f>
        <v>367.36535411813264</v>
      </c>
      <c r="FK167" s="59">
        <f t="shared" si="156"/>
        <v>293.19545174980556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16.625233157455288</v>
      </c>
      <c r="FR167" s="21">
        <f>EXP(-LN(2)/25)*FR166+(1-EXP(-LN(2)/25))/(LN(2)/25)*Calculateur!FM167*Calculateur!FO167*VLOOKUP('Données projet'!$B$16,Paramètres!$A$1:$I$89,3,0)*0.475*44/12</f>
        <v>1.05423104193558</v>
      </c>
      <c r="FS167" s="21">
        <f>EXP(-LN(2)/2)*FS166+(1-EXP(-LN(2)/2))/(LN(2)/2)*FM167*FP167*VLOOKUP('Données projet'!$B$16,Paramètres!$A$1:$I$89,3,0)*0.475*44/12</f>
        <v>4.9090760693708556E-21</v>
      </c>
      <c r="FT167" s="22">
        <f t="shared" si="184"/>
        <v>17.679464199390868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669.99999999999989</v>
      </c>
      <c r="GA167" s="17">
        <f>FZ167*VLOOKUP('Données projet'!$B$17,Paramètres!$A$1:$I$89,3,0)*VLOOKUP('Données projet'!$B$17,Paramètres!$A$1:$I$89,5,0)</f>
        <v>322.26999999999992</v>
      </c>
      <c r="GB167" s="13">
        <f t="shared" si="185"/>
        <v>75.825476822885776</v>
      </c>
      <c r="GC167" s="20">
        <f t="shared" si="186"/>
        <v>693.34962213319261</v>
      </c>
      <c r="GD167" s="59">
        <f t="shared" si="134"/>
        <v>986.68295546652598</v>
      </c>
      <c r="GE167" s="59">
        <f ca="1">AVERAGE(OFFSET($GD$3,0,0,'Données projet'!$E$17+1,1))-AVERAGE(OFFSET($H$3,0,0,'Données projet'!$E$17+1,1))</f>
        <v>312.64506496298173</v>
      </c>
      <c r="GF167" s="59">
        <f t="shared" si="158"/>
        <v>259.97532509897508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21.461610865959408</v>
      </c>
      <c r="GM167" s="21">
        <f>EXP(-LN(2)/25)*GM166+(1-EXP(-LN(2)/25))/(LN(2)/25)*Calculateur!GH167*Calculateur!GJ167*VLOOKUP('Données projet'!$B$17,Paramètres!$A$1:$I$89,3,0)*0.475*44/12</f>
        <v>0.47663948256887279</v>
      </c>
      <c r="GN167" s="21">
        <f>EXP(-LN(2)/2)*GN166+(1-EXP(-LN(2)/2))/(LN(2)/2)*GH167*GK167*VLOOKUP('Données projet'!$B$17,Paramètres!$A$1:$I$89,3,0)*0.475*44/12</f>
        <v>2.6094916304552871E-20</v>
      </c>
      <c r="GO167" s="21">
        <f t="shared" si="187"/>
        <v>21.938250348528282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267</v>
      </c>
      <c r="GV167" s="17">
        <f>GU167*VLOOKUP('Données projet'!$B$18,Paramètres!$A$1:$I$89,3,0)*VLOOKUP('Données projet'!$B$18,Paramètres!$A$1:$I$89,5,0)</f>
        <v>270.738</v>
      </c>
      <c r="GW167" s="13">
        <f t="shared" si="188"/>
        <v>65.005866623551711</v>
      </c>
      <c r="GX167" s="20">
        <f t="shared" si="189"/>
        <v>584.7539010360191</v>
      </c>
      <c r="GY167" s="59">
        <f t="shared" si="137"/>
        <v>878.08723436935247</v>
      </c>
      <c r="GZ167" s="59">
        <f ca="1">AVERAGE(OFFSET($GY$3,0,0,'Données projet'!$E$18+1,1))-AVERAGE(OFFSET($H$3,0,0,'Données projet'!$E$18+1,1))</f>
        <v>308.80022073574963</v>
      </c>
      <c r="HA167" s="59">
        <f t="shared" si="160"/>
        <v>183.96267407004115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32.098692100044431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32.098692100044431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344.49457749226184</v>
      </c>
      <c r="T168" s="59">
        <f t="shared" si="142"/>
        <v>207.92972431357452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208.99999999999989</v>
      </c>
      <c r="AJ168" s="13">
        <f>AI168*VLOOKUP('Données projet'!$B$10,Paramètres!$A$1:$I$89,3,0)*VLOOKUP('Données projet'!$B$10,Paramètres!$A$1:$I$89,5,0)</f>
        <v>189.1031999999999</v>
      </c>
      <c r="AK168" s="13">
        <f t="shared" si="164"/>
        <v>47.34162854278712</v>
      </c>
      <c r="AL168" s="20">
        <f t="shared" si="165"/>
        <v>411.80807637868742</v>
      </c>
      <c r="AM168" s="59">
        <f t="shared" si="113"/>
        <v>705.14140971202073</v>
      </c>
      <c r="AN168" s="59">
        <f ca="1">AVERAGE(OFFSET($AM$3,0,0,'Données projet'!$E$10+1,1))-AVERAGE(OFFSET($H$3,0,0,'Données projet'!$E$10+1,1))</f>
        <v>183.0147113277086</v>
      </c>
      <c r="AO168" s="59">
        <f t="shared" si="144"/>
        <v>76.413905647258389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21.099758568155359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21.099758568155359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253.79640000000001</v>
      </c>
      <c r="BF168" s="13">
        <f t="shared" si="167"/>
        <v>61.39816832228076</v>
      </c>
      <c r="BG168" s="20">
        <f t="shared" si="168"/>
        <v>548.96387316130563</v>
      </c>
      <c r="BH168" s="59">
        <f t="shared" si="116"/>
        <v>842.29720649463889</v>
      </c>
      <c r="BI168" s="59">
        <f ca="1">AVERAGE(OFFSET($BH$3,0,0,'Données projet'!$E$11+1,1))-AVERAGE(OFFSET($H$3,0,0,'Données projet'!$E$11+1,1))</f>
        <v>279.49721661620544</v>
      </c>
      <c r="BJ168" s="59">
        <f t="shared" si="146"/>
        <v>275.18739333988754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9.8759621879591748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9.8759621879591748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754.68411025369562</v>
      </c>
      <c r="CD168" s="59">
        <f ca="1">AVERAGE(OFFSET($CC$3,0,0,'Données projet'!$E$12+1,1))-AVERAGE(OFFSET($H$3,0,0,'Données projet'!$E$12+1,1))</f>
        <v>225.2323446080772</v>
      </c>
      <c r="CE168" s="59">
        <f t="shared" si="148"/>
        <v>222.29030402759292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8.0590628375331459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8.0590628375331459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213.00000000000003</v>
      </c>
      <c r="CU168" s="17">
        <f>CT168*VLOOKUP('Données projet'!$B$13,Paramètres!$A$1:$I$89,3,0)*VLOOKUP('Données projet'!$B$13,Paramètres!$A$1:$I$89,5,0)</f>
        <v>229.2732</v>
      </c>
      <c r="CV168" s="13">
        <f t="shared" si="173"/>
        <v>56.125501442527366</v>
      </c>
      <c r="CW168" s="20">
        <f t="shared" si="174"/>
        <v>497.06940501240177</v>
      </c>
      <c r="CX168" s="59">
        <f t="shared" si="122"/>
        <v>790.40273834573509</v>
      </c>
      <c r="CY168" s="59">
        <f ca="1">AVERAGE(OFFSET($CX$3,0,0,'Données projet'!$E$13+1,1))-AVERAGE(OFFSET($H$3,0,0,'Données projet'!$E$13+1,1))</f>
        <v>240.57184010337932</v>
      </c>
      <c r="CZ168" s="59">
        <f t="shared" si="150"/>
        <v>236.36473521227072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6.8342984351657572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6.8342984351657572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670.99999999999977</v>
      </c>
      <c r="DP168" s="17">
        <f>DO168*VLOOKUP('Données projet'!$B$14,Paramètres!$A$1:$I$89,3,0)*VLOOKUP('Données projet'!$B$14,Paramètres!$A$1:$I$89,5,0)</f>
        <v>314.02799999999991</v>
      </c>
      <c r="DQ168" s="13">
        <f t="shared" si="176"/>
        <v>74.109403804428752</v>
      </c>
      <c r="DR168" s="20">
        <f t="shared" si="177"/>
        <v>676.00597829271317</v>
      </c>
      <c r="DS168" s="59">
        <f t="shared" si="125"/>
        <v>969.33931162604654</v>
      </c>
      <c r="DT168" s="59">
        <f ca="1">AVERAGE(OFFSET($DS$3,0,0,'Données projet'!$E$14+1,1))-AVERAGE(OFFSET($H$3,0,0,'Données projet'!$E$14+1,1))</f>
        <v>304.29617570272939</v>
      </c>
      <c r="DU168" s="59">
        <f t="shared" si="152"/>
        <v>246.20695736161576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18.438021516558141</v>
      </c>
      <c r="EB168" s="21">
        <f>EXP(-LN(2)/25)*EB167+(1-EXP(-LN(2)/25))/(LN(2)/25)*Calculateur!DW168*Calculateur!DY168*VLOOKUP('Données projet'!$B$14,Paramètres!$A$1:$I$89,3,0)*0.475*44/12</f>
        <v>0.96922597059656301</v>
      </c>
      <c r="EC168" s="21">
        <f>EXP(-LN(2)/2)*EC167+(1-EXP(-LN(2)/2))/(LN(2)/2)*DW168*DZ168*VLOOKUP('Données projet'!$B$14,Paramètres!$A$1:$I$89,3,0)*0.475*44/12</f>
        <v>1.8850852106384292E-20</v>
      </c>
      <c r="ED168" s="22">
        <f t="shared" si="178"/>
        <v>19.407247487154706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477.9999999999996</v>
      </c>
      <c r="EK168" s="17">
        <f>EJ168*VLOOKUP('Données projet'!$B$15,Paramètres!$A$1:$I$89,3,0)*VLOOKUP('Données projet'!$B$15,Paramètres!$A$1:$I$89,5,0)</f>
        <v>285.84399999999977</v>
      </c>
      <c r="EL168" s="13">
        <f t="shared" si="179"/>
        <v>68.200525419065656</v>
      </c>
      <c r="EM168" s="20">
        <f t="shared" si="180"/>
        <v>616.62754843820551</v>
      </c>
      <c r="EN168" s="59">
        <f t="shared" si="128"/>
        <v>909.96088177153888</v>
      </c>
      <c r="EO168" s="59">
        <f ca="1">AVERAGE(OFFSET($EN$3,0,0,'Données projet'!$E$15+1,1))-AVERAGE(OFFSET($H$3,0,0,'Données projet'!$E$15+1,1))</f>
        <v>288.41846134875794</v>
      </c>
      <c r="EP168" s="59">
        <f t="shared" si="154"/>
        <v>248.93951719818972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13.339457422918576</v>
      </c>
      <c r="EW168" s="21">
        <f>EXP(-LN(2)/25)*EW167+(1-EXP(-LN(2)/25))/(LN(2)/25)*Calculateur!ER168*Calculateur!ET168*VLOOKUP('Données projet'!$B$15,Paramètres!$A$1:$I$89,3,0)*0.475*44/12</f>
        <v>0.66158471377069061</v>
      </c>
      <c r="EX168" s="21">
        <f>EXP(-LN(2)/2)*EX167+(1-EXP(-LN(2)/2))/(LN(2)/2)*ER168*EU168*VLOOKUP('Données projet'!$B$15,Paramètres!$A$1:$I$89,3,0)*0.475*44/12</f>
        <v>2.3317923522142954E-21</v>
      </c>
      <c r="EY168" s="22">
        <f t="shared" si="181"/>
        <v>14.001042136689266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789.00000000000045</v>
      </c>
      <c r="FF168" s="17">
        <f>FE168*VLOOKUP('Données projet'!$B$16,Paramètres!$A$1:$I$89,3,0)*VLOOKUP('Données projet'!$B$16,Paramètres!$A$1:$I$89,5,0)</f>
        <v>358.99500000000023</v>
      </c>
      <c r="FG168" s="13">
        <f t="shared" si="182"/>
        <v>83.411930940690553</v>
      </c>
      <c r="FH168" s="20">
        <f t="shared" si="183"/>
        <v>770.52540472170313</v>
      </c>
      <c r="FI168" s="59">
        <f t="shared" si="131"/>
        <v>1063.8587380550364</v>
      </c>
      <c r="FJ168" s="59">
        <f ca="1">AVERAGE(OFFSET($FI$3,0,0,'Données projet'!$E$16+1,1))-AVERAGE(OFFSET($H$3,0,0,'Données projet'!$E$16+1,1))</f>
        <v>367.36535411813264</v>
      </c>
      <c r="FK168" s="59">
        <f t="shared" si="156"/>
        <v>293.19545174980556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16.299222475628536</v>
      </c>
      <c r="FR168" s="21">
        <f>EXP(-LN(2)/25)*FR167+(1-EXP(-LN(2)/25))/(LN(2)/25)*Calculateur!FM168*Calculateur!FO168*VLOOKUP('Données projet'!$B$16,Paramètres!$A$1:$I$89,3,0)*0.475*44/12</f>
        <v>1.0254030386542505</v>
      </c>
      <c r="FS168" s="21">
        <f>EXP(-LN(2)/2)*FS167+(1-EXP(-LN(2)/2))/(LN(2)/2)*FM168*FP168*VLOOKUP('Données projet'!$B$16,Paramètres!$A$1:$I$89,3,0)*0.475*44/12</f>
        <v>3.4712409780127343E-21</v>
      </c>
      <c r="FT168" s="22">
        <f t="shared" si="184"/>
        <v>17.324625514282786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669.99999999999989</v>
      </c>
      <c r="GA168" s="17">
        <f>FZ168*VLOOKUP('Données projet'!$B$17,Paramètres!$A$1:$I$89,3,0)*VLOOKUP('Données projet'!$B$17,Paramètres!$A$1:$I$89,5,0)</f>
        <v>322.26999999999992</v>
      </c>
      <c r="GB168" s="13">
        <f t="shared" si="185"/>
        <v>75.825476822885776</v>
      </c>
      <c r="GC168" s="20">
        <f t="shared" si="186"/>
        <v>693.34962213319261</v>
      </c>
      <c r="GD168" s="59">
        <f t="shared" si="134"/>
        <v>986.68295546652598</v>
      </c>
      <c r="GE168" s="59">
        <f ca="1">AVERAGE(OFFSET($GD$3,0,0,'Données projet'!$E$17+1,1))-AVERAGE(OFFSET($H$3,0,0,'Données projet'!$E$17+1,1))</f>
        <v>312.64506496298173</v>
      </c>
      <c r="GF168" s="59">
        <f t="shared" si="158"/>
        <v>259.97532509897508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21.040761767168014</v>
      </c>
      <c r="GM168" s="21">
        <f>EXP(-LN(2)/25)*GM167+(1-EXP(-LN(2)/25))/(LN(2)/25)*Calculateur!GH168*Calculateur!GJ168*VLOOKUP('Données projet'!$B$17,Paramètres!$A$1:$I$89,3,0)*0.475*44/12</f>
        <v>0.46360575085264594</v>
      </c>
      <c r="GN168" s="21">
        <f>EXP(-LN(2)/2)*GN167+(1-EXP(-LN(2)/2))/(LN(2)/2)*GH168*GK168*VLOOKUP('Données projet'!$B$17,Paramètres!$A$1:$I$89,3,0)*0.475*44/12</f>
        <v>1.8451892273444738E-20</v>
      </c>
      <c r="GO168" s="21">
        <f t="shared" si="187"/>
        <v>21.504367518020661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267</v>
      </c>
      <c r="GV168" s="17">
        <f>GU168*VLOOKUP('Données projet'!$B$18,Paramètres!$A$1:$I$89,3,0)*VLOOKUP('Données projet'!$B$18,Paramètres!$A$1:$I$89,5,0)</f>
        <v>270.738</v>
      </c>
      <c r="GW168" s="13">
        <f t="shared" si="188"/>
        <v>65.005866623551711</v>
      </c>
      <c r="GX168" s="20">
        <f t="shared" si="189"/>
        <v>584.7539010360191</v>
      </c>
      <c r="GY168" s="59">
        <f t="shared" si="137"/>
        <v>878.08723436935247</v>
      </c>
      <c r="GZ168" s="59">
        <f ca="1">AVERAGE(OFFSET($GY$3,0,0,'Données projet'!$E$18+1,1))-AVERAGE(OFFSET($H$3,0,0,'Données projet'!$E$18+1,1))</f>
        <v>308.80022073574963</v>
      </c>
      <c r="HA168" s="59">
        <f t="shared" si="160"/>
        <v>183.96267407004115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31.469256326231548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31.469256326231548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344.49457749226184</v>
      </c>
      <c r="T169" s="59">
        <f t="shared" si="142"/>
        <v>207.92972431357452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208.99999999999989</v>
      </c>
      <c r="AJ169" s="13">
        <f>AI169*VLOOKUP('Données projet'!$B$10,Paramètres!$A$1:$I$89,3,0)*VLOOKUP('Données projet'!$B$10,Paramètres!$A$1:$I$89,5,0)</f>
        <v>189.1031999999999</v>
      </c>
      <c r="AK169" s="13">
        <f t="shared" si="164"/>
        <v>47.34162854278712</v>
      </c>
      <c r="AL169" s="20">
        <f t="shared" si="165"/>
        <v>411.80807637868742</v>
      </c>
      <c r="AM169" s="59">
        <f t="shared" si="113"/>
        <v>705.14140971202073</v>
      </c>
      <c r="AN169" s="59">
        <f ca="1">AVERAGE(OFFSET($AM$3,0,0,'Données projet'!$E$10+1,1))-AVERAGE(OFFSET($H$3,0,0,'Données projet'!$E$10+1,1))</f>
        <v>183.0147113277086</v>
      </c>
      <c r="AO169" s="59">
        <f t="shared" si="144"/>
        <v>76.413905647258389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20.686005172215793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20.686005172215793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253.79640000000001</v>
      </c>
      <c r="BF169" s="13">
        <f t="shared" si="167"/>
        <v>61.39816832228076</v>
      </c>
      <c r="BG169" s="20">
        <f t="shared" si="168"/>
        <v>548.96387316130563</v>
      </c>
      <c r="BH169" s="59">
        <f t="shared" si="116"/>
        <v>842.29720649463889</v>
      </c>
      <c r="BI169" s="59">
        <f ca="1">AVERAGE(OFFSET($BH$3,0,0,'Données projet'!$E$11+1,1))-AVERAGE(OFFSET($H$3,0,0,'Données projet'!$E$11+1,1))</f>
        <v>279.49721661620544</v>
      </c>
      <c r="BJ169" s="59">
        <f t="shared" si="146"/>
        <v>275.18739333988754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9.6823005931954356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9.6823005931954356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754.68411025369562</v>
      </c>
      <c r="CD169" s="59">
        <f ca="1">AVERAGE(OFFSET($CC$3,0,0,'Données projet'!$E$12+1,1))-AVERAGE(OFFSET($H$3,0,0,'Données projet'!$E$12+1,1))</f>
        <v>225.2323446080772</v>
      </c>
      <c r="CE169" s="59">
        <f t="shared" si="148"/>
        <v>222.29030402759292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7.9010295308320826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7.9010295308320826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213.00000000000003</v>
      </c>
      <c r="CU169" s="17">
        <f>CT169*VLOOKUP('Données projet'!$B$13,Paramètres!$A$1:$I$89,3,0)*VLOOKUP('Données projet'!$B$13,Paramètres!$A$1:$I$89,5,0)</f>
        <v>229.2732</v>
      </c>
      <c r="CV169" s="13">
        <f t="shared" si="173"/>
        <v>56.125501442527366</v>
      </c>
      <c r="CW169" s="20">
        <f t="shared" si="174"/>
        <v>497.06940501240177</v>
      </c>
      <c r="CX169" s="59">
        <f t="shared" si="122"/>
        <v>790.40273834573509</v>
      </c>
      <c r="CY169" s="59">
        <f ca="1">AVERAGE(OFFSET($CX$3,0,0,'Données projet'!$E$13+1,1))-AVERAGE(OFFSET($H$3,0,0,'Données projet'!$E$13+1,1))</f>
        <v>240.57184010337932</v>
      </c>
      <c r="CZ169" s="59">
        <f t="shared" si="150"/>
        <v>236.36473521227072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6.7002820113625958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6.7002820113625958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670.99999999999977</v>
      </c>
      <c r="DP169" s="17">
        <f>DO169*VLOOKUP('Données projet'!$B$14,Paramètres!$A$1:$I$89,3,0)*VLOOKUP('Données projet'!$B$14,Paramètres!$A$1:$I$89,5,0)</f>
        <v>314.02799999999991</v>
      </c>
      <c r="DQ169" s="13">
        <f t="shared" si="176"/>
        <v>74.109403804428752</v>
      </c>
      <c r="DR169" s="20">
        <f t="shared" si="177"/>
        <v>676.00597829271317</v>
      </c>
      <c r="DS169" s="59">
        <f t="shared" si="125"/>
        <v>969.33931162604654</v>
      </c>
      <c r="DT169" s="59">
        <f ca="1">AVERAGE(OFFSET($DS$3,0,0,'Données projet'!$E$14+1,1))-AVERAGE(OFFSET($H$3,0,0,'Données projet'!$E$14+1,1))</f>
        <v>304.29617570272939</v>
      </c>
      <c r="DU169" s="59">
        <f t="shared" si="152"/>
        <v>246.20695736161576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18.076463160701103</v>
      </c>
      <c r="EB169" s="21">
        <f>EXP(-LN(2)/25)*EB168+(1-EXP(-LN(2)/25))/(LN(2)/25)*Calculateur!DW169*Calculateur!DY169*VLOOKUP('Données projet'!$B$14,Paramètres!$A$1:$I$89,3,0)*0.475*44/12</f>
        <v>0.94272243546122136</v>
      </c>
      <c r="EC169" s="21">
        <f>EXP(-LN(2)/2)*EC168+(1-EXP(-LN(2)/2))/(LN(2)/2)*DW169*DZ169*VLOOKUP('Données projet'!$B$14,Paramètres!$A$1:$I$89,3,0)*0.475*44/12</f>
        <v>1.3329565355569047E-20</v>
      </c>
      <c r="ED169" s="22">
        <f t="shared" si="178"/>
        <v>19.019185596162323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477.9999999999996</v>
      </c>
      <c r="EK169" s="17">
        <f>EJ169*VLOOKUP('Données projet'!$B$15,Paramètres!$A$1:$I$89,3,0)*VLOOKUP('Données projet'!$B$15,Paramètres!$A$1:$I$89,5,0)</f>
        <v>285.84399999999977</v>
      </c>
      <c r="EL169" s="13">
        <f t="shared" si="179"/>
        <v>68.200525419065656</v>
      </c>
      <c r="EM169" s="20">
        <f t="shared" si="180"/>
        <v>616.62754843820551</v>
      </c>
      <c r="EN169" s="59">
        <f t="shared" si="128"/>
        <v>909.96088177153888</v>
      </c>
      <c r="EO169" s="59">
        <f ca="1">AVERAGE(OFFSET($EN$3,0,0,'Données projet'!$E$15+1,1))-AVERAGE(OFFSET($H$3,0,0,'Données projet'!$E$15+1,1))</f>
        <v>288.41846134875794</v>
      </c>
      <c r="EP169" s="59">
        <f t="shared" si="154"/>
        <v>248.93951719818972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13.077878799120782</v>
      </c>
      <c r="EW169" s="21">
        <f>EXP(-LN(2)/25)*EW168+(1-EXP(-LN(2)/25))/(LN(2)/25)*Calculateur!ER169*Calculateur!ET169*VLOOKUP('Données projet'!$B$15,Paramètres!$A$1:$I$89,3,0)*0.475*44/12</f>
        <v>0.64349364498140305</v>
      </c>
      <c r="EX169" s="21">
        <f>EXP(-LN(2)/2)*EX168+(1-EXP(-LN(2)/2))/(LN(2)/2)*ER169*EU169*VLOOKUP('Données projet'!$B$15,Paramètres!$A$1:$I$89,3,0)*0.475*44/12</f>
        <v>1.6488261845696589E-21</v>
      </c>
      <c r="EY169" s="22">
        <f t="shared" si="181"/>
        <v>13.721372444102185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789.00000000000045</v>
      </c>
      <c r="FF169" s="17">
        <f>FE169*VLOOKUP('Données projet'!$B$16,Paramètres!$A$1:$I$89,3,0)*VLOOKUP('Données projet'!$B$16,Paramètres!$A$1:$I$89,5,0)</f>
        <v>358.99500000000023</v>
      </c>
      <c r="FG169" s="13">
        <f t="shared" si="182"/>
        <v>83.411930940690553</v>
      </c>
      <c r="FH169" s="20">
        <f t="shared" si="183"/>
        <v>770.52540472170313</v>
      </c>
      <c r="FI169" s="59">
        <f t="shared" si="131"/>
        <v>1063.8587380550364</v>
      </c>
      <c r="FJ169" s="59">
        <f ca="1">AVERAGE(OFFSET($FI$3,0,0,'Données projet'!$E$16+1,1))-AVERAGE(OFFSET($H$3,0,0,'Données projet'!$E$16+1,1))</f>
        <v>367.36535411813264</v>
      </c>
      <c r="FK169" s="59">
        <f t="shared" si="156"/>
        <v>293.19545174980556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15.979604664425525</v>
      </c>
      <c r="FR169" s="21">
        <f>EXP(-LN(2)/25)*FR168+(1-EXP(-LN(2)/25))/(LN(2)/25)*Calculateur!FM169*Calculateur!FO169*VLOOKUP('Données projet'!$B$16,Paramètres!$A$1:$I$89,3,0)*0.475*44/12</f>
        <v>0.99736333863864779</v>
      </c>
      <c r="FS169" s="21">
        <f>EXP(-LN(2)/2)*FS168+(1-EXP(-LN(2)/2))/(LN(2)/2)*FM169*FP169*VLOOKUP('Données projet'!$B$16,Paramètres!$A$1:$I$89,3,0)*0.475*44/12</f>
        <v>2.4545380346854278E-21</v>
      </c>
      <c r="FT169" s="22">
        <f t="shared" si="184"/>
        <v>16.976968003064172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669.99999999999989</v>
      </c>
      <c r="GA169" s="17">
        <f>FZ169*VLOOKUP('Données projet'!$B$17,Paramètres!$A$1:$I$89,3,0)*VLOOKUP('Données projet'!$B$17,Paramètres!$A$1:$I$89,5,0)</f>
        <v>322.26999999999992</v>
      </c>
      <c r="GB169" s="13">
        <f t="shared" si="185"/>
        <v>75.825476822885776</v>
      </c>
      <c r="GC169" s="20">
        <f t="shared" si="186"/>
        <v>693.34962213319261</v>
      </c>
      <c r="GD169" s="59">
        <f t="shared" si="134"/>
        <v>986.68295546652598</v>
      </c>
      <c r="GE169" s="59">
        <f ca="1">AVERAGE(OFFSET($GD$3,0,0,'Données projet'!$E$17+1,1))-AVERAGE(OFFSET($H$3,0,0,'Données projet'!$E$17+1,1))</f>
        <v>312.64506496298173</v>
      </c>
      <c r="GF169" s="59">
        <f t="shared" si="158"/>
        <v>259.97532509897508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20.628165262511313</v>
      </c>
      <c r="GM169" s="21">
        <f>EXP(-LN(2)/25)*GM168+(1-EXP(-LN(2)/25))/(LN(2)/25)*Calculateur!GH169*Calculateur!GJ169*VLOOKUP('Données projet'!$B$17,Paramètres!$A$1:$I$89,3,0)*0.475*44/12</f>
        <v>0.45092842721561349</v>
      </c>
      <c r="GN169" s="21">
        <f>EXP(-LN(2)/2)*GN168+(1-EXP(-LN(2)/2))/(LN(2)/2)*GH169*GK169*VLOOKUP('Données projet'!$B$17,Paramètres!$A$1:$I$89,3,0)*0.475*44/12</f>
        <v>1.3047458152276435E-20</v>
      </c>
      <c r="GO169" s="21">
        <f t="shared" si="187"/>
        <v>21.079093689726928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267</v>
      </c>
      <c r="GV169" s="17">
        <f>GU169*VLOOKUP('Données projet'!$B$18,Paramètres!$A$1:$I$89,3,0)*VLOOKUP('Données projet'!$B$18,Paramètres!$A$1:$I$89,5,0)</f>
        <v>270.738</v>
      </c>
      <c r="GW169" s="13">
        <f t="shared" si="188"/>
        <v>65.005866623551711</v>
      </c>
      <c r="GX169" s="20">
        <f t="shared" si="189"/>
        <v>584.7539010360191</v>
      </c>
      <c r="GY169" s="59">
        <f t="shared" si="137"/>
        <v>878.08723436935247</v>
      </c>
      <c r="GZ169" s="59">
        <f ca="1">AVERAGE(OFFSET($GY$3,0,0,'Données projet'!$E$18+1,1))-AVERAGE(OFFSET($H$3,0,0,'Données projet'!$E$18+1,1))</f>
        <v>308.80022073574963</v>
      </c>
      <c r="HA169" s="59">
        <f t="shared" si="160"/>
        <v>183.96267407004115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30.852163404025223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30.852163404025223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344.49457749226184</v>
      </c>
      <c r="T170" s="59">
        <f t="shared" si="142"/>
        <v>207.92972431357452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208.99999999999989</v>
      </c>
      <c r="AJ170" s="13">
        <f>AI170*VLOOKUP('Données projet'!$B$10,Paramètres!$A$1:$I$89,3,0)*VLOOKUP('Données projet'!$B$10,Paramètres!$A$1:$I$89,5,0)</f>
        <v>189.1031999999999</v>
      </c>
      <c r="AK170" s="13">
        <f t="shared" si="164"/>
        <v>47.34162854278712</v>
      </c>
      <c r="AL170" s="20">
        <f t="shared" si="165"/>
        <v>411.80807637868742</v>
      </c>
      <c r="AM170" s="59">
        <f t="shared" si="113"/>
        <v>705.14140971202073</v>
      </c>
      <c r="AN170" s="59">
        <f ca="1">AVERAGE(OFFSET($AM$3,0,0,'Données projet'!$E$10+1,1))-AVERAGE(OFFSET($H$3,0,0,'Données projet'!$E$10+1,1))</f>
        <v>183.0147113277086</v>
      </c>
      <c r="AO170" s="59">
        <f t="shared" si="144"/>
        <v>76.413905647258389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20.280365228005952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20.280365228005952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253.79640000000001</v>
      </c>
      <c r="BF170" s="13">
        <f t="shared" si="167"/>
        <v>61.39816832228076</v>
      </c>
      <c r="BG170" s="20">
        <f t="shared" si="168"/>
        <v>548.96387316130563</v>
      </c>
      <c r="BH170" s="59">
        <f t="shared" si="116"/>
        <v>842.29720649463889</v>
      </c>
      <c r="BI170" s="59">
        <f ca="1">AVERAGE(OFFSET($BH$3,0,0,'Données projet'!$E$11+1,1))-AVERAGE(OFFSET($H$3,0,0,'Données projet'!$E$11+1,1))</f>
        <v>279.49721661620544</v>
      </c>
      <c r="BJ170" s="59">
        <f t="shared" si="146"/>
        <v>275.18739333988754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9.4924365841831033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9.4924365841831033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754.68411025369562</v>
      </c>
      <c r="CD170" s="59">
        <f ca="1">AVERAGE(OFFSET($CC$3,0,0,'Données projet'!$E$12+1,1))-AVERAGE(OFFSET($H$3,0,0,'Données projet'!$E$12+1,1))</f>
        <v>225.2323446080772</v>
      </c>
      <c r="CE170" s="59">
        <f t="shared" si="148"/>
        <v>222.29030402759292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7.7460951608846278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7.7460951608846278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213.00000000000003</v>
      </c>
      <c r="CU170" s="17">
        <f>CT170*VLOOKUP('Données projet'!$B$13,Paramètres!$A$1:$I$89,3,0)*VLOOKUP('Données projet'!$B$13,Paramètres!$A$1:$I$89,5,0)</f>
        <v>229.2732</v>
      </c>
      <c r="CV170" s="13">
        <f t="shared" si="173"/>
        <v>56.125501442527366</v>
      </c>
      <c r="CW170" s="20">
        <f t="shared" si="174"/>
        <v>497.06940501240177</v>
      </c>
      <c r="CX170" s="59">
        <f t="shared" si="122"/>
        <v>790.40273834573509</v>
      </c>
      <c r="CY170" s="59">
        <f ca="1">AVERAGE(OFFSET($CX$3,0,0,'Données projet'!$E$13+1,1))-AVERAGE(OFFSET($H$3,0,0,'Données projet'!$E$13+1,1))</f>
        <v>240.57184010337932</v>
      </c>
      <c r="CZ170" s="59">
        <f t="shared" si="150"/>
        <v>236.36473521227072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6.5688935678882672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6.5688935678882672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670.99999999999977</v>
      </c>
      <c r="DP170" s="17">
        <f>DO170*VLOOKUP('Données projet'!$B$14,Paramètres!$A$1:$I$89,3,0)*VLOOKUP('Données projet'!$B$14,Paramètres!$A$1:$I$89,5,0)</f>
        <v>314.02799999999991</v>
      </c>
      <c r="DQ170" s="13">
        <f t="shared" si="176"/>
        <v>74.109403804428752</v>
      </c>
      <c r="DR170" s="20">
        <f t="shared" si="177"/>
        <v>676.00597829271317</v>
      </c>
      <c r="DS170" s="59">
        <f t="shared" si="125"/>
        <v>969.33931162604654</v>
      </c>
      <c r="DT170" s="59">
        <f ca="1">AVERAGE(OFFSET($DS$3,0,0,'Données projet'!$E$14+1,1))-AVERAGE(OFFSET($H$3,0,0,'Données projet'!$E$14+1,1))</f>
        <v>304.29617570272939</v>
      </c>
      <c r="DU170" s="59">
        <f t="shared" si="152"/>
        <v>246.20695736161576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17.721994743673598</v>
      </c>
      <c r="EB170" s="21">
        <f>EXP(-LN(2)/25)*EB169+(1-EXP(-LN(2)/25))/(LN(2)/25)*Calculateur!DW170*Calculateur!DY170*VLOOKUP('Données projet'!$B$14,Paramètres!$A$1:$I$89,3,0)*0.475*44/12</f>
        <v>0.91694364088791602</v>
      </c>
      <c r="EC170" s="21">
        <f>EXP(-LN(2)/2)*EC169+(1-EXP(-LN(2)/2))/(LN(2)/2)*DW170*DZ170*VLOOKUP('Données projet'!$B$14,Paramètres!$A$1:$I$89,3,0)*0.475*44/12</f>
        <v>9.4254260531921474E-21</v>
      </c>
      <c r="ED170" s="22">
        <f t="shared" si="178"/>
        <v>18.638938384561513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477.9999999999996</v>
      </c>
      <c r="EK170" s="17">
        <f>EJ170*VLOOKUP('Données projet'!$B$15,Paramètres!$A$1:$I$89,3,0)*VLOOKUP('Données projet'!$B$15,Paramètres!$A$1:$I$89,5,0)</f>
        <v>285.84399999999977</v>
      </c>
      <c r="EL170" s="13">
        <f t="shared" si="179"/>
        <v>68.200525419065656</v>
      </c>
      <c r="EM170" s="20">
        <f t="shared" si="180"/>
        <v>616.62754843820551</v>
      </c>
      <c r="EN170" s="59">
        <f t="shared" si="128"/>
        <v>909.96088177153888</v>
      </c>
      <c r="EO170" s="59">
        <f ca="1">AVERAGE(OFFSET($EN$3,0,0,'Données projet'!$E$15+1,1))-AVERAGE(OFFSET($H$3,0,0,'Données projet'!$E$15+1,1))</f>
        <v>288.41846134875794</v>
      </c>
      <c r="EP170" s="59">
        <f t="shared" si="154"/>
        <v>248.93951719818972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12.821429572588455</v>
      </c>
      <c r="EW170" s="21">
        <f>EXP(-LN(2)/25)*EW169+(1-EXP(-LN(2)/25))/(LN(2)/25)*Calculateur!ER170*Calculateur!ET170*VLOOKUP('Données projet'!$B$15,Paramètres!$A$1:$I$89,3,0)*0.475*44/12</f>
        <v>0.6258972774195265</v>
      </c>
      <c r="EX170" s="21">
        <f>EXP(-LN(2)/2)*EX169+(1-EXP(-LN(2)/2))/(LN(2)/2)*ER170*EU170*VLOOKUP('Données projet'!$B$15,Paramètres!$A$1:$I$89,3,0)*0.475*44/12</f>
        <v>1.1658961761071479E-21</v>
      </c>
      <c r="EY170" s="22">
        <f t="shared" si="181"/>
        <v>13.447326850007981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789.00000000000045</v>
      </c>
      <c r="FF170" s="17">
        <f>FE170*VLOOKUP('Données projet'!$B$16,Paramètres!$A$1:$I$89,3,0)*VLOOKUP('Données projet'!$B$16,Paramètres!$A$1:$I$89,5,0)</f>
        <v>358.99500000000023</v>
      </c>
      <c r="FG170" s="13">
        <f t="shared" si="182"/>
        <v>83.411930940690553</v>
      </c>
      <c r="FH170" s="20">
        <f t="shared" si="183"/>
        <v>770.52540472170313</v>
      </c>
      <c r="FI170" s="59">
        <f t="shared" si="131"/>
        <v>1063.8587380550364</v>
      </c>
      <c r="FJ170" s="59">
        <f ca="1">AVERAGE(OFFSET($FI$3,0,0,'Données projet'!$E$16+1,1))-AVERAGE(OFFSET($H$3,0,0,'Données projet'!$E$16+1,1))</f>
        <v>367.36535411813264</v>
      </c>
      <c r="FK170" s="59">
        <f t="shared" si="156"/>
        <v>293.19545174980556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15.666254363552589</v>
      </c>
      <c r="FR170" s="21">
        <f>EXP(-LN(2)/25)*FR169+(1-EXP(-LN(2)/25))/(LN(2)/25)*Calculateur!FM170*Calculateur!FO170*VLOOKUP('Données projet'!$B$16,Paramètres!$A$1:$I$89,3,0)*0.475*44/12</f>
        <v>0.97009038569451544</v>
      </c>
      <c r="FS170" s="21">
        <f>EXP(-LN(2)/2)*FS169+(1-EXP(-LN(2)/2))/(LN(2)/2)*FM170*FP170*VLOOKUP('Données projet'!$B$16,Paramètres!$A$1:$I$89,3,0)*0.475*44/12</f>
        <v>1.7356204890063671E-21</v>
      </c>
      <c r="FT170" s="22">
        <f t="shared" si="184"/>
        <v>16.636344749247105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669.99999999999989</v>
      </c>
      <c r="GA170" s="17">
        <f>FZ170*VLOOKUP('Données projet'!$B$17,Paramètres!$A$1:$I$89,3,0)*VLOOKUP('Données projet'!$B$17,Paramètres!$A$1:$I$89,5,0)</f>
        <v>322.26999999999992</v>
      </c>
      <c r="GB170" s="13">
        <f t="shared" si="185"/>
        <v>75.825476822885776</v>
      </c>
      <c r="GC170" s="20">
        <f t="shared" si="186"/>
        <v>693.34962213319261</v>
      </c>
      <c r="GD170" s="59">
        <f t="shared" si="134"/>
        <v>986.68295546652598</v>
      </c>
      <c r="GE170" s="59">
        <f ca="1">AVERAGE(OFFSET($GD$3,0,0,'Données projet'!$E$17+1,1))-AVERAGE(OFFSET($H$3,0,0,'Données projet'!$E$17+1,1))</f>
        <v>312.64506496298173</v>
      </c>
      <c r="GF170" s="59">
        <f t="shared" si="158"/>
        <v>259.97532509897508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20.223659523651914</v>
      </c>
      <c r="GM170" s="21">
        <f>EXP(-LN(2)/25)*GM169+(1-EXP(-LN(2)/25))/(LN(2)/25)*Calculateur!GH170*Calculateur!GJ170*VLOOKUP('Données projet'!$B$17,Paramètres!$A$1:$I$89,3,0)*0.475*44/12</f>
        <v>0.43859776566010716</v>
      </c>
      <c r="GN170" s="21">
        <f>EXP(-LN(2)/2)*GN169+(1-EXP(-LN(2)/2))/(LN(2)/2)*GH170*GK170*VLOOKUP('Données projet'!$B$17,Paramètres!$A$1:$I$89,3,0)*0.475*44/12</f>
        <v>9.225946136722369E-21</v>
      </c>
      <c r="GO170" s="21">
        <f t="shared" si="187"/>
        <v>20.66225728931202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267</v>
      </c>
      <c r="GV170" s="17">
        <f>GU170*VLOOKUP('Données projet'!$B$18,Paramètres!$A$1:$I$89,3,0)*VLOOKUP('Données projet'!$B$18,Paramètres!$A$1:$I$89,5,0)</f>
        <v>270.738</v>
      </c>
      <c r="GW170" s="13">
        <f t="shared" si="188"/>
        <v>65.005866623551711</v>
      </c>
      <c r="GX170" s="20">
        <f t="shared" si="189"/>
        <v>584.7539010360191</v>
      </c>
      <c r="GY170" s="59">
        <f t="shared" si="137"/>
        <v>878.08723436935247</v>
      </c>
      <c r="GZ170" s="59">
        <f ca="1">AVERAGE(OFFSET($GY$3,0,0,'Données projet'!$E$18+1,1))-AVERAGE(OFFSET($H$3,0,0,'Données projet'!$E$18+1,1))</f>
        <v>308.80022073574963</v>
      </c>
      <c r="HA170" s="59">
        <f t="shared" si="160"/>
        <v>183.96267407004115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30.247171297633844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30.247171297633844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344.49457749226184</v>
      </c>
      <c r="T171" s="59">
        <f t="shared" si="142"/>
        <v>207.92972431357452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208.99999999999989</v>
      </c>
      <c r="AJ171" s="13">
        <f>AI171*VLOOKUP('Données projet'!$B$10,Paramètres!$A$1:$I$89,3,0)*VLOOKUP('Données projet'!$B$10,Paramètres!$A$1:$I$89,5,0)</f>
        <v>189.1031999999999</v>
      </c>
      <c r="AK171" s="13">
        <f t="shared" si="164"/>
        <v>47.34162854278712</v>
      </c>
      <c r="AL171" s="20">
        <f t="shared" si="165"/>
        <v>411.80807637868742</v>
      </c>
      <c r="AM171" s="59">
        <f t="shared" si="113"/>
        <v>705.14140971202073</v>
      </c>
      <c r="AN171" s="59">
        <f ca="1">AVERAGE(OFFSET($AM$3,0,0,'Données projet'!$E$10+1,1))-AVERAGE(OFFSET($H$3,0,0,'Données projet'!$E$10+1,1))</f>
        <v>183.0147113277086</v>
      </c>
      <c r="AO171" s="59">
        <f t="shared" si="144"/>
        <v>76.413905647258389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19.882679635686127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19.882679635686127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253.79640000000001</v>
      </c>
      <c r="BF171" s="13">
        <f t="shared" si="167"/>
        <v>61.39816832228076</v>
      </c>
      <c r="BG171" s="20">
        <f t="shared" si="168"/>
        <v>548.96387316130563</v>
      </c>
      <c r="BH171" s="59">
        <f t="shared" si="116"/>
        <v>842.29720649463889</v>
      </c>
      <c r="BI171" s="59">
        <f ca="1">AVERAGE(OFFSET($BH$3,0,0,'Données projet'!$E$11+1,1))-AVERAGE(OFFSET($H$3,0,0,'Données projet'!$E$11+1,1))</f>
        <v>279.49721661620544</v>
      </c>
      <c r="BJ171" s="59">
        <f t="shared" si="146"/>
        <v>275.18739333988754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9.3062956925818927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9.3062956925818927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754.68411025369562</v>
      </c>
      <c r="CD171" s="59">
        <f ca="1">AVERAGE(OFFSET($CC$3,0,0,'Données projet'!$E$12+1,1))-AVERAGE(OFFSET($H$3,0,0,'Données projet'!$E$12+1,1))</f>
        <v>225.2323446080772</v>
      </c>
      <c r="CE171" s="59">
        <f t="shared" si="148"/>
        <v>222.29030402759292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7.5941989594312078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7.5941989594312078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213.00000000000003</v>
      </c>
      <c r="CU171" s="17">
        <f>CT171*VLOOKUP('Données projet'!$B$13,Paramètres!$A$1:$I$89,3,0)*VLOOKUP('Données projet'!$B$13,Paramètres!$A$1:$I$89,5,0)</f>
        <v>229.2732</v>
      </c>
      <c r="CV171" s="13">
        <f t="shared" si="173"/>
        <v>56.125501442527366</v>
      </c>
      <c r="CW171" s="20">
        <f t="shared" si="174"/>
        <v>497.06940501240177</v>
      </c>
      <c r="CX171" s="59">
        <f t="shared" si="122"/>
        <v>790.40273834573509</v>
      </c>
      <c r="CY171" s="59">
        <f ca="1">AVERAGE(OFFSET($CX$3,0,0,'Données projet'!$E$13+1,1))-AVERAGE(OFFSET($H$3,0,0,'Données projet'!$E$13+1,1))</f>
        <v>240.57184010337932</v>
      </c>
      <c r="CZ171" s="59">
        <f t="shared" si="150"/>
        <v>236.36473521227072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6.440081571651433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6.440081571651433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670.99999999999977</v>
      </c>
      <c r="DP171" s="17">
        <f>DO171*VLOOKUP('Données projet'!$B$14,Paramètres!$A$1:$I$89,3,0)*VLOOKUP('Données projet'!$B$14,Paramètres!$A$1:$I$89,5,0)</f>
        <v>314.02799999999991</v>
      </c>
      <c r="DQ171" s="13">
        <f t="shared" si="176"/>
        <v>74.109403804428752</v>
      </c>
      <c r="DR171" s="20">
        <f t="shared" si="177"/>
        <v>676.00597829271317</v>
      </c>
      <c r="DS171" s="59">
        <f t="shared" si="125"/>
        <v>969.33931162604654</v>
      </c>
      <c r="DT171" s="59">
        <f ca="1">AVERAGE(OFFSET($DS$3,0,0,'Données projet'!$E$14+1,1))-AVERAGE(OFFSET($H$3,0,0,'Données projet'!$E$14+1,1))</f>
        <v>304.29617570272939</v>
      </c>
      <c r="DU171" s="59">
        <f t="shared" si="152"/>
        <v>246.20695736161576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17.374477236099619</v>
      </c>
      <c r="EB171" s="21">
        <f>EXP(-LN(2)/25)*EB170+(1-EXP(-LN(2)/25))/(LN(2)/25)*Calculateur!DW171*Calculateur!DY171*VLOOKUP('Données projet'!$B$14,Paramètres!$A$1:$I$89,3,0)*0.475*44/12</f>
        <v>0.89186976880786561</v>
      </c>
      <c r="EC171" s="21">
        <f>EXP(-LN(2)/2)*EC170+(1-EXP(-LN(2)/2))/(LN(2)/2)*DW171*DZ171*VLOOKUP('Données projet'!$B$14,Paramètres!$A$1:$I$89,3,0)*0.475*44/12</f>
        <v>6.6647826777845243E-21</v>
      </c>
      <c r="ED171" s="22">
        <f t="shared" si="178"/>
        <v>18.266347004907484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477.9999999999996</v>
      </c>
      <c r="EK171" s="17">
        <f>EJ171*VLOOKUP('Données projet'!$B$15,Paramètres!$A$1:$I$89,3,0)*VLOOKUP('Données projet'!$B$15,Paramètres!$A$1:$I$89,5,0)</f>
        <v>285.84399999999977</v>
      </c>
      <c r="EL171" s="13">
        <f t="shared" si="179"/>
        <v>68.200525419065656</v>
      </c>
      <c r="EM171" s="20">
        <f t="shared" si="180"/>
        <v>616.62754843820551</v>
      </c>
      <c r="EN171" s="59">
        <f t="shared" si="128"/>
        <v>909.96088177153888</v>
      </c>
      <c r="EO171" s="59">
        <f ca="1">AVERAGE(OFFSET($EN$3,0,0,'Données projet'!$E$15+1,1))-AVERAGE(OFFSET($H$3,0,0,'Données projet'!$E$15+1,1))</f>
        <v>288.41846134875794</v>
      </c>
      <c r="EP171" s="59">
        <f t="shared" si="154"/>
        <v>248.93951719818972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12.570009158969844</v>
      </c>
      <c r="EW171" s="21">
        <f>EXP(-LN(2)/25)*EW170+(1-EXP(-LN(2)/25))/(LN(2)/25)*Calculateur!ER171*Calculateur!ET171*VLOOKUP('Données projet'!$B$15,Paramètres!$A$1:$I$89,3,0)*0.475*44/12</f>
        <v>0.60878208345398221</v>
      </c>
      <c r="EX171" s="21">
        <f>EXP(-LN(2)/2)*EX170+(1-EXP(-LN(2)/2))/(LN(2)/2)*ER171*EU171*VLOOKUP('Données projet'!$B$15,Paramètres!$A$1:$I$89,3,0)*0.475*44/12</f>
        <v>8.2441309228482955E-22</v>
      </c>
      <c r="EY171" s="22">
        <f t="shared" si="181"/>
        <v>13.178791242423827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789.00000000000045</v>
      </c>
      <c r="FF171" s="17">
        <f>FE171*VLOOKUP('Données projet'!$B$16,Paramètres!$A$1:$I$89,3,0)*VLOOKUP('Données projet'!$B$16,Paramètres!$A$1:$I$89,5,0)</f>
        <v>358.99500000000023</v>
      </c>
      <c r="FG171" s="13">
        <f t="shared" si="182"/>
        <v>83.411930940690553</v>
      </c>
      <c r="FH171" s="20">
        <f t="shared" si="183"/>
        <v>770.52540472170313</v>
      </c>
      <c r="FI171" s="59">
        <f t="shared" si="131"/>
        <v>1063.8587380550364</v>
      </c>
      <c r="FJ171" s="59">
        <f ca="1">AVERAGE(OFFSET($FI$3,0,0,'Données projet'!$E$16+1,1))-AVERAGE(OFFSET($H$3,0,0,'Données projet'!$E$16+1,1))</f>
        <v>367.36535411813264</v>
      </c>
      <c r="FK171" s="59">
        <f t="shared" si="156"/>
        <v>293.19545174980556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15.359048670954961</v>
      </c>
      <c r="FR171" s="21">
        <f>EXP(-LN(2)/25)*FR170+(1-EXP(-LN(2)/25))/(LN(2)/25)*Calculateur!FM171*Calculateur!FO171*VLOOKUP('Données projet'!$B$16,Paramètres!$A$1:$I$89,3,0)*0.475*44/12</f>
        <v>0.94356321308286273</v>
      </c>
      <c r="FS171" s="21">
        <f>EXP(-LN(2)/2)*FS170+(1-EXP(-LN(2)/2))/(LN(2)/2)*FM171*FP171*VLOOKUP('Données projet'!$B$16,Paramètres!$A$1:$I$89,3,0)*0.475*44/12</f>
        <v>1.2272690173427139E-21</v>
      </c>
      <c r="FT171" s="22">
        <f t="shared" si="184"/>
        <v>16.302611884037823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669.99999999999989</v>
      </c>
      <c r="GA171" s="17">
        <f>FZ171*VLOOKUP('Données projet'!$B$17,Paramètres!$A$1:$I$89,3,0)*VLOOKUP('Données projet'!$B$17,Paramètres!$A$1:$I$89,5,0)</f>
        <v>322.26999999999992</v>
      </c>
      <c r="GB171" s="13">
        <f t="shared" si="185"/>
        <v>75.825476822885776</v>
      </c>
      <c r="GC171" s="20">
        <f t="shared" si="186"/>
        <v>693.34962213319261</v>
      </c>
      <c r="GD171" s="59">
        <f t="shared" si="134"/>
        <v>986.68295546652598</v>
      </c>
      <c r="GE171" s="59">
        <f ca="1">AVERAGE(OFFSET($GD$3,0,0,'Données projet'!$E$17+1,1))-AVERAGE(OFFSET($H$3,0,0,'Données projet'!$E$17+1,1))</f>
        <v>312.64506496298173</v>
      </c>
      <c r="GF171" s="59">
        <f t="shared" si="158"/>
        <v>259.97532509897508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19.827085895607407</v>
      </c>
      <c r="GM171" s="21">
        <f>EXP(-LN(2)/25)*GM170+(1-EXP(-LN(2)/25))/(LN(2)/25)*Calculateur!GH171*Calculateur!GJ171*VLOOKUP('Données projet'!$B$17,Paramètres!$A$1:$I$89,3,0)*0.475*44/12</f>
        <v>0.42660428669327749</v>
      </c>
      <c r="GN171" s="21">
        <f>EXP(-LN(2)/2)*GN170+(1-EXP(-LN(2)/2))/(LN(2)/2)*GH171*GK171*VLOOKUP('Données projet'!$B$17,Paramètres!$A$1:$I$89,3,0)*0.475*44/12</f>
        <v>6.5237290761382177E-21</v>
      </c>
      <c r="GO171" s="21">
        <f t="shared" si="187"/>
        <v>20.253690182300684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267</v>
      </c>
      <c r="GV171" s="17">
        <f>GU171*VLOOKUP('Données projet'!$B$18,Paramètres!$A$1:$I$89,3,0)*VLOOKUP('Données projet'!$B$18,Paramètres!$A$1:$I$89,5,0)</f>
        <v>270.738</v>
      </c>
      <c r="GW171" s="13">
        <f t="shared" si="188"/>
        <v>65.005866623551711</v>
      </c>
      <c r="GX171" s="20">
        <f t="shared" si="189"/>
        <v>584.7539010360191</v>
      </c>
      <c r="GY171" s="59">
        <f t="shared" si="137"/>
        <v>878.08723436935247</v>
      </c>
      <c r="GZ171" s="59">
        <f ca="1">AVERAGE(OFFSET($GY$3,0,0,'Données projet'!$E$18+1,1))-AVERAGE(OFFSET($H$3,0,0,'Données projet'!$E$18+1,1))</f>
        <v>308.80022073574963</v>
      </c>
      <c r="HA171" s="59">
        <f t="shared" si="160"/>
        <v>183.96267407004115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29.654042717440053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29.654042717440053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344.49457749226184</v>
      </c>
      <c r="T172" s="59">
        <f t="shared" si="142"/>
        <v>207.92972431357452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208.99999999999989</v>
      </c>
      <c r="AJ172" s="13">
        <f>AI172*VLOOKUP('Données projet'!$B$10,Paramètres!$A$1:$I$89,3,0)*VLOOKUP('Données projet'!$B$10,Paramètres!$A$1:$I$89,5,0)</f>
        <v>189.1031999999999</v>
      </c>
      <c r="AK172" s="13">
        <f t="shared" si="164"/>
        <v>47.34162854278712</v>
      </c>
      <c r="AL172" s="20">
        <f t="shared" si="165"/>
        <v>411.80807637868742</v>
      </c>
      <c r="AM172" s="59">
        <f t="shared" si="113"/>
        <v>705.14140971202073</v>
      </c>
      <c r="AN172" s="59">
        <f ca="1">AVERAGE(OFFSET($AM$3,0,0,'Données projet'!$E$10+1,1))-AVERAGE(OFFSET($H$3,0,0,'Données projet'!$E$10+1,1))</f>
        <v>183.0147113277086</v>
      </c>
      <c r="AO172" s="59">
        <f t="shared" si="144"/>
        <v>76.413905647258389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19.492792415267434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19.492792415267434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253.79640000000001</v>
      </c>
      <c r="BF172" s="13">
        <f t="shared" si="167"/>
        <v>61.39816832228076</v>
      </c>
      <c r="BG172" s="20">
        <f t="shared" si="168"/>
        <v>548.96387316130563</v>
      </c>
      <c r="BH172" s="59">
        <f t="shared" si="116"/>
        <v>842.29720649463889</v>
      </c>
      <c r="BI172" s="59">
        <f ca="1">AVERAGE(OFFSET($BH$3,0,0,'Données projet'!$E$11+1,1))-AVERAGE(OFFSET($H$3,0,0,'Données projet'!$E$11+1,1))</f>
        <v>279.49721661620544</v>
      </c>
      <c r="BJ172" s="59">
        <f t="shared" si="146"/>
        <v>275.18739333988754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9.1238049103302483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9.1238049103302483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754.68411025369562</v>
      </c>
      <c r="CD172" s="59">
        <f ca="1">AVERAGE(OFFSET($CC$3,0,0,'Données projet'!$E$12+1,1))-AVERAGE(OFFSET($H$3,0,0,'Données projet'!$E$12+1,1))</f>
        <v>225.2323446080772</v>
      </c>
      <c r="CE172" s="59">
        <f t="shared" si="148"/>
        <v>222.29030402759292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7.4452813498407551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7.4452813498407551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213.00000000000003</v>
      </c>
      <c r="CU172" s="17">
        <f>CT172*VLOOKUP('Données projet'!$B$13,Paramètres!$A$1:$I$89,3,0)*VLOOKUP('Données projet'!$B$13,Paramètres!$A$1:$I$89,5,0)</f>
        <v>229.2732</v>
      </c>
      <c r="CV172" s="13">
        <f t="shared" si="173"/>
        <v>56.125501442527366</v>
      </c>
      <c r="CW172" s="20">
        <f t="shared" si="174"/>
        <v>497.06940501240177</v>
      </c>
      <c r="CX172" s="59">
        <f t="shared" si="122"/>
        <v>790.40273834573509</v>
      </c>
      <c r="CY172" s="59">
        <f ca="1">AVERAGE(OFFSET($CX$3,0,0,'Données projet'!$E$13+1,1))-AVERAGE(OFFSET($H$3,0,0,'Données projet'!$E$13+1,1))</f>
        <v>240.57184010337932</v>
      </c>
      <c r="CZ172" s="59">
        <f t="shared" si="150"/>
        <v>236.36473521227072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6.3137955000932431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6.3137955000932431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670.99999999999977</v>
      </c>
      <c r="DP172" s="17">
        <f>DO172*VLOOKUP('Données projet'!$B$14,Paramètres!$A$1:$I$89,3,0)*VLOOKUP('Données projet'!$B$14,Paramètres!$A$1:$I$89,5,0)</f>
        <v>314.02799999999991</v>
      </c>
      <c r="DQ172" s="13">
        <f t="shared" si="176"/>
        <v>74.109403804428752</v>
      </c>
      <c r="DR172" s="20">
        <f t="shared" si="177"/>
        <v>676.00597829271317</v>
      </c>
      <c r="DS172" s="59">
        <f t="shared" si="125"/>
        <v>969.33931162604654</v>
      </c>
      <c r="DT172" s="59">
        <f ca="1">AVERAGE(OFFSET($DS$3,0,0,'Données projet'!$E$14+1,1))-AVERAGE(OFFSET($H$3,0,0,'Données projet'!$E$14+1,1))</f>
        <v>304.29617570272939</v>
      </c>
      <c r="DU172" s="59">
        <f t="shared" si="152"/>
        <v>246.20695736161576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17.033774334884413</v>
      </c>
      <c r="EB172" s="21">
        <f>EXP(-LN(2)/25)*EB171+(1-EXP(-LN(2)/25))/(LN(2)/25)*Calculateur!DW172*Calculateur!DY172*VLOOKUP('Données projet'!$B$14,Paramètres!$A$1:$I$89,3,0)*0.475*44/12</f>
        <v>0.86748154307842174</v>
      </c>
      <c r="EC172" s="21">
        <f>EXP(-LN(2)/2)*EC171+(1-EXP(-LN(2)/2))/(LN(2)/2)*DW172*DZ172*VLOOKUP('Données projet'!$B$14,Paramètres!$A$1:$I$89,3,0)*0.475*44/12</f>
        <v>4.7127130265960745E-21</v>
      </c>
      <c r="ED172" s="22">
        <f t="shared" si="178"/>
        <v>17.901255877962836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477.9999999999996</v>
      </c>
      <c r="EK172" s="17">
        <f>EJ172*VLOOKUP('Données projet'!$B$15,Paramètres!$A$1:$I$89,3,0)*VLOOKUP('Données projet'!$B$15,Paramètres!$A$1:$I$89,5,0)</f>
        <v>285.84399999999977</v>
      </c>
      <c r="EL172" s="13">
        <f t="shared" si="179"/>
        <v>68.200525419065656</v>
      </c>
      <c r="EM172" s="20">
        <f t="shared" si="180"/>
        <v>616.62754843820551</v>
      </c>
      <c r="EN172" s="59">
        <f t="shared" si="128"/>
        <v>909.96088177153888</v>
      </c>
      <c r="EO172" s="59">
        <f ca="1">AVERAGE(OFFSET($EN$3,0,0,'Données projet'!$E$15+1,1))-AVERAGE(OFFSET($H$3,0,0,'Données projet'!$E$15+1,1))</f>
        <v>288.41846134875794</v>
      </c>
      <c r="EP172" s="59">
        <f t="shared" si="154"/>
        <v>248.93951719818972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12.323518946310983</v>
      </c>
      <c r="EW172" s="21">
        <f>EXP(-LN(2)/25)*EW171+(1-EXP(-LN(2)/25))/(LN(2)/25)*Calculateur!ER172*Calculateur!ET172*VLOOKUP('Données projet'!$B$15,Paramètres!$A$1:$I$89,3,0)*0.475*44/12</f>
        <v>0.59213490536747471</v>
      </c>
      <c r="EX172" s="21">
        <f>EXP(-LN(2)/2)*EX171+(1-EXP(-LN(2)/2))/(LN(2)/2)*ER172*EU172*VLOOKUP('Données projet'!$B$15,Paramètres!$A$1:$I$89,3,0)*0.475*44/12</f>
        <v>5.8294808805357404E-22</v>
      </c>
      <c r="EY172" s="22">
        <f t="shared" si="181"/>
        <v>12.915653851678458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789.00000000000045</v>
      </c>
      <c r="FF172" s="17">
        <f>FE172*VLOOKUP('Données projet'!$B$16,Paramètres!$A$1:$I$89,3,0)*VLOOKUP('Données projet'!$B$16,Paramètres!$A$1:$I$89,5,0)</f>
        <v>358.99500000000023</v>
      </c>
      <c r="FG172" s="13">
        <f t="shared" si="182"/>
        <v>83.411930940690553</v>
      </c>
      <c r="FH172" s="20">
        <f t="shared" si="183"/>
        <v>770.52540472170313</v>
      </c>
      <c r="FI172" s="59">
        <f t="shared" si="131"/>
        <v>1063.8587380550364</v>
      </c>
      <c r="FJ172" s="59">
        <f ca="1">AVERAGE(OFFSET($FI$3,0,0,'Données projet'!$E$16+1,1))-AVERAGE(OFFSET($H$3,0,0,'Données projet'!$E$16+1,1))</f>
        <v>367.36535411813264</v>
      </c>
      <c r="FK172" s="59">
        <f t="shared" si="156"/>
        <v>293.19545174980556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15.057867094612201</v>
      </c>
      <c r="FR172" s="21">
        <f>EXP(-LN(2)/25)*FR171+(1-EXP(-LN(2)/25))/(LN(2)/25)*Calculateur!FM172*Calculateur!FO172*VLOOKUP('Données projet'!$B$16,Paramètres!$A$1:$I$89,3,0)*0.475*44/12</f>
        <v>0.91776142740127897</v>
      </c>
      <c r="FS172" s="21">
        <f>EXP(-LN(2)/2)*FS171+(1-EXP(-LN(2)/2))/(LN(2)/2)*FM172*FP172*VLOOKUP('Données projet'!$B$16,Paramètres!$A$1:$I$89,3,0)*0.475*44/12</f>
        <v>8.6781024450318357E-22</v>
      </c>
      <c r="FT172" s="22">
        <f t="shared" si="184"/>
        <v>15.97562852201348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669.99999999999989</v>
      </c>
      <c r="GA172" s="17">
        <f>FZ172*VLOOKUP('Données projet'!$B$17,Paramètres!$A$1:$I$89,3,0)*VLOOKUP('Données projet'!$B$17,Paramètres!$A$1:$I$89,5,0)</f>
        <v>322.26999999999992</v>
      </c>
      <c r="GB172" s="13">
        <f t="shared" si="185"/>
        <v>75.825476822885776</v>
      </c>
      <c r="GC172" s="20">
        <f t="shared" si="186"/>
        <v>693.34962213319261</v>
      </c>
      <c r="GD172" s="59">
        <f t="shared" si="134"/>
        <v>986.68295546652598</v>
      </c>
      <c r="GE172" s="59">
        <f ca="1">AVERAGE(OFFSET($GD$3,0,0,'Données projet'!$E$17+1,1))-AVERAGE(OFFSET($H$3,0,0,'Données projet'!$E$17+1,1))</f>
        <v>312.64506496298173</v>
      </c>
      <c r="GF172" s="59">
        <f t="shared" si="158"/>
        <v>259.97532509897508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19.438288834522826</v>
      </c>
      <c r="GM172" s="21">
        <f>EXP(-LN(2)/25)*GM171+(1-EXP(-LN(2)/25))/(LN(2)/25)*Calculateur!GH172*Calculateur!GJ172*VLOOKUP('Données projet'!$B$17,Paramètres!$A$1:$I$89,3,0)*0.475*44/12</f>
        <v>0.41493877003950541</v>
      </c>
      <c r="GN172" s="21">
        <f>EXP(-LN(2)/2)*GN171+(1-EXP(-LN(2)/2))/(LN(2)/2)*GH172*GK172*VLOOKUP('Données projet'!$B$17,Paramètres!$A$1:$I$89,3,0)*0.475*44/12</f>
        <v>4.6129730683611845E-21</v>
      </c>
      <c r="GO172" s="21">
        <f t="shared" si="187"/>
        <v>19.853227604562331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267</v>
      </c>
      <c r="GV172" s="17">
        <f>GU172*VLOOKUP('Données projet'!$B$18,Paramètres!$A$1:$I$89,3,0)*VLOOKUP('Données projet'!$B$18,Paramètres!$A$1:$I$89,5,0)</f>
        <v>270.738</v>
      </c>
      <c r="GW172" s="13">
        <f t="shared" si="188"/>
        <v>65.005866623551711</v>
      </c>
      <c r="GX172" s="20">
        <f t="shared" si="189"/>
        <v>584.7539010360191</v>
      </c>
      <c r="GY172" s="59">
        <f t="shared" si="137"/>
        <v>878.08723436935247</v>
      </c>
      <c r="GZ172" s="59">
        <f ca="1">AVERAGE(OFFSET($GY$3,0,0,'Données projet'!$E$18+1,1))-AVERAGE(OFFSET($H$3,0,0,'Données projet'!$E$18+1,1))</f>
        <v>308.80022073574963</v>
      </c>
      <c r="HA172" s="59">
        <f t="shared" si="160"/>
        <v>183.96267407004115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29.072545026931149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29.072545026931149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344.49457749226184</v>
      </c>
      <c r="T173" s="59">
        <f t="shared" si="142"/>
        <v>207.92972431357452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208.99999999999989</v>
      </c>
      <c r="AJ173" s="13">
        <f>AI173*VLOOKUP('Données projet'!$B$10,Paramètres!$A$1:$I$89,3,0)*VLOOKUP('Données projet'!$B$10,Paramètres!$A$1:$I$89,5,0)</f>
        <v>189.1031999999999</v>
      </c>
      <c r="AK173" s="13">
        <f t="shared" si="164"/>
        <v>47.34162854278712</v>
      </c>
      <c r="AL173" s="20">
        <f t="shared" si="165"/>
        <v>411.80807637868742</v>
      </c>
      <c r="AM173" s="59">
        <f t="shared" si="113"/>
        <v>705.14140971202073</v>
      </c>
      <c r="AN173" s="59">
        <f ca="1">AVERAGE(OFFSET($AM$3,0,0,'Données projet'!$E$10+1,1))-AVERAGE(OFFSET($H$3,0,0,'Données projet'!$E$10+1,1))</f>
        <v>183.0147113277086</v>
      </c>
      <c r="AO173" s="59">
        <f t="shared" si="144"/>
        <v>76.413905647258389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19.110550645433431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19.110550645433431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253.79640000000001</v>
      </c>
      <c r="BF173" s="13">
        <f t="shared" si="167"/>
        <v>61.39816832228076</v>
      </c>
      <c r="BG173" s="20">
        <f t="shared" si="168"/>
        <v>548.96387316130563</v>
      </c>
      <c r="BH173" s="59">
        <f t="shared" si="116"/>
        <v>842.29720649463889</v>
      </c>
      <c r="BI173" s="59">
        <f ca="1">AVERAGE(OFFSET($BH$3,0,0,'Données projet'!$E$11+1,1))-AVERAGE(OFFSET($H$3,0,0,'Données projet'!$E$11+1,1))</f>
        <v>279.49721661620544</v>
      </c>
      <c r="BJ173" s="59">
        <f t="shared" si="146"/>
        <v>275.18739333988754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8.9448926610101722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8.9448926610101722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754.68411025369562</v>
      </c>
      <c r="CD173" s="59">
        <f ca="1">AVERAGE(OFFSET($CC$3,0,0,'Données projet'!$E$12+1,1))-AVERAGE(OFFSET($H$3,0,0,'Données projet'!$E$12+1,1))</f>
        <v>225.2323446080772</v>
      </c>
      <c r="CE173" s="59">
        <f t="shared" si="148"/>
        <v>222.29030402759292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7.299283923743598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7.299283923743598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213.00000000000003</v>
      </c>
      <c r="CU173" s="17">
        <f>CT173*VLOOKUP('Données projet'!$B$13,Paramètres!$A$1:$I$89,3,0)*VLOOKUP('Données projet'!$B$13,Paramètres!$A$1:$I$89,5,0)</f>
        <v>229.2732</v>
      </c>
      <c r="CV173" s="13">
        <f t="shared" si="173"/>
        <v>56.125501442527366</v>
      </c>
      <c r="CW173" s="20">
        <f t="shared" si="174"/>
        <v>497.06940501240177</v>
      </c>
      <c r="CX173" s="59">
        <f t="shared" si="122"/>
        <v>790.40273834573509</v>
      </c>
      <c r="CY173" s="59">
        <f ca="1">AVERAGE(OFFSET($CX$3,0,0,'Données projet'!$E$13+1,1))-AVERAGE(OFFSET($H$3,0,0,'Données projet'!$E$13+1,1))</f>
        <v>240.57184010337932</v>
      </c>
      <c r="CZ173" s="59">
        <f t="shared" si="150"/>
        <v>236.36473521227072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6.1899858213714118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6.1899858213714118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670.99999999999977</v>
      </c>
      <c r="DP173" s="17">
        <f>DO173*VLOOKUP('Données projet'!$B$14,Paramètres!$A$1:$I$89,3,0)*VLOOKUP('Données projet'!$B$14,Paramètres!$A$1:$I$89,5,0)</f>
        <v>314.02799999999991</v>
      </c>
      <c r="DQ173" s="13">
        <f t="shared" si="176"/>
        <v>74.109403804428752</v>
      </c>
      <c r="DR173" s="20">
        <f t="shared" si="177"/>
        <v>676.00597829271317</v>
      </c>
      <c r="DS173" s="59">
        <f t="shared" si="125"/>
        <v>969.33931162604654</v>
      </c>
      <c r="DT173" s="59">
        <f ca="1">AVERAGE(OFFSET($DS$3,0,0,'Données projet'!$E$14+1,1))-AVERAGE(OFFSET($H$3,0,0,'Données projet'!$E$14+1,1))</f>
        <v>304.29617570272939</v>
      </c>
      <c r="DU173" s="59">
        <f t="shared" si="152"/>
        <v>246.20695736161576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16.699752409753788</v>
      </c>
      <c r="EB173" s="21">
        <f>EXP(-LN(2)/25)*EB172+(1-EXP(-LN(2)/25))/(LN(2)/25)*Calculateur!DW173*Calculateur!DY173*VLOOKUP('Données projet'!$B$14,Paramètres!$A$1:$I$89,3,0)*0.475*44/12</f>
        <v>0.84376021466407058</v>
      </c>
      <c r="EC173" s="21">
        <f>EXP(-LN(2)/2)*EC172+(1-EXP(-LN(2)/2))/(LN(2)/2)*DW173*DZ173*VLOOKUP('Données projet'!$B$14,Paramètres!$A$1:$I$89,3,0)*0.475*44/12</f>
        <v>3.3323913388922629E-21</v>
      </c>
      <c r="ED173" s="22">
        <f t="shared" si="178"/>
        <v>17.543512624417858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477.9999999999996</v>
      </c>
      <c r="EK173" s="17">
        <f>EJ173*VLOOKUP('Données projet'!$B$15,Paramètres!$A$1:$I$89,3,0)*VLOOKUP('Données projet'!$B$15,Paramètres!$A$1:$I$89,5,0)</f>
        <v>285.84399999999977</v>
      </c>
      <c r="EL173" s="13">
        <f t="shared" si="179"/>
        <v>68.200525419065656</v>
      </c>
      <c r="EM173" s="20">
        <f t="shared" si="180"/>
        <v>616.62754843820551</v>
      </c>
      <c r="EN173" s="59">
        <f t="shared" si="128"/>
        <v>909.96088177153888</v>
      </c>
      <c r="EO173" s="59">
        <f ca="1">AVERAGE(OFFSET($EN$3,0,0,'Données projet'!$E$15+1,1))-AVERAGE(OFFSET($H$3,0,0,'Données projet'!$E$15+1,1))</f>
        <v>288.41846134875794</v>
      </c>
      <c r="EP173" s="59">
        <f t="shared" si="154"/>
        <v>248.93951719818972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12.081862256378178</v>
      </c>
      <c r="EW173" s="21">
        <f>EXP(-LN(2)/25)*EW172+(1-EXP(-LN(2)/25))/(LN(2)/25)*Calculateur!ER173*Calculateur!ET173*VLOOKUP('Données projet'!$B$15,Paramètres!$A$1:$I$89,3,0)*0.475*44/12</f>
        <v>0.57594294524117973</v>
      </c>
      <c r="EX173" s="21">
        <f>EXP(-LN(2)/2)*EX172+(1-EXP(-LN(2)/2))/(LN(2)/2)*ER173*EU173*VLOOKUP('Données projet'!$B$15,Paramètres!$A$1:$I$89,3,0)*0.475*44/12</f>
        <v>4.1220654614241482E-22</v>
      </c>
      <c r="EY173" s="22">
        <f t="shared" si="181"/>
        <v>12.657805201619357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789.00000000000045</v>
      </c>
      <c r="FF173" s="17">
        <f>FE173*VLOOKUP('Données projet'!$B$16,Paramètres!$A$1:$I$89,3,0)*VLOOKUP('Données projet'!$B$16,Paramètres!$A$1:$I$89,5,0)</f>
        <v>358.99500000000023</v>
      </c>
      <c r="FG173" s="13">
        <f t="shared" si="182"/>
        <v>83.411930940690553</v>
      </c>
      <c r="FH173" s="20">
        <f t="shared" si="183"/>
        <v>770.52540472170313</v>
      </c>
      <c r="FI173" s="59">
        <f t="shared" si="131"/>
        <v>1063.8587380550364</v>
      </c>
      <c r="FJ173" s="59">
        <f ca="1">AVERAGE(OFFSET($FI$3,0,0,'Données projet'!$E$16+1,1))-AVERAGE(OFFSET($H$3,0,0,'Données projet'!$E$16+1,1))</f>
        <v>367.36535411813264</v>
      </c>
      <c r="FK173" s="59">
        <f t="shared" si="156"/>
        <v>293.19545174980556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14.7625915052789</v>
      </c>
      <c r="FR173" s="21">
        <f>EXP(-LN(2)/25)*FR172+(1-EXP(-LN(2)/25))/(LN(2)/25)*Calculateur!FM173*Calculateur!FO173*VLOOKUP('Données projet'!$B$16,Paramètres!$A$1:$I$89,3,0)*0.475*44/12</f>
        <v>0.89266519290601509</v>
      </c>
      <c r="FS173" s="21">
        <f>EXP(-LN(2)/2)*FS172+(1-EXP(-LN(2)/2))/(LN(2)/2)*FM173*FP173*VLOOKUP('Données projet'!$B$16,Paramètres!$A$1:$I$89,3,0)*0.475*44/12</f>
        <v>6.1363450867135695E-22</v>
      </c>
      <c r="FT173" s="22">
        <f t="shared" si="184"/>
        <v>15.655256698184916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669.99999999999989</v>
      </c>
      <c r="GA173" s="17">
        <f>FZ173*VLOOKUP('Données projet'!$B$17,Paramètres!$A$1:$I$89,3,0)*VLOOKUP('Données projet'!$B$17,Paramètres!$A$1:$I$89,5,0)</f>
        <v>322.26999999999992</v>
      </c>
      <c r="GB173" s="13">
        <f t="shared" si="185"/>
        <v>75.825476822885776</v>
      </c>
      <c r="GC173" s="20">
        <f t="shared" si="186"/>
        <v>693.34962213319261</v>
      </c>
      <c r="GD173" s="59">
        <f t="shared" si="134"/>
        <v>986.68295546652598</v>
      </c>
      <c r="GE173" s="59">
        <f ca="1">AVERAGE(OFFSET($GD$3,0,0,'Données projet'!$E$17+1,1))-AVERAGE(OFFSET($H$3,0,0,'Données projet'!$E$17+1,1))</f>
        <v>312.64506496298173</v>
      </c>
      <c r="GF173" s="59">
        <f t="shared" si="158"/>
        <v>259.97532509897508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19.057115846663322</v>
      </c>
      <c r="GM173" s="21">
        <f>EXP(-LN(2)/25)*GM172+(1-EXP(-LN(2)/25))/(LN(2)/25)*Calculateur!GH173*Calculateur!GJ173*VLOOKUP('Données projet'!$B$17,Paramètres!$A$1:$I$89,3,0)*0.475*44/12</f>
        <v>0.40359224755209355</v>
      </c>
      <c r="GN173" s="21">
        <f>EXP(-LN(2)/2)*GN172+(1-EXP(-LN(2)/2))/(LN(2)/2)*GH173*GK173*VLOOKUP('Données projet'!$B$17,Paramètres!$A$1:$I$89,3,0)*0.475*44/12</f>
        <v>3.2618645380691089E-21</v>
      </c>
      <c r="GO173" s="21">
        <f t="shared" si="187"/>
        <v>19.460708094215416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267</v>
      </c>
      <c r="GV173" s="17">
        <f>GU173*VLOOKUP('Données projet'!$B$18,Paramètres!$A$1:$I$89,3,0)*VLOOKUP('Données projet'!$B$18,Paramètres!$A$1:$I$89,5,0)</f>
        <v>270.738</v>
      </c>
      <c r="GW173" s="13">
        <f t="shared" si="188"/>
        <v>65.005866623551711</v>
      </c>
      <c r="GX173" s="20">
        <f t="shared" si="189"/>
        <v>584.7539010360191</v>
      </c>
      <c r="GY173" s="59">
        <f t="shared" si="137"/>
        <v>878.08723436935247</v>
      </c>
      <c r="GZ173" s="59">
        <f ca="1">AVERAGE(OFFSET($GY$3,0,0,'Données projet'!$E$18+1,1))-AVERAGE(OFFSET($H$3,0,0,'Données projet'!$E$18+1,1))</f>
        <v>308.80022073574963</v>
      </c>
      <c r="HA173" s="59">
        <f t="shared" si="160"/>
        <v>183.96267407004115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28.502450151454557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28.502450151454557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344.49457749226184</v>
      </c>
      <c r="T174" s="59">
        <f t="shared" si="142"/>
        <v>207.92972431357452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208.99999999999989</v>
      </c>
      <c r="AJ174" s="13">
        <f>AI174*VLOOKUP('Données projet'!$B$10,Paramètres!$A$1:$I$89,3,0)*VLOOKUP('Données projet'!$B$10,Paramètres!$A$1:$I$89,5,0)</f>
        <v>189.1031999999999</v>
      </c>
      <c r="AK174" s="13">
        <f t="shared" si="164"/>
        <v>47.34162854278712</v>
      </c>
      <c r="AL174" s="20">
        <f t="shared" si="165"/>
        <v>411.80807637868742</v>
      </c>
      <c r="AM174" s="59">
        <f t="shared" si="113"/>
        <v>705.14140971202073</v>
      </c>
      <c r="AN174" s="59">
        <f ca="1">AVERAGE(OFFSET($AM$3,0,0,'Données projet'!$E$10+1,1))-AVERAGE(OFFSET($H$3,0,0,'Données projet'!$E$10+1,1))</f>
        <v>183.0147113277086</v>
      </c>
      <c r="AO174" s="59">
        <f t="shared" si="144"/>
        <v>76.413905647258389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18.735804403561414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18.735804403561414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253.79640000000001</v>
      </c>
      <c r="BF174" s="13">
        <f t="shared" si="167"/>
        <v>61.39816832228076</v>
      </c>
      <c r="BG174" s="20">
        <f t="shared" si="168"/>
        <v>548.96387316130563</v>
      </c>
      <c r="BH174" s="59">
        <f t="shared" si="116"/>
        <v>842.29720649463889</v>
      </c>
      <c r="BI174" s="59">
        <f ca="1">AVERAGE(OFFSET($BH$3,0,0,'Données projet'!$E$11+1,1))-AVERAGE(OFFSET($H$3,0,0,'Données projet'!$E$11+1,1))</f>
        <v>279.49721661620544</v>
      </c>
      <c r="BJ174" s="59">
        <f t="shared" si="146"/>
        <v>275.18739333988754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8.7694887717735668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8.7694887717735668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754.68411025369562</v>
      </c>
      <c r="CD174" s="59">
        <f ca="1">AVERAGE(OFFSET($CC$3,0,0,'Données projet'!$E$12+1,1))-AVERAGE(OFFSET($H$3,0,0,'Données projet'!$E$12+1,1))</f>
        <v>225.2323446080772</v>
      </c>
      <c r="CE174" s="59">
        <f t="shared" si="148"/>
        <v>222.29030402759292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7.1561494181225687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7.1561494181225687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213.00000000000003</v>
      </c>
      <c r="CU174" s="17">
        <f>CT174*VLOOKUP('Données projet'!$B$13,Paramètres!$A$1:$I$89,3,0)*VLOOKUP('Données projet'!$B$13,Paramètres!$A$1:$I$89,5,0)</f>
        <v>229.2732</v>
      </c>
      <c r="CV174" s="13">
        <f t="shared" si="173"/>
        <v>56.125501442527366</v>
      </c>
      <c r="CW174" s="20">
        <f t="shared" si="174"/>
        <v>497.06940501240177</v>
      </c>
      <c r="CX174" s="59">
        <f t="shared" si="122"/>
        <v>790.40273834573509</v>
      </c>
      <c r="CY174" s="59">
        <f ca="1">AVERAGE(OFFSET($CX$3,0,0,'Données projet'!$E$13+1,1))-AVERAGE(OFFSET($H$3,0,0,'Données projet'!$E$13+1,1))</f>
        <v>240.57184010337932</v>
      </c>
      <c r="CZ174" s="59">
        <f t="shared" si="150"/>
        <v>236.36473521227072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6.0686039749328682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6.0686039749328682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670.99999999999977</v>
      </c>
      <c r="DP174" s="17">
        <f>DO174*VLOOKUP('Données projet'!$B$14,Paramètres!$A$1:$I$89,3,0)*VLOOKUP('Données projet'!$B$14,Paramètres!$A$1:$I$89,5,0)</f>
        <v>314.02799999999991</v>
      </c>
      <c r="DQ174" s="13">
        <f t="shared" si="176"/>
        <v>74.109403804428752</v>
      </c>
      <c r="DR174" s="20">
        <f t="shared" si="177"/>
        <v>676.00597829271317</v>
      </c>
      <c r="DS174" s="59">
        <f t="shared" si="125"/>
        <v>969.33931162604654</v>
      </c>
      <c r="DT174" s="59">
        <f ca="1">AVERAGE(OFFSET($DS$3,0,0,'Données projet'!$E$14+1,1))-AVERAGE(OFFSET($H$3,0,0,'Données projet'!$E$14+1,1))</f>
        <v>304.29617570272939</v>
      </c>
      <c r="DU174" s="59">
        <f t="shared" si="152"/>
        <v>246.20695736161576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16.372280450841718</v>
      </c>
      <c r="EB174" s="21">
        <f>EXP(-LN(2)/25)*EB173+(1-EXP(-LN(2)/25))/(LN(2)/25)*Calculateur!DW174*Calculateur!DY174*VLOOKUP('Données projet'!$B$14,Paramètres!$A$1:$I$89,3,0)*0.475*44/12</f>
        <v>0.82068754722266035</v>
      </c>
      <c r="EC174" s="21">
        <f>EXP(-LN(2)/2)*EC173+(1-EXP(-LN(2)/2))/(LN(2)/2)*DW174*DZ174*VLOOKUP('Données projet'!$B$14,Paramètres!$A$1:$I$89,3,0)*0.475*44/12</f>
        <v>2.3563565132980376E-21</v>
      </c>
      <c r="ED174" s="22">
        <f t="shared" si="178"/>
        <v>17.192967998064379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477.9999999999996</v>
      </c>
      <c r="EK174" s="17">
        <f>EJ174*VLOOKUP('Données projet'!$B$15,Paramètres!$A$1:$I$89,3,0)*VLOOKUP('Données projet'!$B$15,Paramètres!$A$1:$I$89,5,0)</f>
        <v>285.84399999999977</v>
      </c>
      <c r="EL174" s="13">
        <f t="shared" si="179"/>
        <v>68.200525419065656</v>
      </c>
      <c r="EM174" s="20">
        <f t="shared" si="180"/>
        <v>616.62754843820551</v>
      </c>
      <c r="EN174" s="59">
        <f t="shared" si="128"/>
        <v>909.96088177153888</v>
      </c>
      <c r="EO174" s="59">
        <f ca="1">AVERAGE(OFFSET($EN$3,0,0,'Données projet'!$E$15+1,1))-AVERAGE(OFFSET($H$3,0,0,'Données projet'!$E$15+1,1))</f>
        <v>288.41846134875794</v>
      </c>
      <c r="EP174" s="59">
        <f t="shared" si="154"/>
        <v>248.93951719818972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11.844944306738929</v>
      </c>
      <c r="EW174" s="21">
        <f>EXP(-LN(2)/25)*EW173+(1-EXP(-LN(2)/25))/(LN(2)/25)*Calculateur!ER174*Calculateur!ET174*VLOOKUP('Données projet'!$B$15,Paramètres!$A$1:$I$89,3,0)*0.475*44/12</f>
        <v>0.56019375511603653</v>
      </c>
      <c r="EX174" s="21">
        <f>EXP(-LN(2)/2)*EX173+(1-EXP(-LN(2)/2))/(LN(2)/2)*ER174*EU174*VLOOKUP('Données projet'!$B$15,Paramètres!$A$1:$I$89,3,0)*0.475*44/12</f>
        <v>2.9147404402678706E-22</v>
      </c>
      <c r="EY174" s="22">
        <f t="shared" si="181"/>
        <v>12.405138061854966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789.00000000000045</v>
      </c>
      <c r="FF174" s="17">
        <f>FE174*VLOOKUP('Données projet'!$B$16,Paramètres!$A$1:$I$89,3,0)*VLOOKUP('Données projet'!$B$16,Paramètres!$A$1:$I$89,5,0)</f>
        <v>358.99500000000023</v>
      </c>
      <c r="FG174" s="13">
        <f t="shared" si="182"/>
        <v>83.411930940690553</v>
      </c>
      <c r="FH174" s="20">
        <f t="shared" si="183"/>
        <v>770.52540472170313</v>
      </c>
      <c r="FI174" s="59">
        <f t="shared" si="131"/>
        <v>1063.8587380550364</v>
      </c>
      <c r="FJ174" s="59">
        <f ca="1">AVERAGE(OFFSET($FI$3,0,0,'Données projet'!$E$16+1,1))-AVERAGE(OFFSET($H$3,0,0,'Données projet'!$E$16+1,1))</f>
        <v>367.36535411813264</v>
      </c>
      <c r="FK174" s="59">
        <f t="shared" si="156"/>
        <v>293.19545174980556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14.473106090152099</v>
      </c>
      <c r="FR174" s="21">
        <f>EXP(-LN(2)/25)*FR173+(1-EXP(-LN(2)/25))/(LN(2)/25)*Calculateur!FM174*Calculateur!FO174*VLOOKUP('Données projet'!$B$16,Paramètres!$A$1:$I$89,3,0)*0.475*44/12</f>
        <v>0.8682552162627778</v>
      </c>
      <c r="FS174" s="21">
        <f>EXP(-LN(2)/2)*FS173+(1-EXP(-LN(2)/2))/(LN(2)/2)*FM174*FP174*VLOOKUP('Données projet'!$B$16,Paramètres!$A$1:$I$89,3,0)*0.475*44/12</f>
        <v>4.3390512225159178E-22</v>
      </c>
      <c r="FT174" s="22">
        <f t="shared" si="184"/>
        <v>15.341361306414877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669.99999999999989</v>
      </c>
      <c r="GA174" s="17">
        <f>FZ174*VLOOKUP('Données projet'!$B$17,Paramètres!$A$1:$I$89,3,0)*VLOOKUP('Données projet'!$B$17,Paramètres!$A$1:$I$89,5,0)</f>
        <v>322.26999999999992</v>
      </c>
      <c r="GB174" s="13">
        <f t="shared" si="185"/>
        <v>75.825476822885776</v>
      </c>
      <c r="GC174" s="20">
        <f t="shared" si="186"/>
        <v>693.34962213319261</v>
      </c>
      <c r="GD174" s="59">
        <f t="shared" si="134"/>
        <v>986.68295546652598</v>
      </c>
      <c r="GE174" s="59">
        <f ca="1">AVERAGE(OFFSET($GD$3,0,0,'Données projet'!$E$17+1,1))-AVERAGE(OFFSET($H$3,0,0,'Données projet'!$E$17+1,1))</f>
        <v>312.64506496298173</v>
      </c>
      <c r="GF174" s="59">
        <f t="shared" si="158"/>
        <v>259.97532509897508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18.683417428603178</v>
      </c>
      <c r="GM174" s="21">
        <f>EXP(-LN(2)/25)*GM173+(1-EXP(-LN(2)/25))/(LN(2)/25)*Calculateur!GH174*Calculateur!GJ174*VLOOKUP('Données projet'!$B$17,Paramètres!$A$1:$I$89,3,0)*0.475*44/12</f>
        <v>0.39255599631878768</v>
      </c>
      <c r="GN174" s="21">
        <f>EXP(-LN(2)/2)*GN173+(1-EXP(-LN(2)/2))/(LN(2)/2)*GH174*GK174*VLOOKUP('Données projet'!$B$17,Paramètres!$A$1:$I$89,3,0)*0.475*44/12</f>
        <v>2.3064865341805923E-21</v>
      </c>
      <c r="GO174" s="21">
        <f t="shared" si="187"/>
        <v>19.075973424921965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267</v>
      </c>
      <c r="GV174" s="17">
        <f>GU174*VLOOKUP('Données projet'!$B$18,Paramètres!$A$1:$I$89,3,0)*VLOOKUP('Données projet'!$B$18,Paramètres!$A$1:$I$89,5,0)</f>
        <v>270.738</v>
      </c>
      <c r="GW174" s="13">
        <f t="shared" si="188"/>
        <v>65.005866623551711</v>
      </c>
      <c r="GX174" s="20">
        <f t="shared" si="189"/>
        <v>584.7539010360191</v>
      </c>
      <c r="GY174" s="59">
        <f t="shared" si="137"/>
        <v>878.08723436935247</v>
      </c>
      <c r="GZ174" s="59">
        <f ca="1">AVERAGE(OFFSET($GY$3,0,0,'Données projet'!$E$18+1,1))-AVERAGE(OFFSET($H$3,0,0,'Données projet'!$E$18+1,1))</f>
        <v>308.80022073574963</v>
      </c>
      <c r="HA174" s="59">
        <f t="shared" si="160"/>
        <v>183.96267407004115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27.94353448876252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27.94353448876252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344.49457749226184</v>
      </c>
      <c r="T175" s="59">
        <f t="shared" si="142"/>
        <v>207.92972431357452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208.99999999999989</v>
      </c>
      <c r="AJ175" s="13">
        <f>AI175*VLOOKUP('Données projet'!$B$10,Paramètres!$A$1:$I$89,3,0)*VLOOKUP('Données projet'!$B$10,Paramètres!$A$1:$I$89,5,0)</f>
        <v>189.1031999999999</v>
      </c>
      <c r="AK175" s="13">
        <f t="shared" si="164"/>
        <v>47.34162854278712</v>
      </c>
      <c r="AL175" s="20">
        <f t="shared" si="165"/>
        <v>411.80807637868742</v>
      </c>
      <c r="AM175" s="59">
        <f t="shared" si="113"/>
        <v>705.14140971202073</v>
      </c>
      <c r="AN175" s="59">
        <f ca="1">AVERAGE(OFFSET($AM$3,0,0,'Données projet'!$E$10+1,1))-AVERAGE(OFFSET($H$3,0,0,'Données projet'!$E$10+1,1))</f>
        <v>183.0147113277086</v>
      </c>
      <c r="AO175" s="59">
        <f t="shared" si="144"/>
        <v>76.413905647258389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18.368406706919867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18.368406706919867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253.79640000000001</v>
      </c>
      <c r="BF175" s="13">
        <f t="shared" si="167"/>
        <v>61.39816832228076</v>
      </c>
      <c r="BG175" s="20">
        <f t="shared" si="168"/>
        <v>548.96387316130563</v>
      </c>
      <c r="BH175" s="59">
        <f t="shared" si="116"/>
        <v>842.29720649463889</v>
      </c>
      <c r="BI175" s="59">
        <f ca="1">AVERAGE(OFFSET($BH$3,0,0,'Données projet'!$E$11+1,1))-AVERAGE(OFFSET($H$3,0,0,'Données projet'!$E$11+1,1))</f>
        <v>279.49721661620544</v>
      </c>
      <c r="BJ175" s="59">
        <f t="shared" si="146"/>
        <v>275.18739333988754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8.5975244458190812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8.5975244458190812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754.68411025369562</v>
      </c>
      <c r="CD175" s="59">
        <f ca="1">AVERAGE(OFFSET($CC$3,0,0,'Données projet'!$E$12+1,1))-AVERAGE(OFFSET($H$3,0,0,'Données projet'!$E$12+1,1))</f>
        <v>225.2323446080772</v>
      </c>
      <c r="CE175" s="59">
        <f t="shared" si="148"/>
        <v>222.29030402759292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7.0158216928533399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7.0158216928533399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213.00000000000003</v>
      </c>
      <c r="CU175" s="17">
        <f>CT175*VLOOKUP('Données projet'!$B$13,Paramètres!$A$1:$I$89,3,0)*VLOOKUP('Données projet'!$B$13,Paramètres!$A$1:$I$89,5,0)</f>
        <v>229.2732</v>
      </c>
      <c r="CV175" s="13">
        <f t="shared" si="173"/>
        <v>56.125501442527366</v>
      </c>
      <c r="CW175" s="20">
        <f t="shared" si="174"/>
        <v>497.06940501240177</v>
      </c>
      <c r="CX175" s="59">
        <f t="shared" si="122"/>
        <v>790.40273834573509</v>
      </c>
      <c r="CY175" s="59">
        <f ca="1">AVERAGE(OFFSET($CX$3,0,0,'Données projet'!$E$13+1,1))-AVERAGE(OFFSET($H$3,0,0,'Données projet'!$E$13+1,1))</f>
        <v>240.57184010337932</v>
      </c>
      <c r="CZ175" s="59">
        <f t="shared" si="150"/>
        <v>236.36473521227072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5.9496023524673687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5.9496023524673687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670.99999999999977</v>
      </c>
      <c r="DP175" s="17">
        <f>DO175*VLOOKUP('Données projet'!$B$14,Paramètres!$A$1:$I$89,3,0)*VLOOKUP('Données projet'!$B$14,Paramètres!$A$1:$I$89,5,0)</f>
        <v>314.02799999999991</v>
      </c>
      <c r="DQ175" s="13">
        <f t="shared" si="176"/>
        <v>74.109403804428752</v>
      </c>
      <c r="DR175" s="20">
        <f t="shared" si="177"/>
        <v>676.00597829271317</v>
      </c>
      <c r="DS175" s="59">
        <f t="shared" si="125"/>
        <v>969.33931162604654</v>
      </c>
      <c r="DT175" s="59">
        <f ca="1">AVERAGE(OFFSET($DS$3,0,0,'Données projet'!$E$14+1,1))-AVERAGE(OFFSET($H$3,0,0,'Données projet'!$E$14+1,1))</f>
        <v>304.29617570272939</v>
      </c>
      <c r="DU175" s="59">
        <f t="shared" si="152"/>
        <v>246.20695736161576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16.051230017305741</v>
      </c>
      <c r="EB175" s="21">
        <f>EXP(-LN(2)/25)*EB174+(1-EXP(-LN(2)/25))/(LN(2)/25)*Calculateur!DW175*Calculateur!DY175*VLOOKUP('Données projet'!$B$14,Paramètres!$A$1:$I$89,3,0)*0.475*44/12</f>
        <v>0.79824580308577431</v>
      </c>
      <c r="EC175" s="21">
        <f>EXP(-LN(2)/2)*EC174+(1-EXP(-LN(2)/2))/(LN(2)/2)*DW175*DZ175*VLOOKUP('Données projet'!$B$14,Paramètres!$A$1:$I$89,3,0)*0.475*44/12</f>
        <v>1.6661956694461316E-21</v>
      </c>
      <c r="ED175" s="22">
        <f t="shared" si="178"/>
        <v>16.849475820391515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477.9999999999996</v>
      </c>
      <c r="EK175" s="17">
        <f>EJ175*VLOOKUP('Données projet'!$B$15,Paramètres!$A$1:$I$89,3,0)*VLOOKUP('Données projet'!$B$15,Paramètres!$A$1:$I$89,5,0)</f>
        <v>285.84399999999977</v>
      </c>
      <c r="EL175" s="13">
        <f t="shared" si="179"/>
        <v>68.200525419065656</v>
      </c>
      <c r="EM175" s="20">
        <f t="shared" si="180"/>
        <v>616.62754843820551</v>
      </c>
      <c r="EN175" s="59">
        <f t="shared" si="128"/>
        <v>909.96088177153888</v>
      </c>
      <c r="EO175" s="59">
        <f ca="1">AVERAGE(OFFSET($EN$3,0,0,'Données projet'!$E$15+1,1))-AVERAGE(OFFSET($H$3,0,0,'Données projet'!$E$15+1,1))</f>
        <v>288.41846134875794</v>
      </c>
      <c r="EP175" s="59">
        <f t="shared" si="154"/>
        <v>248.93951719818972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11.612672173586425</v>
      </c>
      <c r="EW175" s="21">
        <f>EXP(-LN(2)/25)*EW174+(1-EXP(-LN(2)/25))/(LN(2)/25)*Calculateur!ER175*Calculateur!ET175*VLOOKUP('Données projet'!$B$15,Paramètres!$A$1:$I$89,3,0)*0.475*44/12</f>
        <v>0.54487522742307926</v>
      </c>
      <c r="EX175" s="21">
        <f>EXP(-LN(2)/2)*EX174+(1-EXP(-LN(2)/2))/(LN(2)/2)*ER175*EU175*VLOOKUP('Données projet'!$B$15,Paramètres!$A$1:$I$89,3,0)*0.475*44/12</f>
        <v>2.0610327307120746E-22</v>
      </c>
      <c r="EY175" s="22">
        <f t="shared" si="181"/>
        <v>12.157547401009504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789.00000000000045</v>
      </c>
      <c r="FF175" s="17">
        <f>FE175*VLOOKUP('Données projet'!$B$16,Paramètres!$A$1:$I$89,3,0)*VLOOKUP('Données projet'!$B$16,Paramètres!$A$1:$I$89,5,0)</f>
        <v>358.99500000000023</v>
      </c>
      <c r="FG175" s="13">
        <f t="shared" si="182"/>
        <v>83.411930940690553</v>
      </c>
      <c r="FH175" s="20">
        <f t="shared" si="183"/>
        <v>770.52540472170313</v>
      </c>
      <c r="FI175" s="59">
        <f t="shared" si="131"/>
        <v>1063.8587380550364</v>
      </c>
      <c r="FJ175" s="59">
        <f ca="1">AVERAGE(OFFSET($FI$3,0,0,'Données projet'!$E$16+1,1))-AVERAGE(OFFSET($H$3,0,0,'Données projet'!$E$16+1,1))</f>
        <v>367.36535411813264</v>
      </c>
      <c r="FK175" s="59">
        <f t="shared" si="156"/>
        <v>293.19545174980556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14.189297307447266</v>
      </c>
      <c r="FR175" s="21">
        <f>EXP(-LN(2)/25)*FR174+(1-EXP(-LN(2)/25))/(LN(2)/25)*Calculateur!FM175*Calculateur!FO175*VLOOKUP('Données projet'!$B$16,Paramètres!$A$1:$I$89,3,0)*0.475*44/12</f>
        <v>0.84451273171451469</v>
      </c>
      <c r="FS175" s="21">
        <f>EXP(-LN(2)/2)*FS174+(1-EXP(-LN(2)/2))/(LN(2)/2)*FM175*FP175*VLOOKUP('Données projet'!$B$16,Paramètres!$A$1:$I$89,3,0)*0.475*44/12</f>
        <v>3.0681725433567847E-22</v>
      </c>
      <c r="FT175" s="22">
        <f t="shared" si="184"/>
        <v>15.03381003916178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669.99999999999989</v>
      </c>
      <c r="GA175" s="17">
        <f>FZ175*VLOOKUP('Données projet'!$B$17,Paramètres!$A$1:$I$89,3,0)*VLOOKUP('Données projet'!$B$17,Paramètres!$A$1:$I$89,5,0)</f>
        <v>322.26999999999992</v>
      </c>
      <c r="GB175" s="13">
        <f t="shared" si="185"/>
        <v>75.825476822885776</v>
      </c>
      <c r="GC175" s="20">
        <f t="shared" si="186"/>
        <v>693.34962213319261</v>
      </c>
      <c r="GD175" s="59">
        <f t="shared" si="134"/>
        <v>986.68295546652598</v>
      </c>
      <c r="GE175" s="59">
        <f ca="1">AVERAGE(OFFSET($GD$3,0,0,'Données projet'!$E$17+1,1))-AVERAGE(OFFSET($H$3,0,0,'Données projet'!$E$17+1,1))</f>
        <v>312.64506496298173</v>
      </c>
      <c r="GF175" s="59">
        <f t="shared" si="158"/>
        <v>259.97532509897508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18.317047008587664</v>
      </c>
      <c r="GM175" s="21">
        <f>EXP(-LN(2)/25)*GM174+(1-EXP(-LN(2)/25))/(LN(2)/25)*Calculateur!GH175*Calculateur!GJ175*VLOOKUP('Données projet'!$B$17,Paramètres!$A$1:$I$89,3,0)*0.475*44/12</f>
        <v>0.3818215319558278</v>
      </c>
      <c r="GN175" s="21">
        <f>EXP(-LN(2)/2)*GN174+(1-EXP(-LN(2)/2))/(LN(2)/2)*GH175*GK175*VLOOKUP('Données projet'!$B$17,Paramètres!$A$1:$I$89,3,0)*0.475*44/12</f>
        <v>1.6309322690345544E-21</v>
      </c>
      <c r="GO175" s="21">
        <f t="shared" si="187"/>
        <v>18.698868540543494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267</v>
      </c>
      <c r="GV175" s="17">
        <f>GU175*VLOOKUP('Données projet'!$B$18,Paramètres!$A$1:$I$89,3,0)*VLOOKUP('Données projet'!$B$18,Paramètres!$A$1:$I$89,5,0)</f>
        <v>270.738</v>
      </c>
      <c r="GW175" s="13">
        <f t="shared" si="188"/>
        <v>65.005866623551711</v>
      </c>
      <c r="GX175" s="20">
        <f t="shared" si="189"/>
        <v>584.7539010360191</v>
      </c>
      <c r="GY175" s="59">
        <f t="shared" si="137"/>
        <v>878.08723436935247</v>
      </c>
      <c r="GZ175" s="59">
        <f ca="1">AVERAGE(OFFSET($GY$3,0,0,'Données projet'!$E$18+1,1))-AVERAGE(OFFSET($H$3,0,0,'Données projet'!$E$18+1,1))</f>
        <v>308.80022073574963</v>
      </c>
      <c r="HA175" s="59">
        <f t="shared" si="160"/>
        <v>183.96267407004115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27.395578821310984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27.395578821310984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344.49457749226184</v>
      </c>
      <c r="T176" s="59">
        <f t="shared" si="142"/>
        <v>207.92972431357452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208.99999999999989</v>
      </c>
      <c r="AJ176" s="13">
        <f>AI176*VLOOKUP('Données projet'!$B$10,Paramètres!$A$1:$I$89,3,0)*VLOOKUP('Données projet'!$B$10,Paramètres!$A$1:$I$89,5,0)</f>
        <v>189.1031999999999</v>
      </c>
      <c r="AK176" s="13">
        <f t="shared" si="164"/>
        <v>47.34162854278712</v>
      </c>
      <c r="AL176" s="20">
        <f t="shared" si="165"/>
        <v>411.80807637868742</v>
      </c>
      <c r="AM176" s="59">
        <f t="shared" si="113"/>
        <v>705.14140971202073</v>
      </c>
      <c r="AN176" s="59">
        <f ca="1">AVERAGE(OFFSET($AM$3,0,0,'Données projet'!$E$10+1,1))-AVERAGE(OFFSET($H$3,0,0,'Données projet'!$E$10+1,1))</f>
        <v>183.0147113277086</v>
      </c>
      <c r="AO176" s="59">
        <f t="shared" si="144"/>
        <v>76.413905647258389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18.008213455018993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18.008213455018993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253.79640000000001</v>
      </c>
      <c r="BF176" s="13">
        <f t="shared" si="167"/>
        <v>61.39816832228076</v>
      </c>
      <c r="BG176" s="20">
        <f t="shared" si="168"/>
        <v>548.96387316130563</v>
      </c>
      <c r="BH176" s="59">
        <f t="shared" si="116"/>
        <v>842.29720649463889</v>
      </c>
      <c r="BI176" s="59">
        <f ca="1">AVERAGE(OFFSET($BH$3,0,0,'Données projet'!$E$11+1,1))-AVERAGE(OFFSET($H$3,0,0,'Données projet'!$E$11+1,1))</f>
        <v>279.49721661620544</v>
      </c>
      <c r="BJ176" s="59">
        <f t="shared" si="146"/>
        <v>275.18739333988754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8.4289322354086824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8.4289322354086824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754.68411025369562</v>
      </c>
      <c r="CD176" s="59">
        <f ca="1">AVERAGE(OFFSET($CC$3,0,0,'Données projet'!$E$12+1,1))-AVERAGE(OFFSET($H$3,0,0,'Données projet'!$E$12+1,1))</f>
        <v>225.2323446080772</v>
      </c>
      <c r="CE176" s="59">
        <f t="shared" si="148"/>
        <v>222.29030402759292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6.8782457086851796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6.8782457086851796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213.00000000000003</v>
      </c>
      <c r="CU176" s="17">
        <f>CT176*VLOOKUP('Données projet'!$B$13,Paramètres!$A$1:$I$89,3,0)*VLOOKUP('Données projet'!$B$13,Paramètres!$A$1:$I$89,5,0)</f>
        <v>229.2732</v>
      </c>
      <c r="CV176" s="13">
        <f t="shared" si="173"/>
        <v>56.125501442527366</v>
      </c>
      <c r="CW176" s="20">
        <f t="shared" si="174"/>
        <v>497.06940501240177</v>
      </c>
      <c r="CX176" s="59">
        <f t="shared" si="122"/>
        <v>790.40273834573509</v>
      </c>
      <c r="CY176" s="59">
        <f ca="1">AVERAGE(OFFSET($CX$3,0,0,'Données projet'!$E$13+1,1))-AVERAGE(OFFSET($H$3,0,0,'Données projet'!$E$13+1,1))</f>
        <v>240.57184010337932</v>
      </c>
      <c r="CZ176" s="59">
        <f t="shared" si="150"/>
        <v>236.36473521227072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5.8329342792345944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5.8329342792345944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670.99999999999977</v>
      </c>
      <c r="DP176" s="17">
        <f>DO176*VLOOKUP('Données projet'!$B$14,Paramètres!$A$1:$I$89,3,0)*VLOOKUP('Données projet'!$B$14,Paramètres!$A$1:$I$89,5,0)</f>
        <v>314.02799999999991</v>
      </c>
      <c r="DQ176" s="13">
        <f t="shared" si="176"/>
        <v>74.109403804428752</v>
      </c>
      <c r="DR176" s="20">
        <f t="shared" si="177"/>
        <v>676.00597829271317</v>
      </c>
      <c r="DS176" s="59">
        <f t="shared" si="125"/>
        <v>969.33931162604654</v>
      </c>
      <c r="DT176" s="59">
        <f ca="1">AVERAGE(OFFSET($DS$3,0,0,'Données projet'!$E$14+1,1))-AVERAGE(OFFSET($H$3,0,0,'Données projet'!$E$14+1,1))</f>
        <v>304.29617570272939</v>
      </c>
      <c r="DU176" s="59">
        <f t="shared" si="152"/>
        <v>246.20695736161576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15.736475186949976</v>
      </c>
      <c r="EB176" s="21">
        <f>EXP(-LN(2)/25)*EB175+(1-EXP(-LN(2)/25))/(LN(2)/25)*Calculateur!DW176*Calculateur!DY176*VLOOKUP('Données projet'!$B$14,Paramètres!$A$1:$I$89,3,0)*0.475*44/12</f>
        <v>0.77641772962247146</v>
      </c>
      <c r="EC176" s="21">
        <f>EXP(-LN(2)/2)*EC175+(1-EXP(-LN(2)/2))/(LN(2)/2)*DW176*DZ176*VLOOKUP('Données projet'!$B$14,Paramètres!$A$1:$I$89,3,0)*0.475*44/12</f>
        <v>1.178178256649019E-21</v>
      </c>
      <c r="ED176" s="22">
        <f t="shared" si="178"/>
        <v>16.512892916572447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477.9999999999996</v>
      </c>
      <c r="EK176" s="17">
        <f>EJ176*VLOOKUP('Données projet'!$B$15,Paramètres!$A$1:$I$89,3,0)*VLOOKUP('Données projet'!$B$15,Paramètres!$A$1:$I$89,5,0)</f>
        <v>285.84399999999977</v>
      </c>
      <c r="EL176" s="13">
        <f t="shared" si="179"/>
        <v>68.200525419065656</v>
      </c>
      <c r="EM176" s="20">
        <f t="shared" si="180"/>
        <v>616.62754843820551</v>
      </c>
      <c r="EN176" s="59">
        <f t="shared" si="128"/>
        <v>909.96088177153888</v>
      </c>
      <c r="EO176" s="59">
        <f ca="1">AVERAGE(OFFSET($EN$3,0,0,'Données projet'!$E$15+1,1))-AVERAGE(OFFSET($H$3,0,0,'Données projet'!$E$15+1,1))</f>
        <v>288.41846134875794</v>
      </c>
      <c r="EP176" s="59">
        <f t="shared" si="154"/>
        <v>248.93951719818972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11.38495475529303</v>
      </c>
      <c r="EW176" s="21">
        <f>EXP(-LN(2)/25)*EW175+(1-EXP(-LN(2)/25))/(LN(2)/25)*Calculateur!ER176*Calculateur!ET176*VLOOKUP('Données projet'!$B$15,Paramètres!$A$1:$I$89,3,0)*0.475*44/12</f>
        <v>0.52997558567545222</v>
      </c>
      <c r="EX176" s="21">
        <f>EXP(-LN(2)/2)*EX175+(1-EXP(-LN(2)/2))/(LN(2)/2)*ER176*EU176*VLOOKUP('Données projet'!$B$15,Paramètres!$A$1:$I$89,3,0)*0.475*44/12</f>
        <v>1.4573702201339356E-22</v>
      </c>
      <c r="EY176" s="22">
        <f t="shared" si="181"/>
        <v>11.914930340968482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789.00000000000045</v>
      </c>
      <c r="FF176" s="17">
        <f>FE176*VLOOKUP('Données projet'!$B$16,Paramètres!$A$1:$I$89,3,0)*VLOOKUP('Données projet'!$B$16,Paramètres!$A$1:$I$89,5,0)</f>
        <v>358.99500000000023</v>
      </c>
      <c r="FG176" s="13">
        <f t="shared" si="182"/>
        <v>83.411930940690553</v>
      </c>
      <c r="FH176" s="20">
        <f t="shared" si="183"/>
        <v>770.52540472170313</v>
      </c>
      <c r="FI176" s="59">
        <f t="shared" si="131"/>
        <v>1063.8587380550364</v>
      </c>
      <c r="FJ176" s="59">
        <f ca="1">AVERAGE(OFFSET($FI$3,0,0,'Données projet'!$E$16+1,1))-AVERAGE(OFFSET($H$3,0,0,'Données projet'!$E$16+1,1))</f>
        <v>367.36535411813264</v>
      </c>
      <c r="FK176" s="59">
        <f t="shared" si="156"/>
        <v>293.19545174980556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13.91105384186501</v>
      </c>
      <c r="FR176" s="21">
        <f>EXP(-LN(2)/25)*FR175+(1-EXP(-LN(2)/25))/(LN(2)/25)*Calculateur!FM176*Calculateur!FO176*VLOOKUP('Données projet'!$B$16,Paramètres!$A$1:$I$89,3,0)*0.475*44/12</f>
        <v>0.82141948665478692</v>
      </c>
      <c r="FS176" s="21">
        <f>EXP(-LN(2)/2)*FS175+(1-EXP(-LN(2)/2))/(LN(2)/2)*FM176*FP176*VLOOKUP('Données projet'!$B$16,Paramètres!$A$1:$I$89,3,0)*0.475*44/12</f>
        <v>2.1695256112579589E-22</v>
      </c>
      <c r="FT176" s="22">
        <f t="shared" si="184"/>
        <v>14.732473328519797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669.99999999999989</v>
      </c>
      <c r="GA176" s="17">
        <f>FZ176*VLOOKUP('Données projet'!$B$17,Paramètres!$A$1:$I$89,3,0)*VLOOKUP('Données projet'!$B$17,Paramètres!$A$1:$I$89,5,0)</f>
        <v>322.26999999999992</v>
      </c>
      <c r="GB176" s="13">
        <f t="shared" si="185"/>
        <v>75.825476822885776</v>
      </c>
      <c r="GC176" s="20">
        <f t="shared" si="186"/>
        <v>693.34962213319261</v>
      </c>
      <c r="GD176" s="59">
        <f t="shared" si="134"/>
        <v>986.68295546652598</v>
      </c>
      <c r="GE176" s="59">
        <f ca="1">AVERAGE(OFFSET($GD$3,0,0,'Données projet'!$E$17+1,1))-AVERAGE(OFFSET($H$3,0,0,'Données projet'!$E$17+1,1))</f>
        <v>312.64506496298173</v>
      </c>
      <c r="GF176" s="59">
        <f t="shared" si="158"/>
        <v>259.97532509897508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17.957860889044763</v>
      </c>
      <c r="GM176" s="21">
        <f>EXP(-LN(2)/25)*GM175+(1-EXP(-LN(2)/25))/(LN(2)/25)*Calculateur!GH176*Calculateur!GJ176*VLOOKUP('Données projet'!$B$17,Paramètres!$A$1:$I$89,3,0)*0.475*44/12</f>
        <v>0.37138060208537399</v>
      </c>
      <c r="GN176" s="21">
        <f>EXP(-LN(2)/2)*GN175+(1-EXP(-LN(2)/2))/(LN(2)/2)*GH176*GK176*VLOOKUP('Données projet'!$B$17,Paramètres!$A$1:$I$89,3,0)*0.475*44/12</f>
        <v>1.1532432670902961E-21</v>
      </c>
      <c r="GO176" s="21">
        <f t="shared" si="187"/>
        <v>18.329241491130137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267</v>
      </c>
      <c r="GV176" s="17">
        <f>GU176*VLOOKUP('Données projet'!$B$18,Paramètres!$A$1:$I$89,3,0)*VLOOKUP('Données projet'!$B$18,Paramètres!$A$1:$I$89,5,0)</f>
        <v>270.738</v>
      </c>
      <c r="GW176" s="13">
        <f t="shared" si="188"/>
        <v>65.005866623551711</v>
      </c>
      <c r="GX176" s="20">
        <f t="shared" si="189"/>
        <v>584.7539010360191</v>
      </c>
      <c r="GY176" s="59">
        <f t="shared" si="137"/>
        <v>878.08723436935247</v>
      </c>
      <c r="GZ176" s="59">
        <f ca="1">AVERAGE(OFFSET($GY$3,0,0,'Données projet'!$E$18+1,1))-AVERAGE(OFFSET($H$3,0,0,'Données projet'!$E$18+1,1))</f>
        <v>308.80022073574963</v>
      </c>
      <c r="HA176" s="59">
        <f t="shared" si="160"/>
        <v>183.96267407004115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26.858368230278217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26.858368230278217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344.49457749226184</v>
      </c>
      <c r="T177" s="59">
        <f t="shared" si="142"/>
        <v>207.92972431357452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208.99999999999989</v>
      </c>
      <c r="AJ177" s="13">
        <f>AI177*VLOOKUP('Données projet'!$B$10,Paramètres!$A$1:$I$89,3,0)*VLOOKUP('Données projet'!$B$10,Paramètres!$A$1:$I$89,5,0)</f>
        <v>189.1031999999999</v>
      </c>
      <c r="AK177" s="13">
        <f t="shared" si="164"/>
        <v>47.34162854278712</v>
      </c>
      <c r="AL177" s="20">
        <f t="shared" si="165"/>
        <v>411.80807637868742</v>
      </c>
      <c r="AM177" s="59">
        <f t="shared" si="113"/>
        <v>705.14140971202073</v>
      </c>
      <c r="AN177" s="59">
        <f ca="1">AVERAGE(OFFSET($AM$3,0,0,'Données projet'!$E$10+1,1))-AVERAGE(OFFSET($H$3,0,0,'Données projet'!$E$10+1,1))</f>
        <v>183.0147113277086</v>
      </c>
      <c r="AO177" s="59">
        <f t="shared" si="144"/>
        <v>76.413905647258389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17.655083373091706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17.655083373091706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253.79640000000001</v>
      </c>
      <c r="BF177" s="13">
        <f t="shared" si="167"/>
        <v>61.39816832228076</v>
      </c>
      <c r="BG177" s="20">
        <f t="shared" si="168"/>
        <v>548.96387316130563</v>
      </c>
      <c r="BH177" s="59">
        <f t="shared" si="116"/>
        <v>842.29720649463889</v>
      </c>
      <c r="BI177" s="59">
        <f ca="1">AVERAGE(OFFSET($BH$3,0,0,'Données projet'!$E$11+1,1))-AVERAGE(OFFSET($H$3,0,0,'Données projet'!$E$11+1,1))</f>
        <v>279.49721661620544</v>
      </c>
      <c r="BJ177" s="59">
        <f t="shared" si="146"/>
        <v>275.18739333988754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8.263646015413336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8.263646015413336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754.68411025369562</v>
      </c>
      <c r="CD177" s="59">
        <f ca="1">AVERAGE(OFFSET($CC$3,0,0,'Données projet'!$E$12+1,1))-AVERAGE(OFFSET($H$3,0,0,'Données projet'!$E$12+1,1))</f>
        <v>225.2323446080772</v>
      </c>
      <c r="CE177" s="59">
        <f t="shared" si="148"/>
        <v>222.29030402759292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6.7433675056534925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6.7433675056534925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213.00000000000003</v>
      </c>
      <c r="CU177" s="17">
        <f>CT177*VLOOKUP('Données projet'!$B$13,Paramètres!$A$1:$I$89,3,0)*VLOOKUP('Données projet'!$B$13,Paramètres!$A$1:$I$89,5,0)</f>
        <v>229.2732</v>
      </c>
      <c r="CV177" s="13">
        <f t="shared" si="173"/>
        <v>56.125501442527366</v>
      </c>
      <c r="CW177" s="20">
        <f t="shared" si="174"/>
        <v>497.06940501240177</v>
      </c>
      <c r="CX177" s="59">
        <f t="shared" si="122"/>
        <v>790.40273834573509</v>
      </c>
      <c r="CY177" s="59">
        <f ca="1">AVERAGE(OFFSET($CX$3,0,0,'Données projet'!$E$13+1,1))-AVERAGE(OFFSET($H$3,0,0,'Données projet'!$E$13+1,1))</f>
        <v>240.57184010337932</v>
      </c>
      <c r="CZ177" s="59">
        <f t="shared" si="150"/>
        <v>236.36473521227072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5.718553995757417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5.718553995757417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670.99999999999977</v>
      </c>
      <c r="DP177" s="17">
        <f>DO177*VLOOKUP('Données projet'!$B$14,Paramètres!$A$1:$I$89,3,0)*VLOOKUP('Données projet'!$B$14,Paramètres!$A$1:$I$89,5,0)</f>
        <v>314.02799999999991</v>
      </c>
      <c r="DQ177" s="13">
        <f t="shared" si="176"/>
        <v>74.109403804428752</v>
      </c>
      <c r="DR177" s="20">
        <f t="shared" si="177"/>
        <v>676.00597829271317</v>
      </c>
      <c r="DS177" s="59">
        <f t="shared" si="125"/>
        <v>969.33931162604654</v>
      </c>
      <c r="DT177" s="59">
        <f ca="1">AVERAGE(OFFSET($DS$3,0,0,'Données projet'!$E$14+1,1))-AVERAGE(OFFSET($H$3,0,0,'Données projet'!$E$14+1,1))</f>
        <v>304.29617570272939</v>
      </c>
      <c r="DU177" s="59">
        <f t="shared" si="152"/>
        <v>246.20695736161576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15.427892506835997</v>
      </c>
      <c r="EB177" s="21">
        <f>EXP(-LN(2)/25)*EB176+(1-EXP(-LN(2)/25))/(LN(2)/25)*Calculateur!DW177*Calculateur!DY177*VLOOKUP('Données projet'!$B$14,Paramètres!$A$1:$I$89,3,0)*0.475*44/12</f>
        <v>0.75518654597591106</v>
      </c>
      <c r="EC177" s="21">
        <f>EXP(-LN(2)/2)*EC176+(1-EXP(-LN(2)/2))/(LN(2)/2)*DW177*DZ177*VLOOKUP('Données projet'!$B$14,Paramètres!$A$1:$I$89,3,0)*0.475*44/12</f>
        <v>8.3309783472306591E-22</v>
      </c>
      <c r="ED177" s="22">
        <f t="shared" si="178"/>
        <v>16.183079052811909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477.9999999999996</v>
      </c>
      <c r="EK177" s="17">
        <f>EJ177*VLOOKUP('Données projet'!$B$15,Paramètres!$A$1:$I$89,3,0)*VLOOKUP('Données projet'!$B$15,Paramètres!$A$1:$I$89,5,0)</f>
        <v>285.84399999999977</v>
      </c>
      <c r="EL177" s="13">
        <f t="shared" si="179"/>
        <v>68.200525419065656</v>
      </c>
      <c r="EM177" s="20">
        <f t="shared" si="180"/>
        <v>616.62754843820551</v>
      </c>
      <c r="EN177" s="59">
        <f t="shared" si="128"/>
        <v>909.96088177153888</v>
      </c>
      <c r="EO177" s="59">
        <f ca="1">AVERAGE(OFFSET($EN$3,0,0,'Données projet'!$E$15+1,1))-AVERAGE(OFFSET($H$3,0,0,'Données projet'!$E$15+1,1))</f>
        <v>288.41846134875794</v>
      </c>
      <c r="EP177" s="59">
        <f t="shared" si="154"/>
        <v>248.93951719818972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11.161702736678459</v>
      </c>
      <c r="EW177" s="21">
        <f>EXP(-LN(2)/25)*EW176+(1-EXP(-LN(2)/25))/(LN(2)/25)*Calculateur!ER177*Calculateur!ET177*VLOOKUP('Données projet'!$B$15,Paramètres!$A$1:$I$89,3,0)*0.475*44/12</f>
        <v>0.51548337541495215</v>
      </c>
      <c r="EX177" s="21">
        <f>EXP(-LN(2)/2)*EX176+(1-EXP(-LN(2)/2))/(LN(2)/2)*ER177*EU177*VLOOKUP('Données projet'!$B$15,Paramètres!$A$1:$I$89,3,0)*0.475*44/12</f>
        <v>1.0305163653560374E-22</v>
      </c>
      <c r="EY177" s="22">
        <f t="shared" si="181"/>
        <v>11.677186112093411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789.00000000000045</v>
      </c>
      <c r="FF177" s="17">
        <f>FE177*VLOOKUP('Données projet'!$B$16,Paramètres!$A$1:$I$89,3,0)*VLOOKUP('Données projet'!$B$16,Paramètres!$A$1:$I$89,5,0)</f>
        <v>358.99500000000023</v>
      </c>
      <c r="FG177" s="13">
        <f t="shared" si="182"/>
        <v>83.411930940690553</v>
      </c>
      <c r="FH177" s="20">
        <f t="shared" si="183"/>
        <v>770.52540472170313</v>
      </c>
      <c r="FI177" s="59">
        <f t="shared" si="131"/>
        <v>1063.8587380550364</v>
      </c>
      <c r="FJ177" s="59">
        <f ca="1">AVERAGE(OFFSET($FI$3,0,0,'Données projet'!$E$16+1,1))-AVERAGE(OFFSET($H$3,0,0,'Données projet'!$E$16+1,1))</f>
        <v>367.36535411813264</v>
      </c>
      <c r="FK177" s="59">
        <f t="shared" si="156"/>
        <v>293.19545174980556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13.638266560931067</v>
      </c>
      <c r="FR177" s="21">
        <f>EXP(-LN(2)/25)*FR176+(1-EXP(-LN(2)/25))/(LN(2)/25)*Calculateur!FM177*Calculateur!FO177*VLOOKUP('Données projet'!$B$16,Paramètres!$A$1:$I$89,3,0)*0.475*44/12</f>
        <v>0.79895772759563832</v>
      </c>
      <c r="FS177" s="21">
        <f>EXP(-LN(2)/2)*FS176+(1-EXP(-LN(2)/2))/(LN(2)/2)*FM177*FP177*VLOOKUP('Données projet'!$B$16,Paramètres!$A$1:$I$89,3,0)*0.475*44/12</f>
        <v>1.5340862716783924E-22</v>
      </c>
      <c r="FT177" s="22">
        <f t="shared" si="184"/>
        <v>14.437224288526705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669.99999999999989</v>
      </c>
      <c r="GA177" s="17">
        <f>FZ177*VLOOKUP('Données projet'!$B$17,Paramètres!$A$1:$I$89,3,0)*VLOOKUP('Données projet'!$B$17,Paramètres!$A$1:$I$89,5,0)</f>
        <v>322.26999999999992</v>
      </c>
      <c r="GB177" s="13">
        <f t="shared" si="185"/>
        <v>75.825476822885776</v>
      </c>
      <c r="GC177" s="20">
        <f t="shared" si="186"/>
        <v>693.34962213319261</v>
      </c>
      <c r="GD177" s="59">
        <f t="shared" si="134"/>
        <v>986.68295546652598</v>
      </c>
      <c r="GE177" s="59">
        <f ca="1">AVERAGE(OFFSET($GD$3,0,0,'Données projet'!$E$17+1,1))-AVERAGE(OFFSET($H$3,0,0,'Données projet'!$E$17+1,1))</f>
        <v>312.64506496298173</v>
      </c>
      <c r="GF177" s="59">
        <f t="shared" si="158"/>
        <v>259.97532509897508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17.605718190224199</v>
      </c>
      <c r="GM177" s="21">
        <f>EXP(-LN(2)/25)*GM176+(1-EXP(-LN(2)/25))/(LN(2)/25)*Calculateur!GH177*Calculateur!GJ177*VLOOKUP('Données projet'!$B$17,Paramètres!$A$1:$I$89,3,0)*0.475*44/12</f>
        <v>0.36122517999129239</v>
      </c>
      <c r="GN177" s="21">
        <f>EXP(-LN(2)/2)*GN176+(1-EXP(-LN(2)/2))/(LN(2)/2)*GH177*GK177*VLOOKUP('Données projet'!$B$17,Paramètres!$A$1:$I$89,3,0)*0.475*44/12</f>
        <v>8.1546613451727722E-22</v>
      </c>
      <c r="GO177" s="21">
        <f t="shared" si="187"/>
        <v>17.966943370215493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267</v>
      </c>
      <c r="GV177" s="17">
        <f>GU177*VLOOKUP('Données projet'!$B$18,Paramètres!$A$1:$I$89,3,0)*VLOOKUP('Données projet'!$B$18,Paramètres!$A$1:$I$89,5,0)</f>
        <v>270.738</v>
      </c>
      <c r="GW177" s="13">
        <f t="shared" si="188"/>
        <v>65.005866623551711</v>
      </c>
      <c r="GX177" s="20">
        <f t="shared" si="189"/>
        <v>584.7539010360191</v>
      </c>
      <c r="GY177" s="59">
        <f t="shared" si="137"/>
        <v>878.08723436935247</v>
      </c>
      <c r="GZ177" s="59">
        <f ca="1">AVERAGE(OFFSET($GY$3,0,0,'Données projet'!$E$18+1,1))-AVERAGE(OFFSET($H$3,0,0,'Données projet'!$E$18+1,1))</f>
        <v>308.80022073574963</v>
      </c>
      <c r="HA177" s="59">
        <f t="shared" si="160"/>
        <v>183.96267407004115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26.331692011269496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26.331692011269496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344.49457749226184</v>
      </c>
      <c r="T178" s="59">
        <f t="shared" si="142"/>
        <v>207.92972431357452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208.99999999999989</v>
      </c>
      <c r="AJ178" s="13">
        <f>AI178*VLOOKUP('Données projet'!$B$10,Paramètres!$A$1:$I$89,3,0)*VLOOKUP('Données projet'!$B$10,Paramètres!$A$1:$I$89,5,0)</f>
        <v>189.1031999999999</v>
      </c>
      <c r="AK178" s="13">
        <f t="shared" si="164"/>
        <v>47.34162854278712</v>
      </c>
      <c r="AL178" s="20">
        <f t="shared" si="165"/>
        <v>411.80807637868742</v>
      </c>
      <c r="AM178" s="59">
        <f t="shared" si="113"/>
        <v>705.14140971202073</v>
      </c>
      <c r="AN178" s="59">
        <f ca="1">AVERAGE(OFFSET($AM$3,0,0,'Données projet'!$E$10+1,1))-AVERAGE(OFFSET($H$3,0,0,'Données projet'!$E$10+1,1))</f>
        <v>183.0147113277086</v>
      </c>
      <c r="AO178" s="59">
        <f t="shared" si="144"/>
        <v>76.413905647258389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17.308877956682931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17.308877956682931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253.79640000000001</v>
      </c>
      <c r="BF178" s="13">
        <f t="shared" si="167"/>
        <v>61.39816832228076</v>
      </c>
      <c r="BG178" s="20">
        <f t="shared" si="168"/>
        <v>548.96387316130563</v>
      </c>
      <c r="BH178" s="59">
        <f t="shared" si="116"/>
        <v>842.29720649463889</v>
      </c>
      <c r="BI178" s="59">
        <f ca="1">AVERAGE(OFFSET($BH$3,0,0,'Données projet'!$E$11+1,1))-AVERAGE(OFFSET($H$3,0,0,'Données projet'!$E$11+1,1))</f>
        <v>279.49721661620544</v>
      </c>
      <c r="BJ178" s="59">
        <f t="shared" si="146"/>
        <v>275.18739333988754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8.1016009573774586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8.1016009573774586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754.68411025369562</v>
      </c>
      <c r="CD178" s="59">
        <f ca="1">AVERAGE(OFFSET($CC$3,0,0,'Données projet'!$E$12+1,1))-AVERAGE(OFFSET($H$3,0,0,'Données projet'!$E$12+1,1))</f>
        <v>225.2323446080772</v>
      </c>
      <c r="CE178" s="59">
        <f t="shared" si="148"/>
        <v>222.29030402759292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6.6111341819156761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6.6111341819156761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213.00000000000003</v>
      </c>
      <c r="CU178" s="17">
        <f>CT178*VLOOKUP('Données projet'!$B$13,Paramètres!$A$1:$I$89,3,0)*VLOOKUP('Données projet'!$B$13,Paramètres!$A$1:$I$89,5,0)</f>
        <v>229.2732</v>
      </c>
      <c r="CV178" s="13">
        <f t="shared" si="173"/>
        <v>56.125501442527366</v>
      </c>
      <c r="CW178" s="20">
        <f t="shared" si="174"/>
        <v>497.06940501240177</v>
      </c>
      <c r="CX178" s="59">
        <f t="shared" si="122"/>
        <v>790.40273834573509</v>
      </c>
      <c r="CY178" s="59">
        <f ca="1">AVERAGE(OFFSET($CX$3,0,0,'Données projet'!$E$13+1,1))-AVERAGE(OFFSET($H$3,0,0,'Données projet'!$E$13+1,1))</f>
        <v>240.57184010337932</v>
      </c>
      <c r="CZ178" s="59">
        <f t="shared" si="150"/>
        <v>236.36473521227072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5.6064166398741424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5.6064166398741424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670.99999999999977</v>
      </c>
      <c r="DP178" s="17">
        <f>DO178*VLOOKUP('Données projet'!$B$14,Paramètres!$A$1:$I$89,3,0)*VLOOKUP('Données projet'!$B$14,Paramètres!$A$1:$I$89,5,0)</f>
        <v>314.02799999999991</v>
      </c>
      <c r="DQ178" s="13">
        <f t="shared" si="176"/>
        <v>74.109403804428752</v>
      </c>
      <c r="DR178" s="20">
        <f t="shared" si="177"/>
        <v>676.00597829271317</v>
      </c>
      <c r="DS178" s="59">
        <f t="shared" si="125"/>
        <v>969.33931162604654</v>
      </c>
      <c r="DT178" s="59">
        <f ca="1">AVERAGE(OFFSET($DS$3,0,0,'Données projet'!$E$14+1,1))-AVERAGE(OFFSET($H$3,0,0,'Données projet'!$E$14+1,1))</f>
        <v>304.29617570272939</v>
      </c>
      <c r="DU178" s="59">
        <f t="shared" si="152"/>
        <v>246.20695736161576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15.125360944862203</v>
      </c>
      <c r="EB178" s="21">
        <f>EXP(-LN(2)/25)*EB177+(1-EXP(-LN(2)/25))/(LN(2)/25)*Calculateur!DW178*Calculateur!DY178*VLOOKUP('Données projet'!$B$14,Paramètres!$A$1:$I$89,3,0)*0.475*44/12</f>
        <v>0.73453593016266527</v>
      </c>
      <c r="EC178" s="21">
        <f>EXP(-LN(2)/2)*EC177+(1-EXP(-LN(2)/2))/(LN(2)/2)*DW178*DZ178*VLOOKUP('Données projet'!$B$14,Paramètres!$A$1:$I$89,3,0)*0.475*44/12</f>
        <v>5.8908912832450959E-22</v>
      </c>
      <c r="ED178" s="22">
        <f t="shared" si="178"/>
        <v>15.859896875024869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477.9999999999996</v>
      </c>
      <c r="EK178" s="17">
        <f>EJ178*VLOOKUP('Données projet'!$B$15,Paramètres!$A$1:$I$89,3,0)*VLOOKUP('Données projet'!$B$15,Paramètres!$A$1:$I$89,5,0)</f>
        <v>285.84399999999977</v>
      </c>
      <c r="EL178" s="13">
        <f t="shared" si="179"/>
        <v>68.200525419065656</v>
      </c>
      <c r="EM178" s="20">
        <f t="shared" si="180"/>
        <v>616.62754843820551</v>
      </c>
      <c r="EN178" s="59">
        <f t="shared" si="128"/>
        <v>909.96088177153888</v>
      </c>
      <c r="EO178" s="59">
        <f ca="1">AVERAGE(OFFSET($EN$3,0,0,'Données projet'!$E$15+1,1))-AVERAGE(OFFSET($H$3,0,0,'Données projet'!$E$15+1,1))</f>
        <v>288.41846134875794</v>
      </c>
      <c r="EP178" s="59">
        <f t="shared" si="154"/>
        <v>248.93951719818972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10.942828553978632</v>
      </c>
      <c r="EW178" s="21">
        <f>EXP(-LN(2)/25)*EW177+(1-EXP(-LN(2)/25))/(LN(2)/25)*Calculateur!ER178*Calculateur!ET178*VLOOKUP('Données projet'!$B$15,Paramètres!$A$1:$I$89,3,0)*0.475*44/12</f>
        <v>0.50138745540613772</v>
      </c>
      <c r="EX178" s="21">
        <f>EXP(-LN(2)/2)*EX177+(1-EXP(-LN(2)/2))/(LN(2)/2)*ER178*EU178*VLOOKUP('Données projet'!$B$15,Paramètres!$A$1:$I$89,3,0)*0.475*44/12</f>
        <v>7.286851100669679E-23</v>
      </c>
      <c r="EY178" s="22">
        <f t="shared" si="181"/>
        <v>11.444216009384769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789.00000000000045</v>
      </c>
      <c r="FF178" s="17">
        <f>FE178*VLOOKUP('Données projet'!$B$16,Paramètres!$A$1:$I$89,3,0)*VLOOKUP('Données projet'!$B$16,Paramètres!$A$1:$I$89,5,0)</f>
        <v>358.99500000000023</v>
      </c>
      <c r="FG178" s="13">
        <f t="shared" si="182"/>
        <v>83.411930940690553</v>
      </c>
      <c r="FH178" s="20">
        <f t="shared" si="183"/>
        <v>770.52540472170313</v>
      </c>
      <c r="FI178" s="59">
        <f t="shared" si="131"/>
        <v>1063.8587380550364</v>
      </c>
      <c r="FJ178" s="59">
        <f ca="1">AVERAGE(OFFSET($FI$3,0,0,'Données projet'!$E$16+1,1))-AVERAGE(OFFSET($H$3,0,0,'Données projet'!$E$16+1,1))</f>
        <v>367.36535411813264</v>
      </c>
      <c r="FK178" s="59">
        <f t="shared" si="156"/>
        <v>293.19545174980556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13.370828472192425</v>
      </c>
      <c r="FR178" s="21">
        <f>EXP(-LN(2)/25)*FR177+(1-EXP(-LN(2)/25))/(LN(2)/25)*Calculateur!FM178*Calculateur!FO178*VLOOKUP('Données projet'!$B$16,Paramètres!$A$1:$I$89,3,0)*0.475*44/12</f>
        <v>0.77711018651917474</v>
      </c>
      <c r="FS178" s="21">
        <f>EXP(-LN(2)/2)*FS177+(1-EXP(-LN(2)/2))/(LN(2)/2)*FM178*FP178*VLOOKUP('Données projet'!$B$16,Paramètres!$A$1:$I$89,3,0)*0.475*44/12</f>
        <v>1.0847628056289795E-22</v>
      </c>
      <c r="FT178" s="22">
        <f t="shared" si="184"/>
        <v>14.147938658711599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669.99999999999989</v>
      </c>
      <c r="GA178" s="17">
        <f>FZ178*VLOOKUP('Données projet'!$B$17,Paramètres!$A$1:$I$89,3,0)*VLOOKUP('Données projet'!$B$17,Paramètres!$A$1:$I$89,5,0)</f>
        <v>322.26999999999992</v>
      </c>
      <c r="GB178" s="13">
        <f t="shared" si="185"/>
        <v>75.825476822885776</v>
      </c>
      <c r="GC178" s="20">
        <f t="shared" si="186"/>
        <v>693.34962213319261</v>
      </c>
      <c r="GD178" s="59">
        <f t="shared" si="134"/>
        <v>986.68295546652598</v>
      </c>
      <c r="GE178" s="59">
        <f ca="1">AVERAGE(OFFSET($GD$3,0,0,'Données projet'!$E$17+1,1))-AVERAGE(OFFSET($H$3,0,0,'Données projet'!$E$17+1,1))</f>
        <v>312.64506496298173</v>
      </c>
      <c r="GF178" s="59">
        <f t="shared" si="158"/>
        <v>259.97532509897508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17.260480794941667</v>
      </c>
      <c r="GM178" s="21">
        <f>EXP(-LN(2)/25)*GM177+(1-EXP(-LN(2)/25))/(LN(2)/25)*Calculateur!GH178*Calculateur!GJ178*VLOOKUP('Données projet'!$B$17,Paramètres!$A$1:$I$89,3,0)*0.475*44/12</f>
        <v>0.35134745844842385</v>
      </c>
      <c r="GN178" s="21">
        <f>EXP(-LN(2)/2)*GN177+(1-EXP(-LN(2)/2))/(LN(2)/2)*GH178*GK178*VLOOKUP('Données projet'!$B$17,Paramètres!$A$1:$I$89,3,0)*0.475*44/12</f>
        <v>5.7662163354514806E-22</v>
      </c>
      <c r="GO178" s="21">
        <f t="shared" si="187"/>
        <v>17.61182825339009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267</v>
      </c>
      <c r="GV178" s="17">
        <f>GU178*VLOOKUP('Données projet'!$B$18,Paramètres!$A$1:$I$89,3,0)*VLOOKUP('Données projet'!$B$18,Paramètres!$A$1:$I$89,5,0)</f>
        <v>270.738</v>
      </c>
      <c r="GW178" s="13">
        <f t="shared" si="188"/>
        <v>65.005866623551711</v>
      </c>
      <c r="GX178" s="20">
        <f t="shared" si="189"/>
        <v>584.7539010360191</v>
      </c>
      <c r="GY178" s="59">
        <f t="shared" si="137"/>
        <v>878.08723436935247</v>
      </c>
      <c r="GZ178" s="59">
        <f ca="1">AVERAGE(OFFSET($GY$3,0,0,'Données projet'!$E$18+1,1))-AVERAGE(OFFSET($H$3,0,0,'Données projet'!$E$18+1,1))</f>
        <v>308.80022073574963</v>
      </c>
      <c r="HA178" s="59">
        <f t="shared" si="160"/>
        <v>183.96267407004115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25.815343591674761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25.815343591674761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344.49457749226184</v>
      </c>
      <c r="T179" s="59">
        <f t="shared" si="142"/>
        <v>207.92972431357452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208.99999999999989</v>
      </c>
      <c r="AJ179" s="13">
        <f>AI179*VLOOKUP('Données projet'!$B$10,Paramètres!$A$1:$I$89,3,0)*VLOOKUP('Données projet'!$B$10,Paramètres!$A$1:$I$89,5,0)</f>
        <v>189.1031999999999</v>
      </c>
      <c r="AK179" s="13">
        <f t="shared" si="164"/>
        <v>47.34162854278712</v>
      </c>
      <c r="AL179" s="20">
        <f t="shared" si="165"/>
        <v>411.80807637868742</v>
      </c>
      <c r="AM179" s="59">
        <f t="shared" si="113"/>
        <v>705.14140971202073</v>
      </c>
      <c r="AN179" s="59">
        <f ca="1">AVERAGE(OFFSET($AM$3,0,0,'Données projet'!$E$10+1,1))-AVERAGE(OFFSET($H$3,0,0,'Données projet'!$E$10+1,1))</f>
        <v>183.0147113277086</v>
      </c>
      <c r="AO179" s="59">
        <f t="shared" si="144"/>
        <v>76.413905647258389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16.96946141732548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16.96946141732548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253.79640000000001</v>
      </c>
      <c r="BF179" s="13">
        <f t="shared" si="167"/>
        <v>61.39816832228076</v>
      </c>
      <c r="BG179" s="20">
        <f t="shared" si="168"/>
        <v>548.96387316130563</v>
      </c>
      <c r="BH179" s="59">
        <f t="shared" si="116"/>
        <v>842.29720649463889</v>
      </c>
      <c r="BI179" s="59">
        <f ca="1">AVERAGE(OFFSET($BH$3,0,0,'Données projet'!$E$11+1,1))-AVERAGE(OFFSET($H$3,0,0,'Données projet'!$E$11+1,1))</f>
        <v>279.49721661620544</v>
      </c>
      <c r="BJ179" s="59">
        <f t="shared" si="146"/>
        <v>275.18739333988754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7.9427335040919393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7.9427335040919393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754.68411025369562</v>
      </c>
      <c r="CD179" s="59">
        <f ca="1">AVERAGE(OFFSET($CC$3,0,0,'Données projet'!$E$12+1,1))-AVERAGE(OFFSET($H$3,0,0,'Données projet'!$E$12+1,1))</f>
        <v>225.2323446080772</v>
      </c>
      <c r="CE179" s="59">
        <f t="shared" si="148"/>
        <v>222.29030402759292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6.4814938730019946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6.4814938730019946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213.00000000000003</v>
      </c>
      <c r="CU179" s="17">
        <f>CT179*VLOOKUP('Données projet'!$B$13,Paramètres!$A$1:$I$89,3,0)*VLOOKUP('Données projet'!$B$13,Paramètres!$A$1:$I$89,5,0)</f>
        <v>229.2732</v>
      </c>
      <c r="CV179" s="13">
        <f t="shared" si="173"/>
        <v>56.125501442527366</v>
      </c>
      <c r="CW179" s="20">
        <f t="shared" si="174"/>
        <v>497.06940501240177</v>
      </c>
      <c r="CX179" s="59">
        <f t="shared" si="122"/>
        <v>790.40273834573509</v>
      </c>
      <c r="CY179" s="59">
        <f ca="1">AVERAGE(OFFSET($CX$3,0,0,'Données projet'!$E$13+1,1))-AVERAGE(OFFSET($H$3,0,0,'Données projet'!$E$13+1,1))</f>
        <v>240.57184010337932</v>
      </c>
      <c r="CZ179" s="59">
        <f t="shared" si="150"/>
        <v>236.36473521227072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5.4964782291427055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5.4964782291427055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670.99999999999977</v>
      </c>
      <c r="DP179" s="17">
        <f>DO179*VLOOKUP('Données projet'!$B$14,Paramètres!$A$1:$I$89,3,0)*VLOOKUP('Données projet'!$B$14,Paramètres!$A$1:$I$89,5,0)</f>
        <v>314.02799999999991</v>
      </c>
      <c r="DQ179" s="13">
        <f t="shared" si="176"/>
        <v>74.109403804428752</v>
      </c>
      <c r="DR179" s="20">
        <f t="shared" si="177"/>
        <v>676.00597829271317</v>
      </c>
      <c r="DS179" s="59">
        <f t="shared" si="125"/>
        <v>969.33931162604654</v>
      </c>
      <c r="DT179" s="59">
        <f ca="1">AVERAGE(OFFSET($DS$3,0,0,'Données projet'!$E$14+1,1))-AVERAGE(OFFSET($H$3,0,0,'Données projet'!$E$14+1,1))</f>
        <v>304.29617570272939</v>
      </c>
      <c r="DU179" s="59">
        <f t="shared" si="152"/>
        <v>246.20695736161576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14.828761842292684</v>
      </c>
      <c r="EB179" s="21">
        <f>EXP(-LN(2)/25)*EB178+(1-EXP(-LN(2)/25))/(LN(2)/25)*Calculateur!DW179*Calculateur!DY179*VLOOKUP('Données projet'!$B$14,Paramètres!$A$1:$I$89,3,0)*0.475*44/12</f>
        <v>0.7144500065248014</v>
      </c>
      <c r="EC179" s="21">
        <f>EXP(-LN(2)/2)*EC178+(1-EXP(-LN(2)/2))/(LN(2)/2)*DW179*DZ179*VLOOKUP('Données projet'!$B$14,Paramètres!$A$1:$I$89,3,0)*0.475*44/12</f>
        <v>4.1654891736153305E-22</v>
      </c>
      <c r="ED179" s="22">
        <f t="shared" si="178"/>
        <v>15.543211848817485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477.9999999999996</v>
      </c>
      <c r="EK179" s="17">
        <f>EJ179*VLOOKUP('Données projet'!$B$15,Paramètres!$A$1:$I$89,3,0)*VLOOKUP('Données projet'!$B$15,Paramètres!$A$1:$I$89,5,0)</f>
        <v>285.84399999999977</v>
      </c>
      <c r="EL179" s="13">
        <f t="shared" si="179"/>
        <v>68.200525419065656</v>
      </c>
      <c r="EM179" s="20">
        <f t="shared" si="180"/>
        <v>616.62754843820551</v>
      </c>
      <c r="EN179" s="59">
        <f t="shared" si="128"/>
        <v>909.96088177153888</v>
      </c>
      <c r="EO179" s="59">
        <f ca="1">AVERAGE(OFFSET($EN$3,0,0,'Données projet'!$E$15+1,1))-AVERAGE(OFFSET($H$3,0,0,'Données projet'!$E$15+1,1))</f>
        <v>288.41846134875794</v>
      </c>
      <c r="EP179" s="59">
        <f t="shared" si="154"/>
        <v>248.93951719818972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10.72824636050148</v>
      </c>
      <c r="EW179" s="21">
        <f>EXP(-LN(2)/25)*EW178+(1-EXP(-LN(2)/25))/(LN(2)/25)*Calculateur!ER179*Calculateur!ET179*VLOOKUP('Données projet'!$B$15,Paramètres!$A$1:$I$89,3,0)*0.475*44/12</f>
        <v>0.48767698907123652</v>
      </c>
      <c r="EX179" s="21">
        <f>EXP(-LN(2)/2)*EX178+(1-EXP(-LN(2)/2))/(LN(2)/2)*ER179*EU179*VLOOKUP('Données projet'!$B$15,Paramètres!$A$1:$I$89,3,0)*0.475*44/12</f>
        <v>5.1525818267801882E-23</v>
      </c>
      <c r="EY179" s="22">
        <f t="shared" si="181"/>
        <v>11.215923349572716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789.00000000000045</v>
      </c>
      <c r="FF179" s="17">
        <f>FE179*VLOOKUP('Données projet'!$B$16,Paramètres!$A$1:$I$89,3,0)*VLOOKUP('Données projet'!$B$16,Paramètres!$A$1:$I$89,5,0)</f>
        <v>358.99500000000023</v>
      </c>
      <c r="FG179" s="13">
        <f t="shared" si="182"/>
        <v>83.411930940690553</v>
      </c>
      <c r="FH179" s="20">
        <f t="shared" si="183"/>
        <v>770.52540472170313</v>
      </c>
      <c r="FI179" s="59">
        <f t="shared" si="131"/>
        <v>1063.8587380550364</v>
      </c>
      <c r="FJ179" s="59">
        <f ca="1">AVERAGE(OFFSET($FI$3,0,0,'Données projet'!$E$16+1,1))-AVERAGE(OFFSET($H$3,0,0,'Données projet'!$E$16+1,1))</f>
        <v>367.36535411813264</v>
      </c>
      <c r="FK179" s="59">
        <f t="shared" si="156"/>
        <v>293.19545174980556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13.108634681252822</v>
      </c>
      <c r="FR179" s="21">
        <f>EXP(-LN(2)/25)*FR178+(1-EXP(-LN(2)/25))/(LN(2)/25)*Calculateur!FM179*Calculateur!FO179*VLOOKUP('Données projet'!$B$16,Paramètres!$A$1:$I$89,3,0)*0.475*44/12</f>
        <v>0.75586006760235935</v>
      </c>
      <c r="FS179" s="21">
        <f>EXP(-LN(2)/2)*FS178+(1-EXP(-LN(2)/2))/(LN(2)/2)*FM179*FP179*VLOOKUP('Données projet'!$B$16,Paramètres!$A$1:$I$89,3,0)*0.475*44/12</f>
        <v>7.6704313583919618E-23</v>
      </c>
      <c r="FT179" s="22">
        <f t="shared" si="184"/>
        <v>13.864494748855181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669.99999999999989</v>
      </c>
      <c r="GA179" s="17">
        <f>FZ179*VLOOKUP('Données projet'!$B$17,Paramètres!$A$1:$I$89,3,0)*VLOOKUP('Données projet'!$B$17,Paramètres!$A$1:$I$89,5,0)</f>
        <v>322.26999999999992</v>
      </c>
      <c r="GB179" s="13">
        <f t="shared" si="185"/>
        <v>75.825476822885776</v>
      </c>
      <c r="GC179" s="20">
        <f t="shared" si="186"/>
        <v>693.34962213319261</v>
      </c>
      <c r="GD179" s="59">
        <f t="shared" si="134"/>
        <v>986.68295546652598</v>
      </c>
      <c r="GE179" s="59">
        <f ca="1">AVERAGE(OFFSET($GD$3,0,0,'Données projet'!$E$17+1,1))-AVERAGE(OFFSET($H$3,0,0,'Données projet'!$E$17+1,1))</f>
        <v>312.64506496298173</v>
      </c>
      <c r="GF179" s="59">
        <f t="shared" si="158"/>
        <v>259.97532509897508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16.922013294406607</v>
      </c>
      <c r="GM179" s="21">
        <f>EXP(-LN(2)/25)*GM178+(1-EXP(-LN(2)/25))/(LN(2)/25)*Calculateur!GH179*Calculateur!GJ179*VLOOKUP('Données projet'!$B$17,Paramètres!$A$1:$I$89,3,0)*0.475*44/12</f>
        <v>0.34173984372059191</v>
      </c>
      <c r="GN179" s="21">
        <f>EXP(-LN(2)/2)*GN178+(1-EXP(-LN(2)/2))/(LN(2)/2)*GH179*GK179*VLOOKUP('Données projet'!$B$17,Paramètres!$A$1:$I$89,3,0)*0.475*44/12</f>
        <v>4.0773306725863861E-22</v>
      </c>
      <c r="GO179" s="21">
        <f t="shared" si="187"/>
        <v>17.2637531381272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267</v>
      </c>
      <c r="GV179" s="17">
        <f>GU179*VLOOKUP('Données projet'!$B$18,Paramètres!$A$1:$I$89,3,0)*VLOOKUP('Données projet'!$B$18,Paramètres!$A$1:$I$89,5,0)</f>
        <v>270.738</v>
      </c>
      <c r="GW179" s="13">
        <f t="shared" si="188"/>
        <v>65.005866623551711</v>
      </c>
      <c r="GX179" s="20">
        <f t="shared" si="189"/>
        <v>584.7539010360191</v>
      </c>
      <c r="GY179" s="59">
        <f t="shared" si="137"/>
        <v>878.08723436935247</v>
      </c>
      <c r="GZ179" s="59">
        <f ca="1">AVERAGE(OFFSET($GY$3,0,0,'Données projet'!$E$18+1,1))-AVERAGE(OFFSET($H$3,0,0,'Données projet'!$E$18+1,1))</f>
        <v>308.80022073574963</v>
      </c>
      <c r="HA179" s="59">
        <f t="shared" si="160"/>
        <v>183.96267407004115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25.309120449646841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25.309120449646841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344.49457749226184</v>
      </c>
      <c r="T180" s="59">
        <f t="shared" si="142"/>
        <v>207.92972431357452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208.99999999999989</v>
      </c>
      <c r="AJ180" s="13">
        <f>AI180*VLOOKUP('Données projet'!$B$10,Paramètres!$A$1:$I$89,3,0)*VLOOKUP('Données projet'!$B$10,Paramètres!$A$1:$I$89,5,0)</f>
        <v>189.1031999999999</v>
      </c>
      <c r="AK180" s="13">
        <f t="shared" si="164"/>
        <v>47.34162854278712</v>
      </c>
      <c r="AL180" s="20">
        <f t="shared" si="165"/>
        <v>411.80807637868742</v>
      </c>
      <c r="AM180" s="59">
        <f t="shared" si="113"/>
        <v>705.14140971202073</v>
      </c>
      <c r="AN180" s="59">
        <f ca="1">AVERAGE(OFFSET($AM$3,0,0,'Données projet'!$E$10+1,1))-AVERAGE(OFFSET($H$3,0,0,'Données projet'!$E$10+1,1))</f>
        <v>183.0147113277086</v>
      </c>
      <c r="AO180" s="59">
        <f t="shared" si="144"/>
        <v>76.413905647258389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16.636700629281179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16.636700629281179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253.79640000000001</v>
      </c>
      <c r="BF180" s="13">
        <f t="shared" si="167"/>
        <v>61.39816832228076</v>
      </c>
      <c r="BG180" s="20">
        <f t="shared" si="168"/>
        <v>548.96387316130563</v>
      </c>
      <c r="BH180" s="59">
        <f t="shared" si="116"/>
        <v>842.29720649463889</v>
      </c>
      <c r="BI180" s="59">
        <f ca="1">AVERAGE(OFFSET($BH$3,0,0,'Données projet'!$E$11+1,1))-AVERAGE(OFFSET($H$3,0,0,'Données projet'!$E$11+1,1))</f>
        <v>279.49721661620544</v>
      </c>
      <c r="BJ180" s="59">
        <f t="shared" si="146"/>
        <v>275.18739333988754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7.7869813446657705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7.7869813446657705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754.68411025369562</v>
      </c>
      <c r="CD180" s="59">
        <f ca="1">AVERAGE(OFFSET($CC$3,0,0,'Données projet'!$E$12+1,1))-AVERAGE(OFFSET($H$3,0,0,'Données projet'!$E$12+1,1))</f>
        <v>225.2323446080772</v>
      </c>
      <c r="CE180" s="59">
        <f t="shared" si="148"/>
        <v>222.29030402759292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6.3543957314733301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6.3543957314733301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213.00000000000003</v>
      </c>
      <c r="CU180" s="17">
        <f>CT180*VLOOKUP('Données projet'!$B$13,Paramètres!$A$1:$I$89,3,0)*VLOOKUP('Données projet'!$B$13,Paramètres!$A$1:$I$89,5,0)</f>
        <v>229.2732</v>
      </c>
      <c r="CV180" s="13">
        <f t="shared" si="173"/>
        <v>56.125501442527366</v>
      </c>
      <c r="CW180" s="20">
        <f t="shared" si="174"/>
        <v>497.06940501240177</v>
      </c>
      <c r="CX180" s="59">
        <f t="shared" si="122"/>
        <v>790.40273834573509</v>
      </c>
      <c r="CY180" s="59">
        <f ca="1">AVERAGE(OFFSET($CX$3,0,0,'Données projet'!$E$13+1,1))-AVERAGE(OFFSET($H$3,0,0,'Données projet'!$E$13+1,1))</f>
        <v>240.57184010337932</v>
      </c>
      <c r="CZ180" s="59">
        <f t="shared" si="150"/>
        <v>236.36473521227072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5.3886956435899025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5.3886956435899025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670.99999999999977</v>
      </c>
      <c r="DP180" s="17">
        <f>DO180*VLOOKUP('Données projet'!$B$14,Paramètres!$A$1:$I$89,3,0)*VLOOKUP('Données projet'!$B$14,Paramètres!$A$1:$I$89,5,0)</f>
        <v>314.02799999999991</v>
      </c>
      <c r="DQ180" s="13">
        <f t="shared" si="176"/>
        <v>74.109403804428752</v>
      </c>
      <c r="DR180" s="20">
        <f t="shared" si="177"/>
        <v>676.00597829271317</v>
      </c>
      <c r="DS180" s="59">
        <f t="shared" si="125"/>
        <v>969.33931162604654</v>
      </c>
      <c r="DT180" s="59">
        <f ca="1">AVERAGE(OFFSET($DS$3,0,0,'Données projet'!$E$14+1,1))-AVERAGE(OFFSET($H$3,0,0,'Données projet'!$E$14+1,1))</f>
        <v>304.29617570272939</v>
      </c>
      <c r="DU180" s="59">
        <f t="shared" si="152"/>
        <v>246.20695736161576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14.537978867216962</v>
      </c>
      <c r="EB180" s="21">
        <f>EXP(-LN(2)/25)*EB179+(1-EXP(-LN(2)/25))/(LN(2)/25)*Calculateur!DW180*Calculateur!DY180*VLOOKUP('Données projet'!$B$14,Paramètres!$A$1:$I$89,3,0)*0.475*44/12</f>
        <v>0.69491333352508777</v>
      </c>
      <c r="EC180" s="21">
        <f>EXP(-LN(2)/2)*EC179+(1-EXP(-LN(2)/2))/(LN(2)/2)*DW180*DZ180*VLOOKUP('Données projet'!$B$14,Paramètres!$A$1:$I$89,3,0)*0.475*44/12</f>
        <v>2.9454456416225484E-22</v>
      </c>
      <c r="ED180" s="22">
        <f t="shared" si="178"/>
        <v>15.23289220074205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477.9999999999996</v>
      </c>
      <c r="EK180" s="17">
        <f>EJ180*VLOOKUP('Données projet'!$B$15,Paramètres!$A$1:$I$89,3,0)*VLOOKUP('Données projet'!$B$15,Paramètres!$A$1:$I$89,5,0)</f>
        <v>285.84399999999977</v>
      </c>
      <c r="EL180" s="13">
        <f t="shared" si="179"/>
        <v>68.200525419065656</v>
      </c>
      <c r="EM180" s="20">
        <f t="shared" si="180"/>
        <v>616.62754843820551</v>
      </c>
      <c r="EN180" s="59">
        <f t="shared" si="128"/>
        <v>909.96088177153888</v>
      </c>
      <c r="EO180" s="59">
        <f ca="1">AVERAGE(OFFSET($EN$3,0,0,'Données projet'!$E$15+1,1))-AVERAGE(OFFSET($H$3,0,0,'Données projet'!$E$15+1,1))</f>
        <v>288.41846134875794</v>
      </c>
      <c r="EP180" s="59">
        <f t="shared" si="154"/>
        <v>248.93951719818972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10.5178719929562</v>
      </c>
      <c r="EW180" s="21">
        <f>EXP(-LN(2)/25)*EW179+(1-EXP(-LN(2)/25))/(LN(2)/25)*Calculateur!ER180*Calculateur!ET180*VLOOKUP('Données projet'!$B$15,Paramètres!$A$1:$I$89,3,0)*0.475*44/12</f>
        <v>0.47434143615926533</v>
      </c>
      <c r="EX180" s="21">
        <f>EXP(-LN(2)/2)*EX179+(1-EXP(-LN(2)/2))/(LN(2)/2)*ER180*EU180*VLOOKUP('Données projet'!$B$15,Paramètres!$A$1:$I$89,3,0)*0.475*44/12</f>
        <v>3.6434255503348401E-23</v>
      </c>
      <c r="EY180" s="22">
        <f t="shared" si="181"/>
        <v>10.992213429115466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789.00000000000045</v>
      </c>
      <c r="FF180" s="17">
        <f>FE180*VLOOKUP('Données projet'!$B$16,Paramètres!$A$1:$I$89,3,0)*VLOOKUP('Données projet'!$B$16,Paramètres!$A$1:$I$89,5,0)</f>
        <v>358.99500000000023</v>
      </c>
      <c r="FG180" s="13">
        <f t="shared" si="182"/>
        <v>83.411930940690553</v>
      </c>
      <c r="FH180" s="20">
        <f t="shared" si="183"/>
        <v>770.52540472170313</v>
      </c>
      <c r="FI180" s="59">
        <f t="shared" si="131"/>
        <v>1063.8587380550364</v>
      </c>
      <c r="FJ180" s="59">
        <f ca="1">AVERAGE(OFFSET($FI$3,0,0,'Données projet'!$E$16+1,1))-AVERAGE(OFFSET($H$3,0,0,'Données projet'!$E$16+1,1))</f>
        <v>367.36535411813264</v>
      </c>
      <c r="FK180" s="59">
        <f t="shared" si="156"/>
        <v>293.19545174980556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12.851582350631121</v>
      </c>
      <c r="FR180" s="21">
        <f>EXP(-LN(2)/25)*FR179+(1-EXP(-LN(2)/25))/(LN(2)/25)*Calculateur!FM180*Calculateur!FO180*VLOOKUP('Données projet'!$B$16,Paramètres!$A$1:$I$89,3,0)*0.475*44/12</f>
        <v>0.73519103430481947</v>
      </c>
      <c r="FS180" s="21">
        <f>EXP(-LN(2)/2)*FS179+(1-EXP(-LN(2)/2))/(LN(2)/2)*FM180*FP180*VLOOKUP('Données projet'!$B$16,Paramètres!$A$1:$I$89,3,0)*0.475*44/12</f>
        <v>5.4238140281448973E-23</v>
      </c>
      <c r="FT180" s="22">
        <f t="shared" si="184"/>
        <v>13.58677338493594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669.99999999999989</v>
      </c>
      <c r="GA180" s="17">
        <f>FZ180*VLOOKUP('Données projet'!$B$17,Paramètres!$A$1:$I$89,3,0)*VLOOKUP('Données projet'!$B$17,Paramètres!$A$1:$I$89,5,0)</f>
        <v>322.26999999999992</v>
      </c>
      <c r="GB180" s="13">
        <f t="shared" si="185"/>
        <v>75.825476822885776</v>
      </c>
      <c r="GC180" s="20">
        <f t="shared" si="186"/>
        <v>693.34962213319261</v>
      </c>
      <c r="GD180" s="59">
        <f t="shared" si="134"/>
        <v>986.68295546652598</v>
      </c>
      <c r="GE180" s="59">
        <f ca="1">AVERAGE(OFFSET($GD$3,0,0,'Données projet'!$E$17+1,1))-AVERAGE(OFFSET($H$3,0,0,'Données projet'!$E$17+1,1))</f>
        <v>312.64506496298173</v>
      </c>
      <c r="GF180" s="59">
        <f t="shared" si="158"/>
        <v>259.97532509897508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16.590182935112249</v>
      </c>
      <c r="GM180" s="21">
        <f>EXP(-LN(2)/25)*GM179+(1-EXP(-LN(2)/25))/(LN(2)/25)*Calculateur!GH180*Calculateur!GJ180*VLOOKUP('Données projet'!$B$17,Paramètres!$A$1:$I$89,3,0)*0.475*44/12</f>
        <v>0.33239494972273498</v>
      </c>
      <c r="GN180" s="21">
        <f>EXP(-LN(2)/2)*GN179+(1-EXP(-LN(2)/2))/(LN(2)/2)*GH180*GK180*VLOOKUP('Données projet'!$B$17,Paramètres!$A$1:$I$89,3,0)*0.475*44/12</f>
        <v>2.8831081677257403E-22</v>
      </c>
      <c r="GO180" s="21">
        <f t="shared" si="187"/>
        <v>16.922577884834986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267</v>
      </c>
      <c r="GV180" s="17">
        <f>GU180*VLOOKUP('Données projet'!$B$18,Paramètres!$A$1:$I$89,3,0)*VLOOKUP('Données projet'!$B$18,Paramètres!$A$1:$I$89,5,0)</f>
        <v>270.738</v>
      </c>
      <c r="GW180" s="13">
        <f t="shared" si="188"/>
        <v>65.005866623551711</v>
      </c>
      <c r="GX180" s="20">
        <f t="shared" si="189"/>
        <v>584.7539010360191</v>
      </c>
      <c r="GY180" s="59">
        <f t="shared" si="137"/>
        <v>878.08723436935247</v>
      </c>
      <c r="GZ180" s="59">
        <f ca="1">AVERAGE(OFFSET($GY$3,0,0,'Données projet'!$E$18+1,1))-AVERAGE(OFFSET($H$3,0,0,'Données projet'!$E$18+1,1))</f>
        <v>308.80022073574963</v>
      </c>
      <c r="HA180" s="59">
        <f t="shared" si="160"/>
        <v>183.96267407004115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24.812824034668459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24.812824034668459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344.49457749226184</v>
      </c>
      <c r="T181" s="59">
        <f t="shared" si="142"/>
        <v>207.92972431357452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208.99999999999989</v>
      </c>
      <c r="AJ181" s="13">
        <f>AI181*VLOOKUP('Données projet'!$B$10,Paramètres!$A$1:$I$89,3,0)*VLOOKUP('Données projet'!$B$10,Paramètres!$A$1:$I$89,5,0)</f>
        <v>189.1031999999999</v>
      </c>
      <c r="AK181" s="13">
        <f t="shared" si="164"/>
        <v>47.34162854278712</v>
      </c>
      <c r="AL181" s="20">
        <f t="shared" si="165"/>
        <v>411.80807637868742</v>
      </c>
      <c r="AM181" s="59">
        <f t="shared" si="113"/>
        <v>705.14140971202073</v>
      </c>
      <c r="AN181" s="59">
        <f ca="1">AVERAGE(OFFSET($AM$3,0,0,'Données projet'!$E$10+1,1))-AVERAGE(OFFSET($H$3,0,0,'Données projet'!$E$10+1,1))</f>
        <v>183.0147113277086</v>
      </c>
      <c r="AO181" s="59">
        <f t="shared" si="144"/>
        <v>76.413905647258389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16.310465077326388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16.310465077326388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253.79640000000001</v>
      </c>
      <c r="BF181" s="13">
        <f t="shared" si="167"/>
        <v>61.39816832228076</v>
      </c>
      <c r="BG181" s="20">
        <f t="shared" si="168"/>
        <v>548.96387316130563</v>
      </c>
      <c r="BH181" s="59">
        <f t="shared" si="116"/>
        <v>842.29720649463889</v>
      </c>
      <c r="BI181" s="59">
        <f ca="1">AVERAGE(OFFSET($BH$3,0,0,'Données projet'!$E$11+1,1))-AVERAGE(OFFSET($H$3,0,0,'Données projet'!$E$11+1,1))</f>
        <v>279.49721661620544</v>
      </c>
      <c r="BJ181" s="59">
        <f t="shared" si="146"/>
        <v>275.18739333988754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7.6342833900865124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7.6342833900865124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754.68411025369562</v>
      </c>
      <c r="CD181" s="59">
        <f ca="1">AVERAGE(OFFSET($CC$3,0,0,'Données projet'!$E$12+1,1))-AVERAGE(OFFSET($H$3,0,0,'Données projet'!$E$12+1,1))</f>
        <v>225.2323446080772</v>
      </c>
      <c r="CE181" s="59">
        <f t="shared" si="148"/>
        <v>222.29030402759292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6.2297899069778309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6.2297899069778309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213.00000000000003</v>
      </c>
      <c r="CU181" s="17">
        <f>CT181*VLOOKUP('Données projet'!$B$13,Paramètres!$A$1:$I$89,3,0)*VLOOKUP('Données projet'!$B$13,Paramètres!$A$1:$I$89,5,0)</f>
        <v>229.2732</v>
      </c>
      <c r="CV181" s="13">
        <f t="shared" si="173"/>
        <v>56.125501442527366</v>
      </c>
      <c r="CW181" s="20">
        <f t="shared" si="174"/>
        <v>497.06940501240177</v>
      </c>
      <c r="CX181" s="59">
        <f t="shared" si="122"/>
        <v>790.40273834573509</v>
      </c>
      <c r="CY181" s="59">
        <f ca="1">AVERAGE(OFFSET($CX$3,0,0,'Données projet'!$E$13+1,1))-AVERAGE(OFFSET($H$3,0,0,'Données projet'!$E$13+1,1))</f>
        <v>240.57184010337932</v>
      </c>
      <c r="CZ181" s="59">
        <f t="shared" si="150"/>
        <v>236.36473521227072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5.2830266087989042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5.2830266087989042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670.99999999999977</v>
      </c>
      <c r="DP181" s="17">
        <f>DO181*VLOOKUP('Données projet'!$B$14,Paramètres!$A$1:$I$89,3,0)*VLOOKUP('Données projet'!$B$14,Paramètres!$A$1:$I$89,5,0)</f>
        <v>314.02799999999991</v>
      </c>
      <c r="DQ181" s="13">
        <f t="shared" si="176"/>
        <v>74.109403804428752</v>
      </c>
      <c r="DR181" s="20">
        <f t="shared" si="177"/>
        <v>676.00597829271317</v>
      </c>
      <c r="DS181" s="59">
        <f t="shared" si="125"/>
        <v>969.33931162604654</v>
      </c>
      <c r="DT181" s="59">
        <f ca="1">AVERAGE(OFFSET($DS$3,0,0,'Données projet'!$E$14+1,1))-AVERAGE(OFFSET($H$3,0,0,'Données projet'!$E$14+1,1))</f>
        <v>304.29617570272939</v>
      </c>
      <c r="DU181" s="59">
        <f t="shared" si="152"/>
        <v>246.20695736161576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14.252897968922374</v>
      </c>
      <c r="EB181" s="21">
        <f>EXP(-LN(2)/25)*EB180+(1-EXP(-LN(2)/25))/(LN(2)/25)*Calculateur!DW181*Calculateur!DY181*VLOOKUP('Données projet'!$B$14,Paramètres!$A$1:$I$89,3,0)*0.475*44/12</f>
        <v>0.67591089187594033</v>
      </c>
      <c r="EC181" s="21">
        <f>EXP(-LN(2)/2)*EC180+(1-EXP(-LN(2)/2))/(LN(2)/2)*DW181*DZ181*VLOOKUP('Données projet'!$B$14,Paramètres!$A$1:$I$89,3,0)*0.475*44/12</f>
        <v>2.0827445868076655E-22</v>
      </c>
      <c r="ED181" s="22">
        <f t="shared" si="178"/>
        <v>14.928808860798314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477.9999999999996</v>
      </c>
      <c r="EK181" s="17">
        <f>EJ181*VLOOKUP('Données projet'!$B$15,Paramètres!$A$1:$I$89,3,0)*VLOOKUP('Données projet'!$B$15,Paramètres!$A$1:$I$89,5,0)</f>
        <v>285.84399999999977</v>
      </c>
      <c r="EL181" s="13">
        <f t="shared" si="179"/>
        <v>68.200525419065656</v>
      </c>
      <c r="EM181" s="20">
        <f t="shared" si="180"/>
        <v>616.62754843820551</v>
      </c>
      <c r="EN181" s="59">
        <f t="shared" si="128"/>
        <v>909.96088177153888</v>
      </c>
      <c r="EO181" s="59">
        <f ca="1">AVERAGE(OFFSET($EN$3,0,0,'Données projet'!$E$15+1,1))-AVERAGE(OFFSET($H$3,0,0,'Données projet'!$E$15+1,1))</f>
        <v>288.41846134875794</v>
      </c>
      <c r="EP181" s="59">
        <f t="shared" si="154"/>
        <v>248.93951719818972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10.31162293844279</v>
      </c>
      <c r="EW181" s="21">
        <f>EXP(-LN(2)/25)*EW180+(1-EXP(-LN(2)/25))/(LN(2)/25)*Calculateur!ER181*Calculateur!ET181*VLOOKUP('Données projet'!$B$15,Paramètres!$A$1:$I$89,3,0)*0.475*44/12</f>
        <v>0.46137054464295824</v>
      </c>
      <c r="EX181" s="21">
        <f>EXP(-LN(2)/2)*EX180+(1-EXP(-LN(2)/2))/(LN(2)/2)*ER181*EU181*VLOOKUP('Données projet'!$B$15,Paramètres!$A$1:$I$89,3,0)*0.475*44/12</f>
        <v>2.5762909133900944E-23</v>
      </c>
      <c r="EY181" s="22">
        <f t="shared" si="181"/>
        <v>10.772993483085749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789.00000000000045</v>
      </c>
      <c r="FF181" s="17">
        <f>FE181*VLOOKUP('Données projet'!$B$16,Paramètres!$A$1:$I$89,3,0)*VLOOKUP('Données projet'!$B$16,Paramètres!$A$1:$I$89,5,0)</f>
        <v>358.99500000000023</v>
      </c>
      <c r="FG181" s="13">
        <f t="shared" si="182"/>
        <v>83.411930940690553</v>
      </c>
      <c r="FH181" s="20">
        <f t="shared" si="183"/>
        <v>770.52540472170313</v>
      </c>
      <c r="FI181" s="59">
        <f t="shared" si="131"/>
        <v>1063.8587380550364</v>
      </c>
      <c r="FJ181" s="59">
        <f ca="1">AVERAGE(OFFSET($FI$3,0,0,'Données projet'!$E$16+1,1))-AVERAGE(OFFSET($H$3,0,0,'Données projet'!$E$16+1,1))</f>
        <v>367.36535411813264</v>
      </c>
      <c r="FK181" s="59">
        <f t="shared" si="156"/>
        <v>293.19545174980556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12.599570659426472</v>
      </c>
      <c r="FR181" s="21">
        <f>EXP(-LN(2)/25)*FR180+(1-EXP(-LN(2)/25))/(LN(2)/25)*Calculateur!FM181*Calculateur!FO181*VLOOKUP('Données projet'!$B$16,Paramètres!$A$1:$I$89,3,0)*0.475*44/12</f>
        <v>0.71508719680973798</v>
      </c>
      <c r="FS181" s="21">
        <f>EXP(-LN(2)/2)*FS180+(1-EXP(-LN(2)/2))/(LN(2)/2)*FM181*FP181*VLOOKUP('Données projet'!$B$16,Paramètres!$A$1:$I$89,3,0)*0.475*44/12</f>
        <v>3.8352156791959809E-23</v>
      </c>
      <c r="FT181" s="22">
        <f t="shared" si="184"/>
        <v>13.314657856236211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669.99999999999989</v>
      </c>
      <c r="GA181" s="17">
        <f>FZ181*VLOOKUP('Données projet'!$B$17,Paramètres!$A$1:$I$89,3,0)*VLOOKUP('Données projet'!$B$17,Paramètres!$A$1:$I$89,5,0)</f>
        <v>322.26999999999992</v>
      </c>
      <c r="GB181" s="13">
        <f t="shared" si="185"/>
        <v>75.825476822885776</v>
      </c>
      <c r="GC181" s="20">
        <f t="shared" si="186"/>
        <v>693.34962213319261</v>
      </c>
      <c r="GD181" s="59">
        <f t="shared" si="134"/>
        <v>986.68295546652598</v>
      </c>
      <c r="GE181" s="59">
        <f ca="1">AVERAGE(OFFSET($GD$3,0,0,'Données projet'!$E$17+1,1))-AVERAGE(OFFSET($H$3,0,0,'Données projet'!$E$17+1,1))</f>
        <v>312.64506496298173</v>
      </c>
      <c r="GF181" s="59">
        <f t="shared" si="158"/>
        <v>259.97532509897508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16.264859566767118</v>
      </c>
      <c r="GM181" s="21">
        <f>EXP(-LN(2)/25)*GM180+(1-EXP(-LN(2)/25))/(LN(2)/25)*Calculateur!GH181*Calculateur!GJ181*VLOOKUP('Données projet'!$B$17,Paramètres!$A$1:$I$89,3,0)*0.475*44/12</f>
        <v>0.32330559234267608</v>
      </c>
      <c r="GN181" s="21">
        <f>EXP(-LN(2)/2)*GN180+(1-EXP(-LN(2)/2))/(LN(2)/2)*GH181*GK181*VLOOKUP('Données projet'!$B$17,Paramètres!$A$1:$I$89,3,0)*0.475*44/12</f>
        <v>2.038665336293193E-22</v>
      </c>
      <c r="GO181" s="21">
        <f t="shared" si="187"/>
        <v>16.588165159109796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267</v>
      </c>
      <c r="GV181" s="17">
        <f>GU181*VLOOKUP('Données projet'!$B$18,Paramètres!$A$1:$I$89,3,0)*VLOOKUP('Données projet'!$B$18,Paramètres!$A$1:$I$89,5,0)</f>
        <v>270.738</v>
      </c>
      <c r="GW181" s="13">
        <f t="shared" si="188"/>
        <v>65.005866623551711</v>
      </c>
      <c r="GX181" s="20">
        <f t="shared" si="189"/>
        <v>584.7539010360191</v>
      </c>
      <c r="GY181" s="59">
        <f t="shared" si="137"/>
        <v>878.08723436935247</v>
      </c>
      <c r="GZ181" s="59">
        <f ca="1">AVERAGE(OFFSET($GY$3,0,0,'Données projet'!$E$18+1,1))-AVERAGE(OFFSET($H$3,0,0,'Données projet'!$E$18+1,1))</f>
        <v>308.80022073574963</v>
      </c>
      <c r="HA181" s="59">
        <f t="shared" si="160"/>
        <v>183.96267407004115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24.326259689676881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24.326259689676881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344.49457749226184</v>
      </c>
      <c r="T182" s="59">
        <f t="shared" si="142"/>
        <v>207.92972431357452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208.99999999999989</v>
      </c>
      <c r="AJ182" s="13">
        <f>AI182*VLOOKUP('Données projet'!$B$10,Paramètres!$A$1:$I$89,3,0)*VLOOKUP('Données projet'!$B$10,Paramètres!$A$1:$I$89,5,0)</f>
        <v>189.1031999999999</v>
      </c>
      <c r="AK182" s="13">
        <f t="shared" si="164"/>
        <v>47.34162854278712</v>
      </c>
      <c r="AL182" s="20">
        <f t="shared" si="165"/>
        <v>411.80807637868742</v>
      </c>
      <c r="AM182" s="59">
        <f t="shared" si="113"/>
        <v>705.14140971202073</v>
      </c>
      <c r="AN182" s="59">
        <f ca="1">AVERAGE(OFFSET($AM$3,0,0,'Données projet'!$E$10+1,1))-AVERAGE(OFFSET($H$3,0,0,'Données projet'!$E$10+1,1))</f>
        <v>183.0147113277086</v>
      </c>
      <c r="AO182" s="59">
        <f t="shared" si="144"/>
        <v>76.413905647258389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15.990626805561391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15.990626805561391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253.79640000000001</v>
      </c>
      <c r="BF182" s="13">
        <f t="shared" si="167"/>
        <v>61.39816832228076</v>
      </c>
      <c r="BG182" s="20">
        <f t="shared" si="168"/>
        <v>548.96387316130563</v>
      </c>
      <c r="BH182" s="59">
        <f t="shared" si="116"/>
        <v>842.29720649463889</v>
      </c>
      <c r="BI182" s="59">
        <f ca="1">AVERAGE(OFFSET($BH$3,0,0,'Données projet'!$E$11+1,1))-AVERAGE(OFFSET($H$3,0,0,'Données projet'!$E$11+1,1))</f>
        <v>279.49721661620544</v>
      </c>
      <c r="BJ182" s="59">
        <f t="shared" si="146"/>
        <v>275.18739333988754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7.4845797492599973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7.4845797492599973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754.68411025369562</v>
      </c>
      <c r="CD182" s="59">
        <f ca="1">AVERAGE(OFFSET($CC$3,0,0,'Données projet'!$E$12+1,1))-AVERAGE(OFFSET($H$3,0,0,'Données projet'!$E$12+1,1))</f>
        <v>225.2323446080772</v>
      </c>
      <c r="CE182" s="59">
        <f t="shared" si="148"/>
        <v>222.29030402759292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6.1076275266986402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6.1076275266986402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213.00000000000003</v>
      </c>
      <c r="CU182" s="17">
        <f>CT182*VLOOKUP('Données projet'!$B$13,Paramètres!$A$1:$I$89,3,0)*VLOOKUP('Données projet'!$B$13,Paramètres!$A$1:$I$89,5,0)</f>
        <v>229.2732</v>
      </c>
      <c r="CV182" s="13">
        <f t="shared" si="173"/>
        <v>56.125501442527366</v>
      </c>
      <c r="CW182" s="20">
        <f t="shared" si="174"/>
        <v>497.06940501240177</v>
      </c>
      <c r="CX182" s="59">
        <f t="shared" si="122"/>
        <v>790.40273834573509</v>
      </c>
      <c r="CY182" s="59">
        <f ca="1">AVERAGE(OFFSET($CX$3,0,0,'Données projet'!$E$13+1,1))-AVERAGE(OFFSET($H$3,0,0,'Données projet'!$E$13+1,1))</f>
        <v>240.57184010337932</v>
      </c>
      <c r="CZ182" s="59">
        <f t="shared" si="150"/>
        <v>236.36473521227072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5.1794296793284103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5.1794296793284103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670.99999999999977</v>
      </c>
      <c r="DP182" s="17">
        <f>DO182*VLOOKUP('Données projet'!$B$14,Paramètres!$A$1:$I$89,3,0)*VLOOKUP('Données projet'!$B$14,Paramètres!$A$1:$I$89,5,0)</f>
        <v>314.02799999999991</v>
      </c>
      <c r="DQ182" s="13">
        <f t="shared" si="176"/>
        <v>74.109403804428752</v>
      </c>
      <c r="DR182" s="20">
        <f t="shared" si="177"/>
        <v>676.00597829271317</v>
      </c>
      <c r="DS182" s="59">
        <f t="shared" si="125"/>
        <v>969.33931162604654</v>
      </c>
      <c r="DT182" s="59">
        <f ca="1">AVERAGE(OFFSET($DS$3,0,0,'Données projet'!$E$14+1,1))-AVERAGE(OFFSET($H$3,0,0,'Données projet'!$E$14+1,1))</f>
        <v>304.29617570272939</v>
      </c>
      <c r="DU182" s="59">
        <f t="shared" si="152"/>
        <v>246.20695736161576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13.973407333161164</v>
      </c>
      <c r="EB182" s="21">
        <f>EXP(-LN(2)/25)*EB181+(1-EXP(-LN(2)/25))/(LN(2)/25)*Calculateur!DW182*Calculateur!DY182*VLOOKUP('Données projet'!$B$14,Paramètres!$A$1:$I$89,3,0)*0.475*44/12</f>
        <v>0.65742807299298378</v>
      </c>
      <c r="EC182" s="21">
        <f>EXP(-LN(2)/2)*EC181+(1-EXP(-LN(2)/2))/(LN(2)/2)*DW182*DZ182*VLOOKUP('Données projet'!$B$14,Paramètres!$A$1:$I$89,3,0)*0.475*44/12</f>
        <v>1.4727228208112744E-22</v>
      </c>
      <c r="ED182" s="22">
        <f t="shared" si="178"/>
        <v>14.630835406154148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477.9999999999996</v>
      </c>
      <c r="EK182" s="17">
        <f>EJ182*VLOOKUP('Données projet'!$B$15,Paramètres!$A$1:$I$89,3,0)*VLOOKUP('Données projet'!$B$15,Paramètres!$A$1:$I$89,5,0)</f>
        <v>285.84399999999977</v>
      </c>
      <c r="EL182" s="13">
        <f t="shared" si="179"/>
        <v>68.200525419065656</v>
      </c>
      <c r="EM182" s="20">
        <f t="shared" si="180"/>
        <v>616.62754843820551</v>
      </c>
      <c r="EN182" s="59">
        <f t="shared" si="128"/>
        <v>909.96088177153888</v>
      </c>
      <c r="EO182" s="59">
        <f ca="1">AVERAGE(OFFSET($EN$3,0,0,'Données projet'!$E$15+1,1))-AVERAGE(OFFSET($H$3,0,0,'Données projet'!$E$15+1,1))</f>
        <v>288.41846134875794</v>
      </c>
      <c r="EP182" s="59">
        <f t="shared" si="154"/>
        <v>248.93951719818972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10.109418302088885</v>
      </c>
      <c r="EW182" s="21">
        <f>EXP(-LN(2)/25)*EW181+(1-EXP(-LN(2)/25))/(LN(2)/25)*Calculateur!ER182*Calculateur!ET182*VLOOKUP('Données projet'!$B$15,Paramètres!$A$1:$I$89,3,0)*0.475*44/12</f>
        <v>0.44875434283727406</v>
      </c>
      <c r="EX182" s="21">
        <f>EXP(-LN(2)/2)*EX181+(1-EXP(-LN(2)/2))/(LN(2)/2)*ER182*EU182*VLOOKUP('Données projet'!$B$15,Paramètres!$A$1:$I$89,3,0)*0.475*44/12</f>
        <v>1.8217127751674203E-23</v>
      </c>
      <c r="EY182" s="22">
        <f t="shared" si="181"/>
        <v>10.558172644926159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789.00000000000045</v>
      </c>
      <c r="FF182" s="17">
        <f>FE182*VLOOKUP('Données projet'!$B$16,Paramètres!$A$1:$I$89,3,0)*VLOOKUP('Données projet'!$B$16,Paramètres!$A$1:$I$89,5,0)</f>
        <v>358.99500000000023</v>
      </c>
      <c r="FG182" s="13">
        <f t="shared" si="182"/>
        <v>83.411930940690553</v>
      </c>
      <c r="FH182" s="20">
        <f t="shared" si="183"/>
        <v>770.52540472170313</v>
      </c>
      <c r="FI182" s="59">
        <f t="shared" si="131"/>
        <v>1063.8587380550364</v>
      </c>
      <c r="FJ182" s="59">
        <f ca="1">AVERAGE(OFFSET($FI$3,0,0,'Données projet'!$E$16+1,1))-AVERAGE(OFFSET($H$3,0,0,'Données projet'!$E$16+1,1))</f>
        <v>367.36535411813264</v>
      </c>
      <c r="FK182" s="59">
        <f t="shared" si="156"/>
        <v>293.19545174980556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12.352500763774392</v>
      </c>
      <c r="FR182" s="21">
        <f>EXP(-LN(2)/25)*FR181+(1-EXP(-LN(2)/25))/(LN(2)/25)*Calculateur!FM182*Calculateur!FO182*VLOOKUP('Données projet'!$B$16,Paramètres!$A$1:$I$89,3,0)*0.475*44/12</f>
        <v>0.69553309980817435</v>
      </c>
      <c r="FS182" s="21">
        <f>EXP(-LN(2)/2)*FS181+(1-EXP(-LN(2)/2))/(LN(2)/2)*FM182*FP182*VLOOKUP('Données projet'!$B$16,Paramètres!$A$1:$I$89,3,0)*0.475*44/12</f>
        <v>2.7119070140724486E-23</v>
      </c>
      <c r="FT182" s="22">
        <f t="shared" si="184"/>
        <v>13.048033863582567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669.99999999999989</v>
      </c>
      <c r="GA182" s="17">
        <f>FZ182*VLOOKUP('Données projet'!$B$17,Paramètres!$A$1:$I$89,3,0)*VLOOKUP('Données projet'!$B$17,Paramètres!$A$1:$I$89,5,0)</f>
        <v>322.26999999999992</v>
      </c>
      <c r="GB182" s="13">
        <f t="shared" si="185"/>
        <v>75.825476822885776</v>
      </c>
      <c r="GC182" s="20">
        <f t="shared" si="186"/>
        <v>693.34962213319261</v>
      </c>
      <c r="GD182" s="59">
        <f t="shared" si="134"/>
        <v>986.68295546652598</v>
      </c>
      <c r="GE182" s="59">
        <f ca="1">AVERAGE(OFFSET($GD$3,0,0,'Données projet'!$E$17+1,1))-AVERAGE(OFFSET($H$3,0,0,'Données projet'!$E$17+1,1))</f>
        <v>312.64506496298173</v>
      </c>
      <c r="GF182" s="59">
        <f t="shared" si="158"/>
        <v>259.97532509897508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15.945915591247575</v>
      </c>
      <c r="GM182" s="21">
        <f>EXP(-LN(2)/25)*GM181+(1-EXP(-LN(2)/25))/(LN(2)/25)*Calculateur!GH182*Calculateur!GJ182*VLOOKUP('Données projet'!$B$17,Paramètres!$A$1:$I$89,3,0)*0.475*44/12</f>
        <v>0.3144647839181634</v>
      </c>
      <c r="GN182" s="21">
        <f>EXP(-LN(2)/2)*GN181+(1-EXP(-LN(2)/2))/(LN(2)/2)*GH182*GK182*VLOOKUP('Données projet'!$B$17,Paramètres!$A$1:$I$89,3,0)*0.475*44/12</f>
        <v>1.4415540838628702E-22</v>
      </c>
      <c r="GO182" s="21">
        <f t="shared" si="187"/>
        <v>16.260380375165738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267</v>
      </c>
      <c r="GV182" s="17">
        <f>GU182*VLOOKUP('Données projet'!$B$18,Paramètres!$A$1:$I$89,3,0)*VLOOKUP('Données projet'!$B$18,Paramètres!$A$1:$I$89,5,0)</f>
        <v>270.738</v>
      </c>
      <c r="GW182" s="13">
        <f t="shared" si="188"/>
        <v>65.005866623551711</v>
      </c>
      <c r="GX182" s="20">
        <f t="shared" si="189"/>
        <v>584.7539010360191</v>
      </c>
      <c r="GY182" s="59">
        <f t="shared" si="137"/>
        <v>878.08723436935247</v>
      </c>
      <c r="GZ182" s="59">
        <f ca="1">AVERAGE(OFFSET($GY$3,0,0,'Données projet'!$E$18+1,1))-AVERAGE(OFFSET($H$3,0,0,'Données projet'!$E$18+1,1))</f>
        <v>308.80022073574963</v>
      </c>
      <c r="HA182" s="59">
        <f t="shared" si="160"/>
        <v>183.96267407004115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23.84923657471564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23.84923657471564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344.49457749226184</v>
      </c>
      <c r="T183" s="59">
        <f t="shared" si="142"/>
        <v>207.92972431357452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208.99999999999989</v>
      </c>
      <c r="AJ183" s="13">
        <f>AI183*VLOOKUP('Données projet'!$B$10,Paramètres!$A$1:$I$89,3,0)*VLOOKUP('Données projet'!$B$10,Paramètres!$A$1:$I$89,5,0)</f>
        <v>189.1031999999999</v>
      </c>
      <c r="AK183" s="13">
        <f t="shared" si="164"/>
        <v>47.34162854278712</v>
      </c>
      <c r="AL183" s="20">
        <f t="shared" si="165"/>
        <v>411.80807637868742</v>
      </c>
      <c r="AM183" s="59">
        <f t="shared" si="113"/>
        <v>705.14140971202073</v>
      </c>
      <c r="AN183" s="59">
        <f ca="1">AVERAGE(OFFSET($AM$3,0,0,'Données projet'!$E$10+1,1))-AVERAGE(OFFSET($H$3,0,0,'Données projet'!$E$10+1,1))</f>
        <v>183.0147113277086</v>
      </c>
      <c r="AO183" s="59">
        <f t="shared" si="144"/>
        <v>76.413905647258389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15.677060367223623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15.677060367223623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253.79640000000001</v>
      </c>
      <c r="BF183" s="13">
        <f t="shared" si="167"/>
        <v>61.39816832228076</v>
      </c>
      <c r="BG183" s="20">
        <f t="shared" si="168"/>
        <v>548.96387316130563</v>
      </c>
      <c r="BH183" s="59">
        <f t="shared" si="116"/>
        <v>842.29720649463889</v>
      </c>
      <c r="BI183" s="59">
        <f ca="1">AVERAGE(OFFSET($BH$3,0,0,'Données projet'!$E$11+1,1))-AVERAGE(OFFSET($H$3,0,0,'Données projet'!$E$11+1,1))</f>
        <v>279.49721661620544</v>
      </c>
      <c r="BJ183" s="59">
        <f t="shared" si="146"/>
        <v>275.18739333988754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7.3378117055198855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7.3378117055198855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754.68411025369562</v>
      </c>
      <c r="CD183" s="59">
        <f ca="1">AVERAGE(OFFSET($CC$3,0,0,'Données projet'!$E$12+1,1))-AVERAGE(OFFSET($H$3,0,0,'Données projet'!$E$12+1,1))</f>
        <v>225.2323446080772</v>
      </c>
      <c r="CE183" s="59">
        <f t="shared" si="148"/>
        <v>222.29030402759292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5.9878606761850302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5.9878606761850302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213.00000000000003</v>
      </c>
      <c r="CU183" s="17">
        <f>CT183*VLOOKUP('Données projet'!$B$13,Paramètres!$A$1:$I$89,3,0)*VLOOKUP('Données projet'!$B$13,Paramètres!$A$1:$I$89,5,0)</f>
        <v>229.2732</v>
      </c>
      <c r="CV183" s="13">
        <f t="shared" si="173"/>
        <v>56.125501442527366</v>
      </c>
      <c r="CW183" s="20">
        <f t="shared" si="174"/>
        <v>497.06940501240177</v>
      </c>
      <c r="CX183" s="59">
        <f t="shared" si="122"/>
        <v>790.40273834573509</v>
      </c>
      <c r="CY183" s="59">
        <f ca="1">AVERAGE(OFFSET($CX$3,0,0,'Données projet'!$E$13+1,1))-AVERAGE(OFFSET($H$3,0,0,'Données projet'!$E$13+1,1))</f>
        <v>240.57184010337932</v>
      </c>
      <c r="CZ183" s="59">
        <f t="shared" si="150"/>
        <v>236.36473521227072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5.0778642224569452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5.0778642224569452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670.99999999999977</v>
      </c>
      <c r="DP183" s="17">
        <f>DO183*VLOOKUP('Données projet'!$B$14,Paramètres!$A$1:$I$89,3,0)*VLOOKUP('Données projet'!$B$14,Paramètres!$A$1:$I$89,5,0)</f>
        <v>314.02799999999991</v>
      </c>
      <c r="DQ183" s="13">
        <f t="shared" si="176"/>
        <v>74.109403804428752</v>
      </c>
      <c r="DR183" s="20">
        <f t="shared" si="177"/>
        <v>676.00597829271317</v>
      </c>
      <c r="DS183" s="59">
        <f t="shared" si="125"/>
        <v>969.33931162604654</v>
      </c>
      <c r="DT183" s="59">
        <f ca="1">AVERAGE(OFFSET($DS$3,0,0,'Données projet'!$E$14+1,1))-AVERAGE(OFFSET($H$3,0,0,'Données projet'!$E$14+1,1))</f>
        <v>304.29617570272939</v>
      </c>
      <c r="DU183" s="59">
        <f t="shared" si="152"/>
        <v>246.20695736161576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13.699397338294776</v>
      </c>
      <c r="EB183" s="21">
        <f>EXP(-LN(2)/25)*EB182+(1-EXP(-LN(2)/25))/(LN(2)/25)*Calculateur!DW183*Calculateur!DY183*VLOOKUP('Données projet'!$B$14,Paramètres!$A$1:$I$89,3,0)*0.475*44/12</f>
        <v>0.63945066776435089</v>
      </c>
      <c r="EC183" s="21">
        <f>EXP(-LN(2)/2)*EC182+(1-EXP(-LN(2)/2))/(LN(2)/2)*DW183*DZ183*VLOOKUP('Données projet'!$B$14,Paramètres!$A$1:$I$89,3,0)*0.475*44/12</f>
        <v>1.041372293403833E-22</v>
      </c>
      <c r="ED183" s="22">
        <f t="shared" si="178"/>
        <v>14.338848006059127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477.9999999999996</v>
      </c>
      <c r="EK183" s="17">
        <f>EJ183*VLOOKUP('Données projet'!$B$15,Paramètres!$A$1:$I$89,3,0)*VLOOKUP('Données projet'!$B$15,Paramètres!$A$1:$I$89,5,0)</f>
        <v>285.84399999999977</v>
      </c>
      <c r="EL183" s="13">
        <f t="shared" si="179"/>
        <v>68.200525419065656</v>
      </c>
      <c r="EM183" s="20">
        <f t="shared" si="180"/>
        <v>616.62754843820551</v>
      </c>
      <c r="EN183" s="59">
        <f t="shared" si="128"/>
        <v>909.96088177153888</v>
      </c>
      <c r="EO183" s="59">
        <f ca="1">AVERAGE(OFFSET($EN$3,0,0,'Données projet'!$E$15+1,1))-AVERAGE(OFFSET($H$3,0,0,'Données projet'!$E$15+1,1))</f>
        <v>288.41846134875794</v>
      </c>
      <c r="EP183" s="59">
        <f t="shared" si="154"/>
        <v>248.93951719818972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9.9111787753212308</v>
      </c>
      <c r="EW183" s="21">
        <f>EXP(-LN(2)/25)*EW182+(1-EXP(-LN(2)/25))/(LN(2)/25)*Calculateur!ER183*Calculateur!ET183*VLOOKUP('Données projet'!$B$15,Paramètres!$A$1:$I$89,3,0)*0.475*44/12</f>
        <v>0.43648313173342357</v>
      </c>
      <c r="EX183" s="21">
        <f>EXP(-LN(2)/2)*EX182+(1-EXP(-LN(2)/2))/(LN(2)/2)*ER183*EU183*VLOOKUP('Données projet'!$B$15,Paramètres!$A$1:$I$89,3,0)*0.475*44/12</f>
        <v>1.2881454566950473E-23</v>
      </c>
      <c r="EY183" s="22">
        <f t="shared" si="181"/>
        <v>10.347661907054654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789.00000000000045</v>
      </c>
      <c r="FF183" s="17">
        <f>FE183*VLOOKUP('Données projet'!$B$16,Paramètres!$A$1:$I$89,3,0)*VLOOKUP('Données projet'!$B$16,Paramètres!$A$1:$I$89,5,0)</f>
        <v>358.99500000000023</v>
      </c>
      <c r="FG183" s="13">
        <f t="shared" si="182"/>
        <v>83.411930940690553</v>
      </c>
      <c r="FH183" s="20">
        <f t="shared" si="183"/>
        <v>770.52540472170313</v>
      </c>
      <c r="FI183" s="59">
        <f t="shared" si="131"/>
        <v>1063.8587380550364</v>
      </c>
      <c r="FJ183" s="59">
        <f ca="1">AVERAGE(OFFSET($FI$3,0,0,'Données projet'!$E$16+1,1))-AVERAGE(OFFSET($H$3,0,0,'Données projet'!$E$16+1,1))</f>
        <v>367.36535411813264</v>
      </c>
      <c r="FK183" s="59">
        <f t="shared" si="156"/>
        <v>293.19545174980556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12.110275758078293</v>
      </c>
      <c r="FR183" s="21">
        <f>EXP(-LN(2)/25)*FR182+(1-EXP(-LN(2)/25))/(LN(2)/25)*Calculateur!FM183*Calculateur!FO183*VLOOKUP('Données projet'!$B$16,Paramètres!$A$1:$I$89,3,0)*0.475*44/12</f>
        <v>0.67651371061742371</v>
      </c>
      <c r="FS183" s="21">
        <f>EXP(-LN(2)/2)*FS182+(1-EXP(-LN(2)/2))/(LN(2)/2)*FM183*FP183*VLOOKUP('Données projet'!$B$16,Paramètres!$A$1:$I$89,3,0)*0.475*44/12</f>
        <v>1.9176078395979905E-23</v>
      </c>
      <c r="FT183" s="22">
        <f t="shared" si="184"/>
        <v>12.786789468695718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669.99999999999989</v>
      </c>
      <c r="GA183" s="17">
        <f>FZ183*VLOOKUP('Données projet'!$B$17,Paramètres!$A$1:$I$89,3,0)*VLOOKUP('Données projet'!$B$17,Paramètres!$A$1:$I$89,5,0)</f>
        <v>322.26999999999992</v>
      </c>
      <c r="GB183" s="13">
        <f t="shared" si="185"/>
        <v>75.825476822885776</v>
      </c>
      <c r="GC183" s="20">
        <f t="shared" si="186"/>
        <v>693.34962213319261</v>
      </c>
      <c r="GD183" s="59">
        <f t="shared" si="134"/>
        <v>986.68295546652598</v>
      </c>
      <c r="GE183" s="59">
        <f ca="1">AVERAGE(OFFSET($GD$3,0,0,'Données projet'!$E$17+1,1))-AVERAGE(OFFSET($H$3,0,0,'Données projet'!$E$17+1,1))</f>
        <v>312.64506496298173</v>
      </c>
      <c r="GF183" s="59">
        <f t="shared" si="158"/>
        <v>259.97532509897508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15.633225912551353</v>
      </c>
      <c r="GM183" s="21">
        <f>EXP(-LN(2)/25)*GM182+(1-EXP(-LN(2)/25))/(LN(2)/25)*Calculateur!GH183*Calculateur!GJ183*VLOOKUP('Données projet'!$B$17,Paramètres!$A$1:$I$89,3,0)*0.475*44/12</f>
        <v>0.30586572786493693</v>
      </c>
      <c r="GN183" s="21">
        <f>EXP(-LN(2)/2)*GN182+(1-EXP(-LN(2)/2))/(LN(2)/2)*GH183*GK183*VLOOKUP('Données projet'!$B$17,Paramètres!$A$1:$I$89,3,0)*0.475*44/12</f>
        <v>1.0193326681465965E-22</v>
      </c>
      <c r="GO183" s="21">
        <f t="shared" si="187"/>
        <v>15.93909164041629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267</v>
      </c>
      <c r="GV183" s="17">
        <f>GU183*VLOOKUP('Données projet'!$B$18,Paramètres!$A$1:$I$89,3,0)*VLOOKUP('Données projet'!$B$18,Paramètres!$A$1:$I$89,5,0)</f>
        <v>270.738</v>
      </c>
      <c r="GW183" s="13">
        <f t="shared" si="188"/>
        <v>65.005866623551711</v>
      </c>
      <c r="GX183" s="20">
        <f t="shared" si="189"/>
        <v>584.7539010360191</v>
      </c>
      <c r="GY183" s="59">
        <f t="shared" si="137"/>
        <v>878.08723436935247</v>
      </c>
      <c r="GZ183" s="59">
        <f ca="1">AVERAGE(OFFSET($GY$3,0,0,'Données projet'!$E$18+1,1))-AVERAGE(OFFSET($H$3,0,0,'Données projet'!$E$18+1,1))</f>
        <v>308.80022073574963</v>
      </c>
      <c r="HA183" s="59">
        <f t="shared" si="160"/>
        <v>183.96267407004115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23.381567592083421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23.381567592083421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344.49457749226184</v>
      </c>
      <c r="T184" s="59">
        <f t="shared" si="142"/>
        <v>207.92972431357452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208.99999999999989</v>
      </c>
      <c r="AJ184" s="13">
        <f>AI184*VLOOKUP('Données projet'!$B$10,Paramètres!$A$1:$I$89,3,0)*VLOOKUP('Données projet'!$B$10,Paramètres!$A$1:$I$89,5,0)</f>
        <v>189.1031999999999</v>
      </c>
      <c r="AK184" s="13">
        <f t="shared" si="164"/>
        <v>47.34162854278712</v>
      </c>
      <c r="AL184" s="20">
        <f t="shared" si="165"/>
        <v>411.80807637868742</v>
      </c>
      <c r="AM184" s="59">
        <f t="shared" si="113"/>
        <v>705.14140971202073</v>
      </c>
      <c r="AN184" s="59">
        <f ca="1">AVERAGE(OFFSET($AM$3,0,0,'Données projet'!$E$10+1,1))-AVERAGE(OFFSET($H$3,0,0,'Données projet'!$E$10+1,1))</f>
        <v>183.0147113277086</v>
      </c>
      <c r="AO184" s="59">
        <f t="shared" si="144"/>
        <v>76.413905647258389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15.369642775485017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15.369642775485017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253.79640000000001</v>
      </c>
      <c r="BF184" s="13">
        <f t="shared" si="167"/>
        <v>61.39816832228076</v>
      </c>
      <c r="BG184" s="20">
        <f t="shared" si="168"/>
        <v>548.96387316130563</v>
      </c>
      <c r="BH184" s="59">
        <f t="shared" si="116"/>
        <v>842.29720649463889</v>
      </c>
      <c r="BI184" s="59">
        <f ca="1">AVERAGE(OFFSET($BH$3,0,0,'Données projet'!$E$11+1,1))-AVERAGE(OFFSET($H$3,0,0,'Données projet'!$E$11+1,1))</f>
        <v>279.49721661620544</v>
      </c>
      <c r="BJ184" s="59">
        <f t="shared" si="146"/>
        <v>275.18739333988754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7.1939216935978498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7.1939216935978498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754.68411025369562</v>
      </c>
      <c r="CD184" s="59">
        <f ca="1">AVERAGE(OFFSET($CC$3,0,0,'Données projet'!$E$12+1,1))-AVERAGE(OFFSET($H$3,0,0,'Données projet'!$E$12+1,1))</f>
        <v>225.2323446080772</v>
      </c>
      <c r="CE184" s="59">
        <f t="shared" si="148"/>
        <v>222.29030402759292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5.8704423805594264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5.8704423805594264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213.00000000000003</v>
      </c>
      <c r="CU184" s="17">
        <f>CT184*VLOOKUP('Données projet'!$B$13,Paramètres!$A$1:$I$89,3,0)*VLOOKUP('Données projet'!$B$13,Paramètres!$A$1:$I$89,5,0)</f>
        <v>229.2732</v>
      </c>
      <c r="CV184" s="13">
        <f t="shared" si="173"/>
        <v>56.125501442527366</v>
      </c>
      <c r="CW184" s="20">
        <f t="shared" si="174"/>
        <v>497.06940501240177</v>
      </c>
      <c r="CX184" s="59">
        <f t="shared" si="122"/>
        <v>790.40273834573509</v>
      </c>
      <c r="CY184" s="59">
        <f ca="1">AVERAGE(OFFSET($CX$3,0,0,'Données projet'!$E$13+1,1))-AVERAGE(OFFSET($H$3,0,0,'Données projet'!$E$13+1,1))</f>
        <v>240.57184010337932</v>
      </c>
      <c r="CZ184" s="59">
        <f t="shared" si="150"/>
        <v>236.36473521227072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4.9782904022459178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4.9782904022459178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670.99999999999977</v>
      </c>
      <c r="DP184" s="17">
        <f>DO184*VLOOKUP('Données projet'!$B$14,Paramètres!$A$1:$I$89,3,0)*VLOOKUP('Données projet'!$B$14,Paramètres!$A$1:$I$89,5,0)</f>
        <v>314.02799999999991</v>
      </c>
      <c r="DQ184" s="13">
        <f t="shared" si="176"/>
        <v>74.109403804428752</v>
      </c>
      <c r="DR184" s="20">
        <f t="shared" si="177"/>
        <v>676.00597829271317</v>
      </c>
      <c r="DS184" s="59">
        <f t="shared" si="125"/>
        <v>969.33931162604654</v>
      </c>
      <c r="DT184" s="59">
        <f ca="1">AVERAGE(OFFSET($DS$3,0,0,'Données projet'!$E$14+1,1))-AVERAGE(OFFSET($H$3,0,0,'Données projet'!$E$14+1,1))</f>
        <v>304.29617570272939</v>
      </c>
      <c r="DU184" s="59">
        <f t="shared" si="152"/>
        <v>246.20695736161576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13.430760512298125</v>
      </c>
      <c r="EB184" s="21">
        <f>EXP(-LN(2)/25)*EB183+(1-EXP(-LN(2)/25))/(LN(2)/25)*Calculateur!DW184*Calculateur!DY184*VLOOKUP('Données projet'!$B$14,Paramètres!$A$1:$I$89,3,0)*0.475*44/12</f>
        <v>0.62196485562708559</v>
      </c>
      <c r="EC184" s="21">
        <f>EXP(-LN(2)/2)*EC183+(1-EXP(-LN(2)/2))/(LN(2)/2)*DW184*DZ184*VLOOKUP('Données projet'!$B$14,Paramètres!$A$1:$I$89,3,0)*0.475*44/12</f>
        <v>7.3636141040563734E-23</v>
      </c>
      <c r="ED184" s="22">
        <f t="shared" si="178"/>
        <v>14.052725367925211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477.9999999999996</v>
      </c>
      <c r="EK184" s="17">
        <f>EJ184*VLOOKUP('Données projet'!$B$15,Paramètres!$A$1:$I$89,3,0)*VLOOKUP('Données projet'!$B$15,Paramètres!$A$1:$I$89,5,0)</f>
        <v>285.84399999999977</v>
      </c>
      <c r="EL184" s="13">
        <f t="shared" si="179"/>
        <v>68.200525419065656</v>
      </c>
      <c r="EM184" s="20">
        <f t="shared" si="180"/>
        <v>616.62754843820551</v>
      </c>
      <c r="EN184" s="59">
        <f t="shared" si="128"/>
        <v>909.96088177153888</v>
      </c>
      <c r="EO184" s="59">
        <f ca="1">AVERAGE(OFFSET($EN$3,0,0,'Données projet'!$E$15+1,1))-AVERAGE(OFFSET($H$3,0,0,'Données projet'!$E$15+1,1))</f>
        <v>288.41846134875794</v>
      </c>
      <c r="EP184" s="59">
        <f t="shared" si="154"/>
        <v>248.93951719818972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9.7168266047593175</v>
      </c>
      <c r="EW184" s="21">
        <f>EXP(-LN(2)/25)*EW183+(1-EXP(-LN(2)/25))/(LN(2)/25)*Calculateur!ER184*Calculateur!ET184*VLOOKUP('Données projet'!$B$15,Paramètres!$A$1:$I$89,3,0)*0.475*44/12</f>
        <v>0.42454747754252281</v>
      </c>
      <c r="EX184" s="21">
        <f>EXP(-LN(2)/2)*EX183+(1-EXP(-LN(2)/2))/(LN(2)/2)*ER184*EU184*VLOOKUP('Données projet'!$B$15,Paramètres!$A$1:$I$89,3,0)*0.475*44/12</f>
        <v>9.1085638758371016E-24</v>
      </c>
      <c r="EY184" s="22">
        <f t="shared" si="181"/>
        <v>10.141374082301841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789.00000000000045</v>
      </c>
      <c r="FF184" s="17">
        <f>FE184*VLOOKUP('Données projet'!$B$16,Paramètres!$A$1:$I$89,3,0)*VLOOKUP('Données projet'!$B$16,Paramètres!$A$1:$I$89,5,0)</f>
        <v>358.99500000000023</v>
      </c>
      <c r="FG184" s="13">
        <f t="shared" si="182"/>
        <v>83.411930940690553</v>
      </c>
      <c r="FH184" s="20">
        <f t="shared" si="183"/>
        <v>770.52540472170313</v>
      </c>
      <c r="FI184" s="59">
        <f t="shared" si="131"/>
        <v>1063.8587380550364</v>
      </c>
      <c r="FJ184" s="59">
        <f ca="1">AVERAGE(OFFSET($FI$3,0,0,'Données projet'!$E$16+1,1))-AVERAGE(OFFSET($H$3,0,0,'Données projet'!$E$16+1,1))</f>
        <v>367.36535411813264</v>
      </c>
      <c r="FK184" s="59">
        <f t="shared" si="156"/>
        <v>293.19545174980556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11.87280063700123</v>
      </c>
      <c r="FR184" s="21">
        <f>EXP(-LN(2)/25)*FR183+(1-EXP(-LN(2)/25))/(LN(2)/25)*Calculateur!FM184*Calculateur!FO184*VLOOKUP('Données projet'!$B$16,Paramètres!$A$1:$I$89,3,0)*0.475*44/12</f>
        <v>0.65801440762428043</v>
      </c>
      <c r="FS184" s="21">
        <f>EXP(-LN(2)/2)*FS183+(1-EXP(-LN(2)/2))/(LN(2)/2)*FM184*FP184*VLOOKUP('Données projet'!$B$16,Paramètres!$A$1:$I$89,3,0)*0.475*44/12</f>
        <v>1.3559535070362243E-23</v>
      </c>
      <c r="FT184" s="22">
        <f t="shared" si="184"/>
        <v>12.530815044625511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669.99999999999989</v>
      </c>
      <c r="GA184" s="17">
        <f>FZ184*VLOOKUP('Données projet'!$B$17,Paramètres!$A$1:$I$89,3,0)*VLOOKUP('Données projet'!$B$17,Paramètres!$A$1:$I$89,5,0)</f>
        <v>322.26999999999992</v>
      </c>
      <c r="GB184" s="13">
        <f t="shared" si="185"/>
        <v>75.825476822885776</v>
      </c>
      <c r="GC184" s="20">
        <f t="shared" si="186"/>
        <v>693.34962213319261</v>
      </c>
      <c r="GD184" s="59">
        <f t="shared" si="134"/>
        <v>986.68295546652598</v>
      </c>
      <c r="GE184" s="59">
        <f ca="1">AVERAGE(OFFSET($GD$3,0,0,'Données projet'!$E$17+1,1))-AVERAGE(OFFSET($H$3,0,0,'Données projet'!$E$17+1,1))</f>
        <v>312.64506496298173</v>
      </c>
      <c r="GF184" s="59">
        <f t="shared" si="158"/>
        <v>259.97532509897508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15.326667887732492</v>
      </c>
      <c r="GM184" s="21">
        <f>EXP(-LN(2)/25)*GM183+(1-EXP(-LN(2)/25))/(LN(2)/25)*Calculateur!GH184*Calculateur!GJ184*VLOOKUP('Données projet'!$B$17,Paramètres!$A$1:$I$89,3,0)*0.475*44/12</f>
        <v>0.29750181345169069</v>
      </c>
      <c r="GN184" s="21">
        <f>EXP(-LN(2)/2)*GN183+(1-EXP(-LN(2)/2))/(LN(2)/2)*GH184*GK184*VLOOKUP('Données projet'!$B$17,Paramètres!$A$1:$I$89,3,0)*0.475*44/12</f>
        <v>7.2077704193143508E-23</v>
      </c>
      <c r="GO184" s="21">
        <f t="shared" si="187"/>
        <v>15.624169701184183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267</v>
      </c>
      <c r="GV184" s="17">
        <f>GU184*VLOOKUP('Données projet'!$B$18,Paramètres!$A$1:$I$89,3,0)*VLOOKUP('Données projet'!$B$18,Paramètres!$A$1:$I$89,5,0)</f>
        <v>270.738</v>
      </c>
      <c r="GW184" s="13">
        <f t="shared" si="188"/>
        <v>65.005866623551711</v>
      </c>
      <c r="GX184" s="20">
        <f t="shared" si="189"/>
        <v>584.7539010360191</v>
      </c>
      <c r="GY184" s="59">
        <f t="shared" si="137"/>
        <v>878.08723436935247</v>
      </c>
      <c r="GZ184" s="59">
        <f ca="1">AVERAGE(OFFSET($GY$3,0,0,'Données projet'!$E$18+1,1))-AVERAGE(OFFSET($H$3,0,0,'Données projet'!$E$18+1,1))</f>
        <v>308.80022073574963</v>
      </c>
      <c r="HA184" s="59">
        <f t="shared" si="160"/>
        <v>183.96267407004115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22.923069312950705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22.923069312950705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344.49457749226184</v>
      </c>
      <c r="T185" s="59">
        <f t="shared" si="142"/>
        <v>207.92972431357452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208.99999999999989</v>
      </c>
      <c r="AJ185" s="13">
        <f>AI185*VLOOKUP('Données projet'!$B$10,Paramètres!$A$1:$I$89,3,0)*VLOOKUP('Données projet'!$B$10,Paramètres!$A$1:$I$89,5,0)</f>
        <v>189.1031999999999</v>
      </c>
      <c r="AK185" s="13">
        <f t="shared" si="164"/>
        <v>47.34162854278712</v>
      </c>
      <c r="AL185" s="20">
        <f t="shared" si="165"/>
        <v>411.80807637868742</v>
      </c>
      <c r="AM185" s="59">
        <f t="shared" si="113"/>
        <v>705.14140971202073</v>
      </c>
      <c r="AN185" s="59">
        <f ca="1">AVERAGE(OFFSET($AM$3,0,0,'Données projet'!$E$10+1,1))-AVERAGE(OFFSET($H$3,0,0,'Données projet'!$E$10+1,1))</f>
        <v>183.0147113277086</v>
      </c>
      <c r="AO185" s="59">
        <f t="shared" si="144"/>
        <v>76.413905647258389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15.068253455214188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15.068253455214188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253.79640000000001</v>
      </c>
      <c r="BF185" s="13">
        <f t="shared" si="167"/>
        <v>61.39816832228076</v>
      </c>
      <c r="BG185" s="20">
        <f t="shared" si="168"/>
        <v>548.96387316130563</v>
      </c>
      <c r="BH185" s="59">
        <f t="shared" si="116"/>
        <v>842.29720649463889</v>
      </c>
      <c r="BI185" s="59">
        <f ca="1">AVERAGE(OFFSET($BH$3,0,0,'Données projet'!$E$11+1,1))-AVERAGE(OFFSET($H$3,0,0,'Données projet'!$E$11+1,1))</f>
        <v>279.49721661620544</v>
      </c>
      <c r="BJ185" s="59">
        <f t="shared" si="146"/>
        <v>275.18739333988754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7.0528532770453642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7.0528532770453642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754.68411025369562</v>
      </c>
      <c r="CD185" s="59">
        <f ca="1">AVERAGE(OFFSET($CC$3,0,0,'Données projet'!$E$12+1,1))-AVERAGE(OFFSET($H$3,0,0,'Données projet'!$E$12+1,1))</f>
        <v>225.2323446080772</v>
      </c>
      <c r="CE185" s="59">
        <f t="shared" si="148"/>
        <v>222.29030402759292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5.7553265860929512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5.7553265860929512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213.00000000000003</v>
      </c>
      <c r="CU185" s="17">
        <f>CT185*VLOOKUP('Données projet'!$B$13,Paramètres!$A$1:$I$89,3,0)*VLOOKUP('Données projet'!$B$13,Paramètres!$A$1:$I$89,5,0)</f>
        <v>229.2732</v>
      </c>
      <c r="CV185" s="13">
        <f t="shared" si="173"/>
        <v>56.125501442527366</v>
      </c>
      <c r="CW185" s="20">
        <f t="shared" si="174"/>
        <v>497.06940501240177</v>
      </c>
      <c r="CX185" s="59">
        <f t="shared" si="122"/>
        <v>790.40273834573509</v>
      </c>
      <c r="CY185" s="59">
        <f ca="1">AVERAGE(OFFSET($CX$3,0,0,'Données projet'!$E$13+1,1))-AVERAGE(OFFSET($H$3,0,0,'Données projet'!$E$13+1,1))</f>
        <v>240.57184010337932</v>
      </c>
      <c r="CZ185" s="59">
        <f t="shared" si="150"/>
        <v>236.36473521227072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4.8806691639151953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4.8806691639151953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670.99999999999977</v>
      </c>
      <c r="DP185" s="17">
        <f>DO185*VLOOKUP('Données projet'!$B$14,Paramètres!$A$1:$I$89,3,0)*VLOOKUP('Données projet'!$B$14,Paramètres!$A$1:$I$89,5,0)</f>
        <v>314.02799999999991</v>
      </c>
      <c r="DQ185" s="13">
        <f t="shared" si="176"/>
        <v>74.109403804428752</v>
      </c>
      <c r="DR185" s="20">
        <f t="shared" si="177"/>
        <v>676.00597829271317</v>
      </c>
      <c r="DS185" s="59">
        <f t="shared" si="125"/>
        <v>969.33931162604654</v>
      </c>
      <c r="DT185" s="59">
        <f ca="1">AVERAGE(OFFSET($DS$3,0,0,'Données projet'!$E$14+1,1))-AVERAGE(OFFSET($H$3,0,0,'Données projet'!$E$14+1,1))</f>
        <v>304.29617570272939</v>
      </c>
      <c r="DU185" s="59">
        <f t="shared" si="152"/>
        <v>246.20695736161576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13.167391490606983</v>
      </c>
      <c r="EB185" s="21">
        <f>EXP(-LN(2)/25)*EB184+(1-EXP(-LN(2)/25))/(LN(2)/25)*Calculateur!DW185*Calculateur!DY185*VLOOKUP('Données projet'!$B$14,Paramètres!$A$1:$I$89,3,0)*0.475*44/12</f>
        <v>0.60495719394225267</v>
      </c>
      <c r="EC185" s="21">
        <f>EXP(-LN(2)/2)*EC184+(1-EXP(-LN(2)/2))/(LN(2)/2)*DW185*DZ185*VLOOKUP('Données projet'!$B$14,Paramètres!$A$1:$I$89,3,0)*0.475*44/12</f>
        <v>5.2068614670191655E-23</v>
      </c>
      <c r="ED185" s="22">
        <f t="shared" si="178"/>
        <v>13.772348684549236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477.9999999999996</v>
      </c>
      <c r="EK185" s="17">
        <f>EJ185*VLOOKUP('Données projet'!$B$15,Paramètres!$A$1:$I$89,3,0)*VLOOKUP('Données projet'!$B$15,Paramètres!$A$1:$I$89,5,0)</f>
        <v>285.84399999999977</v>
      </c>
      <c r="EL185" s="13">
        <f t="shared" si="179"/>
        <v>68.200525419065656</v>
      </c>
      <c r="EM185" s="20">
        <f t="shared" si="180"/>
        <v>616.62754843820551</v>
      </c>
      <c r="EN185" s="59">
        <f t="shared" si="128"/>
        <v>909.96088177153888</v>
      </c>
      <c r="EO185" s="59">
        <f ca="1">AVERAGE(OFFSET($EN$3,0,0,'Données projet'!$E$15+1,1))-AVERAGE(OFFSET($H$3,0,0,'Données projet'!$E$15+1,1))</f>
        <v>288.41846134875794</v>
      </c>
      <c r="EP185" s="59">
        <f t="shared" si="154"/>
        <v>248.93951719818972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9.5262855617190052</v>
      </c>
      <c r="EW185" s="21">
        <f>EXP(-LN(2)/25)*EW184+(1-EXP(-LN(2)/25))/(LN(2)/25)*Calculateur!ER185*Calculateur!ET185*VLOOKUP('Données projet'!$B$15,Paramètres!$A$1:$I$89,3,0)*0.475*44/12</f>
        <v>0.412938204443141</v>
      </c>
      <c r="EX185" s="21">
        <f>EXP(-LN(2)/2)*EX184+(1-EXP(-LN(2)/2))/(LN(2)/2)*ER185*EU185*VLOOKUP('Données projet'!$B$15,Paramètres!$A$1:$I$89,3,0)*0.475*44/12</f>
        <v>6.4407272834752367E-24</v>
      </c>
      <c r="EY185" s="22">
        <f t="shared" si="181"/>
        <v>9.9392237661621454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789.00000000000045</v>
      </c>
      <c r="FF185" s="17">
        <f>FE185*VLOOKUP('Données projet'!$B$16,Paramètres!$A$1:$I$89,3,0)*VLOOKUP('Données projet'!$B$16,Paramètres!$A$1:$I$89,5,0)</f>
        <v>358.99500000000023</v>
      </c>
      <c r="FG185" s="13">
        <f t="shared" si="182"/>
        <v>83.411930940690553</v>
      </c>
      <c r="FH185" s="20">
        <f t="shared" si="183"/>
        <v>770.52540472170313</v>
      </c>
      <c r="FI185" s="59">
        <f t="shared" si="131"/>
        <v>1063.8587380550364</v>
      </c>
      <c r="FJ185" s="59">
        <f ca="1">AVERAGE(OFFSET($FI$3,0,0,'Données projet'!$E$16+1,1))-AVERAGE(OFFSET($H$3,0,0,'Données projet'!$E$16+1,1))</f>
        <v>367.36535411813264</v>
      </c>
      <c r="FK185" s="59">
        <f t="shared" si="156"/>
        <v>293.19545174980556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11.639982258202966</v>
      </c>
      <c r="FR185" s="21">
        <f>EXP(-LN(2)/25)*FR184+(1-EXP(-LN(2)/25))/(LN(2)/25)*Calculateur!FM185*Calculateur!FO185*VLOOKUP('Données projet'!$B$16,Paramètres!$A$1:$I$89,3,0)*0.475*44/12</f>
        <v>0.64002096904432071</v>
      </c>
      <c r="FS185" s="21">
        <f>EXP(-LN(2)/2)*FS184+(1-EXP(-LN(2)/2))/(LN(2)/2)*FM185*FP185*VLOOKUP('Données projet'!$B$16,Paramètres!$A$1:$I$89,3,0)*0.475*44/12</f>
        <v>9.5880391979899523E-24</v>
      </c>
      <c r="FT185" s="22">
        <f t="shared" si="184"/>
        <v>12.280003227247287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669.99999999999989</v>
      </c>
      <c r="GA185" s="17">
        <f>FZ185*VLOOKUP('Données projet'!$B$17,Paramètres!$A$1:$I$89,3,0)*VLOOKUP('Données projet'!$B$17,Paramètres!$A$1:$I$89,5,0)</f>
        <v>322.26999999999992</v>
      </c>
      <c r="GB185" s="13">
        <f t="shared" si="185"/>
        <v>75.825476822885776</v>
      </c>
      <c r="GC185" s="20">
        <f t="shared" si="186"/>
        <v>693.34962213319261</v>
      </c>
      <c r="GD185" s="59">
        <f t="shared" si="134"/>
        <v>986.68295546652598</v>
      </c>
      <c r="GE185" s="59">
        <f ca="1">AVERAGE(OFFSET($GD$3,0,0,'Données projet'!$E$17+1,1))-AVERAGE(OFFSET($H$3,0,0,'Données projet'!$E$17+1,1))</f>
        <v>312.64506496298173</v>
      </c>
      <c r="GF185" s="59">
        <f t="shared" si="158"/>
        <v>259.97532509897508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15.026121278798398</v>
      </c>
      <c r="GM185" s="21">
        <f>EXP(-LN(2)/25)*GM184+(1-EXP(-LN(2)/25))/(LN(2)/25)*Calculateur!GH185*Calculateur!GJ185*VLOOKUP('Données projet'!$B$17,Paramètres!$A$1:$I$89,3,0)*0.475*44/12</f>
        <v>0.28936661071791381</v>
      </c>
      <c r="GN185" s="21">
        <f>EXP(-LN(2)/2)*GN184+(1-EXP(-LN(2)/2))/(LN(2)/2)*GH185*GK185*VLOOKUP('Données projet'!$B$17,Paramètres!$A$1:$I$89,3,0)*0.475*44/12</f>
        <v>5.0966633407329826E-23</v>
      </c>
      <c r="GO185" s="21">
        <f t="shared" si="187"/>
        <v>15.315487889516312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267</v>
      </c>
      <c r="GV185" s="17">
        <f>GU185*VLOOKUP('Données projet'!$B$18,Paramètres!$A$1:$I$89,3,0)*VLOOKUP('Données projet'!$B$18,Paramètres!$A$1:$I$89,5,0)</f>
        <v>270.738</v>
      </c>
      <c r="GW185" s="13">
        <f t="shared" si="188"/>
        <v>65.005866623551711</v>
      </c>
      <c r="GX185" s="20">
        <f t="shared" si="189"/>
        <v>584.7539010360191</v>
      </c>
      <c r="GY185" s="59">
        <f t="shared" si="137"/>
        <v>878.08723436935247</v>
      </c>
      <c r="GZ185" s="59">
        <f ca="1">AVERAGE(OFFSET($GY$3,0,0,'Données projet'!$E$18+1,1))-AVERAGE(OFFSET($H$3,0,0,'Données projet'!$E$18+1,1))</f>
        <v>308.80022073574963</v>
      </c>
      <c r="HA185" s="59">
        <f t="shared" si="160"/>
        <v>183.96267407004115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22.473561905415444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22.473561905415444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344.49457749226184</v>
      </c>
      <c r="T186" s="59">
        <f t="shared" si="142"/>
        <v>207.92972431357452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208.99999999999989</v>
      </c>
      <c r="AJ186" s="13">
        <f>AI186*VLOOKUP('Données projet'!$B$10,Paramètres!$A$1:$I$89,3,0)*VLOOKUP('Données projet'!$B$10,Paramètres!$A$1:$I$89,5,0)</f>
        <v>189.1031999999999</v>
      </c>
      <c r="AK186" s="13">
        <f t="shared" si="164"/>
        <v>47.34162854278712</v>
      </c>
      <c r="AL186" s="20">
        <f t="shared" si="165"/>
        <v>411.80807637868742</v>
      </c>
      <c r="AM186" s="59">
        <f t="shared" si="113"/>
        <v>705.14140971202073</v>
      </c>
      <c r="AN186" s="59">
        <f ca="1">AVERAGE(OFFSET($AM$3,0,0,'Données projet'!$E$10+1,1))-AVERAGE(OFFSET($H$3,0,0,'Données projet'!$E$10+1,1))</f>
        <v>183.0147113277086</v>
      </c>
      <c r="AO186" s="59">
        <f t="shared" si="144"/>
        <v>76.413905647258389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14.772774195684537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14.772774195684537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253.79640000000001</v>
      </c>
      <c r="BF186" s="13">
        <f t="shared" si="167"/>
        <v>61.39816832228076</v>
      </c>
      <c r="BG186" s="20">
        <f t="shared" si="168"/>
        <v>548.96387316130563</v>
      </c>
      <c r="BH186" s="59">
        <f t="shared" si="116"/>
        <v>842.29720649463889</v>
      </c>
      <c r="BI186" s="59">
        <f ca="1">AVERAGE(OFFSET($BH$3,0,0,'Données projet'!$E$11+1,1))-AVERAGE(OFFSET($H$3,0,0,'Données projet'!$E$11+1,1))</f>
        <v>279.49721661620544</v>
      </c>
      <c r="BJ186" s="59">
        <f t="shared" si="146"/>
        <v>275.18739333988754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6.9145511260982344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6.9145511260982344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754.68411025369562</v>
      </c>
      <c r="CD186" s="59">
        <f ca="1">AVERAGE(OFFSET($CC$3,0,0,'Données projet'!$E$12+1,1))-AVERAGE(OFFSET($H$3,0,0,'Données projet'!$E$12+1,1))</f>
        <v>225.2323446080772</v>
      </c>
      <c r="CE186" s="59">
        <f t="shared" si="148"/>
        <v>222.29030402759292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5.6424681421422624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5.6424681421422624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213.00000000000003</v>
      </c>
      <c r="CU186" s="17">
        <f>CT186*VLOOKUP('Données projet'!$B$13,Paramètres!$A$1:$I$89,3,0)*VLOOKUP('Données projet'!$B$13,Paramètres!$A$1:$I$89,5,0)</f>
        <v>229.2732</v>
      </c>
      <c r="CV186" s="13">
        <f t="shared" si="173"/>
        <v>56.125501442527366</v>
      </c>
      <c r="CW186" s="20">
        <f t="shared" si="174"/>
        <v>497.06940501240177</v>
      </c>
      <c r="CX186" s="59">
        <f t="shared" si="122"/>
        <v>790.40273834573509</v>
      </c>
      <c r="CY186" s="59">
        <f ca="1">AVERAGE(OFFSET($CX$3,0,0,'Données projet'!$E$13+1,1))-AVERAGE(OFFSET($H$3,0,0,'Données projet'!$E$13+1,1))</f>
        <v>240.57184010337932</v>
      </c>
      <c r="CZ186" s="59">
        <f t="shared" si="150"/>
        <v>236.36473521227072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4.7849622185250622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4.7849622185250622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670.99999999999977</v>
      </c>
      <c r="DP186" s="17">
        <f>DO186*VLOOKUP('Données projet'!$B$14,Paramètres!$A$1:$I$89,3,0)*VLOOKUP('Données projet'!$B$14,Paramètres!$A$1:$I$89,5,0)</f>
        <v>314.02799999999991</v>
      </c>
      <c r="DQ186" s="13">
        <f t="shared" si="176"/>
        <v>74.109403804428752</v>
      </c>
      <c r="DR186" s="20">
        <f t="shared" si="177"/>
        <v>676.00597829271317</v>
      </c>
      <c r="DS186" s="59">
        <f t="shared" si="125"/>
        <v>969.33931162604654</v>
      </c>
      <c r="DT186" s="59">
        <f ca="1">AVERAGE(OFFSET($DS$3,0,0,'Données projet'!$E$14+1,1))-AVERAGE(OFFSET($H$3,0,0,'Données projet'!$E$14+1,1))</f>
        <v>304.29617570272939</v>
      </c>
      <c r="DU186" s="59">
        <f t="shared" si="152"/>
        <v>246.20695736161576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12.909186974791963</v>
      </c>
      <c r="EB186" s="21">
        <f>EXP(-LN(2)/25)*EB185+(1-EXP(-LN(2)/25))/(LN(2)/25)*Calculateur!DW186*Calculateur!DY186*VLOOKUP('Données projet'!$B$14,Paramètres!$A$1:$I$89,3,0)*0.475*44/12</f>
        <v>0.58841460766058562</v>
      </c>
      <c r="EC186" s="21">
        <f>EXP(-LN(2)/2)*EC185+(1-EXP(-LN(2)/2))/(LN(2)/2)*DW186*DZ186*VLOOKUP('Données projet'!$B$14,Paramètres!$A$1:$I$89,3,0)*0.475*44/12</f>
        <v>3.6818070520281873E-23</v>
      </c>
      <c r="ED186" s="22">
        <f t="shared" si="178"/>
        <v>13.497601582452548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477.9999999999996</v>
      </c>
      <c r="EK186" s="17">
        <f>EJ186*VLOOKUP('Données projet'!$B$15,Paramètres!$A$1:$I$89,3,0)*VLOOKUP('Données projet'!$B$15,Paramètres!$A$1:$I$89,5,0)</f>
        <v>285.84399999999977</v>
      </c>
      <c r="EL186" s="13">
        <f t="shared" si="179"/>
        <v>68.200525419065656</v>
      </c>
      <c r="EM186" s="20">
        <f t="shared" si="180"/>
        <v>616.62754843820551</v>
      </c>
      <c r="EN186" s="59">
        <f t="shared" si="128"/>
        <v>909.96088177153888</v>
      </c>
      <c r="EO186" s="59">
        <f ca="1">AVERAGE(OFFSET($EN$3,0,0,'Données projet'!$E$15+1,1))-AVERAGE(OFFSET($H$3,0,0,'Données projet'!$E$15+1,1))</f>
        <v>288.41846134875794</v>
      </c>
      <c r="EP186" s="59">
        <f t="shared" si="154"/>
        <v>248.93951719818972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9.3394809123141531</v>
      </c>
      <c r="EW186" s="21">
        <f>EXP(-LN(2)/25)*EW185+(1-EXP(-LN(2)/25))/(LN(2)/25)*Calculateur!ER186*Calculateur!ET186*VLOOKUP('Données projet'!$B$15,Paramètres!$A$1:$I$89,3,0)*0.475*44/12</f>
        <v>0.40164638752716691</v>
      </c>
      <c r="EX186" s="21">
        <f>EXP(-LN(2)/2)*EX185+(1-EXP(-LN(2)/2))/(LN(2)/2)*ER186*EU186*VLOOKUP('Données projet'!$B$15,Paramètres!$A$1:$I$89,3,0)*0.475*44/12</f>
        <v>4.5542819379185508E-24</v>
      </c>
      <c r="EY186" s="22">
        <f t="shared" si="181"/>
        <v>9.7411272998413203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789.00000000000045</v>
      </c>
      <c r="FF186" s="17">
        <f>FE186*VLOOKUP('Données projet'!$B$16,Paramètres!$A$1:$I$89,3,0)*VLOOKUP('Données projet'!$B$16,Paramètres!$A$1:$I$89,5,0)</f>
        <v>358.99500000000023</v>
      </c>
      <c r="FG186" s="13">
        <f t="shared" si="182"/>
        <v>83.411930940690553</v>
      </c>
      <c r="FH186" s="20">
        <f t="shared" si="183"/>
        <v>770.52540472170313</v>
      </c>
      <c r="FI186" s="59">
        <f t="shared" si="131"/>
        <v>1063.8587380550364</v>
      </c>
      <c r="FJ186" s="59">
        <f ca="1">AVERAGE(OFFSET($FI$3,0,0,'Données projet'!$E$16+1,1))-AVERAGE(OFFSET($H$3,0,0,'Données projet'!$E$16+1,1))</f>
        <v>367.36535411813264</v>
      </c>
      <c r="FK186" s="59">
        <f t="shared" si="156"/>
        <v>293.19545174980556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11.411729305807748</v>
      </c>
      <c r="FR186" s="21">
        <f>EXP(-LN(2)/25)*FR185+(1-EXP(-LN(2)/25))/(LN(2)/25)*Calculateur!FM186*Calculateur!FO186*VLOOKUP('Données projet'!$B$16,Paramètres!$A$1:$I$89,3,0)*0.475*44/12</f>
        <v>0.62251956198856373</v>
      </c>
      <c r="FS186" s="21">
        <f>EXP(-LN(2)/2)*FS185+(1-EXP(-LN(2)/2))/(LN(2)/2)*FM186*FP186*VLOOKUP('Données projet'!$B$16,Paramètres!$A$1:$I$89,3,0)*0.475*44/12</f>
        <v>6.7797675351811216E-24</v>
      </c>
      <c r="FT186" s="22">
        <f t="shared" si="184"/>
        <v>12.034248867796311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669.99999999999989</v>
      </c>
      <c r="GA186" s="17">
        <f>FZ186*VLOOKUP('Données projet'!$B$17,Paramètres!$A$1:$I$89,3,0)*VLOOKUP('Données projet'!$B$17,Paramètres!$A$1:$I$89,5,0)</f>
        <v>322.26999999999992</v>
      </c>
      <c r="GB186" s="13">
        <f t="shared" si="185"/>
        <v>75.825476822885776</v>
      </c>
      <c r="GC186" s="20">
        <f t="shared" si="186"/>
        <v>693.34962213319261</v>
      </c>
      <c r="GD186" s="59">
        <f t="shared" si="134"/>
        <v>986.68295546652598</v>
      </c>
      <c r="GE186" s="59">
        <f ca="1">AVERAGE(OFFSET($GD$3,0,0,'Données projet'!$E$17+1,1))-AVERAGE(OFFSET($H$3,0,0,'Données projet'!$E$17+1,1))</f>
        <v>312.64506496298173</v>
      </c>
      <c r="GF186" s="59">
        <f t="shared" si="158"/>
        <v>259.97532509897508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14.73146820555017</v>
      </c>
      <c r="GM186" s="21">
        <f>EXP(-LN(2)/25)*GM185+(1-EXP(-LN(2)/25))/(LN(2)/25)*Calculateur!GH186*Calculateur!GJ186*VLOOKUP('Données projet'!$B$17,Paramètres!$A$1:$I$89,3,0)*0.475*44/12</f>
        <v>0.28145386553070373</v>
      </c>
      <c r="GN186" s="21">
        <f>EXP(-LN(2)/2)*GN185+(1-EXP(-LN(2)/2))/(LN(2)/2)*GH186*GK186*VLOOKUP('Données projet'!$B$17,Paramètres!$A$1:$I$89,3,0)*0.475*44/12</f>
        <v>3.6038852096571754E-23</v>
      </c>
      <c r="GO186" s="21">
        <f t="shared" si="187"/>
        <v>15.012922071080874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267</v>
      </c>
      <c r="GV186" s="17">
        <f>GU186*VLOOKUP('Données projet'!$B$18,Paramètres!$A$1:$I$89,3,0)*VLOOKUP('Données projet'!$B$18,Paramètres!$A$1:$I$89,5,0)</f>
        <v>270.738</v>
      </c>
      <c r="GW186" s="13">
        <f t="shared" si="188"/>
        <v>65.005866623551711</v>
      </c>
      <c r="GX186" s="20">
        <f t="shared" si="189"/>
        <v>584.7539010360191</v>
      </c>
      <c r="GY186" s="59">
        <f t="shared" si="137"/>
        <v>878.08723436935247</v>
      </c>
      <c r="GZ186" s="59">
        <f ca="1">AVERAGE(OFFSET($GY$3,0,0,'Données projet'!$E$18+1,1))-AVERAGE(OFFSET($H$3,0,0,'Données projet'!$E$18+1,1))</f>
        <v>308.80022073574963</v>
      </c>
      <c r="HA186" s="59">
        <f t="shared" si="160"/>
        <v>183.96267407004115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22.032869063969503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22.032869063969503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344.49457749226184</v>
      </c>
      <c r="T187" s="59">
        <f t="shared" si="142"/>
        <v>207.92972431357452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208.99999999999989</v>
      </c>
      <c r="AJ187" s="13">
        <f>AI187*VLOOKUP('Données projet'!$B$10,Paramètres!$A$1:$I$89,3,0)*VLOOKUP('Données projet'!$B$10,Paramètres!$A$1:$I$89,5,0)</f>
        <v>189.1031999999999</v>
      </c>
      <c r="AK187" s="13">
        <f t="shared" si="164"/>
        <v>47.34162854278712</v>
      </c>
      <c r="AL187" s="20">
        <f t="shared" si="165"/>
        <v>411.80807637868742</v>
      </c>
      <c r="AM187" s="59">
        <f t="shared" si="113"/>
        <v>705.14140971202073</v>
      </c>
      <c r="AN187" s="59">
        <f ca="1">AVERAGE(OFFSET($AM$3,0,0,'Données projet'!$E$10+1,1))-AVERAGE(OFFSET($H$3,0,0,'Données projet'!$E$10+1,1))</f>
        <v>183.0147113277086</v>
      </c>
      <c r="AO187" s="59">
        <f t="shared" si="144"/>
        <v>76.413905647258389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14.483089104209709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14.483089104209709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253.79640000000001</v>
      </c>
      <c r="BF187" s="13">
        <f t="shared" si="167"/>
        <v>61.39816832228076</v>
      </c>
      <c r="BG187" s="20">
        <f t="shared" si="168"/>
        <v>548.96387316130563</v>
      </c>
      <c r="BH187" s="59">
        <f t="shared" si="116"/>
        <v>842.29720649463889</v>
      </c>
      <c r="BI187" s="59">
        <f ca="1">AVERAGE(OFFSET($BH$3,0,0,'Données projet'!$E$11+1,1))-AVERAGE(OFFSET($H$3,0,0,'Données projet'!$E$11+1,1))</f>
        <v>279.49721661620544</v>
      </c>
      <c r="BJ187" s="59">
        <f t="shared" si="146"/>
        <v>275.18739333988754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6.7789609959751953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6.7789609959751953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754.68411025369562</v>
      </c>
      <c r="CD187" s="59">
        <f ca="1">AVERAGE(OFFSET($CC$3,0,0,'Données projet'!$E$12+1,1))-AVERAGE(OFFSET($H$3,0,0,'Données projet'!$E$12+1,1))</f>
        <v>225.2323446080772</v>
      </c>
      <c r="CE187" s="59">
        <f t="shared" si="148"/>
        <v>222.29030402759292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5.5318227834405933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5.5318227834405933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213.00000000000003</v>
      </c>
      <c r="CU187" s="17">
        <f>CT187*VLOOKUP('Données projet'!$B$13,Paramètres!$A$1:$I$89,3,0)*VLOOKUP('Données projet'!$B$13,Paramètres!$A$1:$I$89,5,0)</f>
        <v>229.2732</v>
      </c>
      <c r="CV187" s="13">
        <f t="shared" si="173"/>
        <v>56.125501442527366</v>
      </c>
      <c r="CW187" s="20">
        <f t="shared" si="174"/>
        <v>497.06940501240177</v>
      </c>
      <c r="CX187" s="59">
        <f t="shared" si="122"/>
        <v>790.40273834573509</v>
      </c>
      <c r="CY187" s="59">
        <f ca="1">AVERAGE(OFFSET($CX$3,0,0,'Données projet'!$E$13+1,1))-AVERAGE(OFFSET($H$3,0,0,'Données projet'!$E$13+1,1))</f>
        <v>240.57184010337932</v>
      </c>
      <c r="CZ187" s="59">
        <f t="shared" si="150"/>
        <v>236.36473521227072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4.6911320279585569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4.6911320279585569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670.99999999999977</v>
      </c>
      <c r="DP187" s="17">
        <f>DO187*VLOOKUP('Données projet'!$B$14,Paramètres!$A$1:$I$89,3,0)*VLOOKUP('Données projet'!$B$14,Paramètres!$A$1:$I$89,5,0)</f>
        <v>314.02799999999991</v>
      </c>
      <c r="DQ187" s="13">
        <f t="shared" si="176"/>
        <v>74.109403804428752</v>
      </c>
      <c r="DR187" s="20">
        <f t="shared" si="177"/>
        <v>676.00597829271317</v>
      </c>
      <c r="DS187" s="59">
        <f t="shared" si="125"/>
        <v>969.33931162604654</v>
      </c>
      <c r="DT187" s="59">
        <f ca="1">AVERAGE(OFFSET($DS$3,0,0,'Données projet'!$E$14+1,1))-AVERAGE(OFFSET($H$3,0,0,'Données projet'!$E$14+1,1))</f>
        <v>304.29617570272939</v>
      </c>
      <c r="DU187" s="59">
        <f t="shared" si="152"/>
        <v>246.20695736161576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12.656045692042872</v>
      </c>
      <c r="EB187" s="21">
        <f>EXP(-LN(2)/25)*EB186+(1-EXP(-LN(2)/25))/(LN(2)/25)*Calculateur!DW187*Calculateur!DY187*VLOOKUP('Données projet'!$B$14,Paramètres!$A$1:$I$89,3,0)*0.475*44/12</f>
        <v>0.57232437927072755</v>
      </c>
      <c r="EC187" s="21">
        <f>EXP(-LN(2)/2)*EC186+(1-EXP(-LN(2)/2))/(LN(2)/2)*DW187*DZ187*VLOOKUP('Données projet'!$B$14,Paramètres!$A$1:$I$89,3,0)*0.475*44/12</f>
        <v>2.6034307335095833E-23</v>
      </c>
      <c r="ED187" s="22">
        <f t="shared" si="178"/>
        <v>13.228370071313599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477.9999999999996</v>
      </c>
      <c r="EK187" s="17">
        <f>EJ187*VLOOKUP('Données projet'!$B$15,Paramètres!$A$1:$I$89,3,0)*VLOOKUP('Données projet'!$B$15,Paramètres!$A$1:$I$89,5,0)</f>
        <v>285.84399999999977</v>
      </c>
      <c r="EL187" s="13">
        <f t="shared" si="179"/>
        <v>68.200525419065656</v>
      </c>
      <c r="EM187" s="20">
        <f t="shared" si="180"/>
        <v>616.62754843820551</v>
      </c>
      <c r="EN187" s="59">
        <f t="shared" si="128"/>
        <v>909.96088177153888</v>
      </c>
      <c r="EO187" s="59">
        <f ca="1">AVERAGE(OFFSET($EN$3,0,0,'Données projet'!$E$15+1,1))-AVERAGE(OFFSET($H$3,0,0,'Données projet'!$E$15+1,1))</f>
        <v>288.41846134875794</v>
      </c>
      <c r="EP187" s="59">
        <f t="shared" si="154"/>
        <v>248.93951719818972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9.156339388144545</v>
      </c>
      <c r="EW187" s="21">
        <f>EXP(-LN(2)/25)*EW186+(1-EXP(-LN(2)/25))/(LN(2)/25)*Calculateur!ER187*Calculateur!ET187*VLOOKUP('Données projet'!$B$15,Paramètres!$A$1:$I$89,3,0)*0.475*44/12</f>
        <v>0.39066334593857099</v>
      </c>
      <c r="EX187" s="21">
        <f>EXP(-LN(2)/2)*EX186+(1-EXP(-LN(2)/2))/(LN(2)/2)*ER187*EU187*VLOOKUP('Données projet'!$B$15,Paramètres!$A$1:$I$89,3,0)*0.475*44/12</f>
        <v>3.2203636417376184E-24</v>
      </c>
      <c r="EY187" s="22">
        <f t="shared" si="181"/>
        <v>9.5470027340831152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789.00000000000045</v>
      </c>
      <c r="FF187" s="17">
        <f>FE187*VLOOKUP('Données projet'!$B$16,Paramètres!$A$1:$I$89,3,0)*VLOOKUP('Données projet'!$B$16,Paramètres!$A$1:$I$89,5,0)</f>
        <v>358.99500000000023</v>
      </c>
      <c r="FG187" s="13">
        <f t="shared" si="182"/>
        <v>83.411930940690553</v>
      </c>
      <c r="FH187" s="20">
        <f t="shared" si="183"/>
        <v>770.52540472170313</v>
      </c>
      <c r="FI187" s="59">
        <f t="shared" si="131"/>
        <v>1063.8587380550364</v>
      </c>
      <c r="FJ187" s="59">
        <f ca="1">AVERAGE(OFFSET($FI$3,0,0,'Données projet'!$E$16+1,1))-AVERAGE(OFFSET($H$3,0,0,'Données projet'!$E$16+1,1))</f>
        <v>367.36535411813264</v>
      </c>
      <c r="FK187" s="59">
        <f t="shared" si="156"/>
        <v>293.19545174980556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11.187952254588446</v>
      </c>
      <c r="FR187" s="21">
        <f>EXP(-LN(2)/25)*FR186+(1-EXP(-LN(2)/25))/(LN(2)/25)*Calculateur!FM187*Calculateur!FO187*VLOOKUP('Données projet'!$B$16,Paramètres!$A$1:$I$89,3,0)*0.475*44/12</f>
        <v>0.60549673182910546</v>
      </c>
      <c r="FS187" s="21">
        <f>EXP(-LN(2)/2)*FS186+(1-EXP(-LN(2)/2))/(LN(2)/2)*FM187*FP187*VLOOKUP('Données projet'!$B$16,Paramètres!$A$1:$I$89,3,0)*0.475*44/12</f>
        <v>4.7940195989949762E-24</v>
      </c>
      <c r="FT187" s="22">
        <f t="shared" si="184"/>
        <v>11.793448986417552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669.99999999999989</v>
      </c>
      <c r="GA187" s="17">
        <f>FZ187*VLOOKUP('Données projet'!$B$17,Paramètres!$A$1:$I$89,3,0)*VLOOKUP('Données projet'!$B$17,Paramètres!$A$1:$I$89,5,0)</f>
        <v>322.26999999999992</v>
      </c>
      <c r="GB187" s="13">
        <f t="shared" si="185"/>
        <v>75.825476822885776</v>
      </c>
      <c r="GC187" s="20">
        <f t="shared" si="186"/>
        <v>693.34962213319261</v>
      </c>
      <c r="GD187" s="59">
        <f t="shared" si="134"/>
        <v>986.68295546652598</v>
      </c>
      <c r="GE187" s="59">
        <f ca="1">AVERAGE(OFFSET($GD$3,0,0,'Données projet'!$E$17+1,1))-AVERAGE(OFFSET($H$3,0,0,'Données projet'!$E$17+1,1))</f>
        <v>312.64506496298173</v>
      </c>
      <c r="GF187" s="59">
        <f t="shared" si="158"/>
        <v>259.97532509897508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14.442593099347711</v>
      </c>
      <c r="GM187" s="21">
        <f>EXP(-LN(2)/25)*GM186+(1-EXP(-LN(2)/25))/(LN(2)/25)*Calculateur!GH187*Calculateur!GJ187*VLOOKUP('Données projet'!$B$17,Paramètres!$A$1:$I$89,3,0)*0.475*44/12</f>
        <v>0.2737574947767511</v>
      </c>
      <c r="GN187" s="21">
        <f>EXP(-LN(2)/2)*GN186+(1-EXP(-LN(2)/2))/(LN(2)/2)*GH187*GK187*VLOOKUP('Données projet'!$B$17,Paramètres!$A$1:$I$89,3,0)*0.475*44/12</f>
        <v>2.5483316703664913E-23</v>
      </c>
      <c r="GO187" s="21">
        <f t="shared" si="187"/>
        <v>14.716350594124462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267</v>
      </c>
      <c r="GV187" s="17">
        <f>GU187*VLOOKUP('Données projet'!$B$18,Paramètres!$A$1:$I$89,3,0)*VLOOKUP('Données projet'!$B$18,Paramètres!$A$1:$I$89,5,0)</f>
        <v>270.738</v>
      </c>
      <c r="GW187" s="13">
        <f t="shared" si="188"/>
        <v>65.005866623551711</v>
      </c>
      <c r="GX187" s="20">
        <f t="shared" si="189"/>
        <v>584.7539010360191</v>
      </c>
      <c r="GY187" s="59">
        <f t="shared" si="137"/>
        <v>878.08723436935247</v>
      </c>
      <c r="GZ187" s="59">
        <f ca="1">AVERAGE(OFFSET($GY$3,0,0,'Données projet'!$E$18+1,1))-AVERAGE(OFFSET($H$3,0,0,'Données projet'!$E$18+1,1))</f>
        <v>308.80022073574963</v>
      </c>
      <c r="HA187" s="59">
        <f t="shared" si="160"/>
        <v>183.96267407004115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21.600817940348225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21.600817940348225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344.49457749226184</v>
      </c>
      <c r="T188" s="59">
        <f t="shared" si="142"/>
        <v>207.92972431357452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208.99999999999989</v>
      </c>
      <c r="AJ188" s="13">
        <f>AI188*VLOOKUP('Données projet'!$B$10,Paramètres!$A$1:$I$89,3,0)*VLOOKUP('Données projet'!$B$10,Paramètres!$A$1:$I$89,5,0)</f>
        <v>189.1031999999999</v>
      </c>
      <c r="AK188" s="13">
        <f t="shared" si="164"/>
        <v>47.34162854278712</v>
      </c>
      <c r="AL188" s="20">
        <f t="shared" si="165"/>
        <v>411.80807637868742</v>
      </c>
      <c r="AM188" s="59">
        <f t="shared" si="113"/>
        <v>705.14140971202073</v>
      </c>
      <c r="AN188" s="59">
        <f ca="1">AVERAGE(OFFSET($AM$3,0,0,'Données projet'!$E$10+1,1))-AVERAGE(OFFSET($H$3,0,0,'Données projet'!$E$10+1,1))</f>
        <v>183.0147113277086</v>
      </c>
      <c r="AO188" s="59">
        <f t="shared" si="144"/>
        <v>76.413905647258389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14.199084560688243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14.199084560688243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253.79640000000001</v>
      </c>
      <c r="BF188" s="13">
        <f t="shared" si="167"/>
        <v>61.39816832228076</v>
      </c>
      <c r="BG188" s="20">
        <f t="shared" si="168"/>
        <v>548.96387316130563</v>
      </c>
      <c r="BH188" s="59">
        <f t="shared" si="116"/>
        <v>842.29720649463889</v>
      </c>
      <c r="BI188" s="59">
        <f ca="1">AVERAGE(OFFSET($BH$3,0,0,'Données projet'!$E$11+1,1))-AVERAGE(OFFSET($H$3,0,0,'Données projet'!$E$11+1,1))</f>
        <v>279.49721661620544</v>
      </c>
      <c r="BJ188" s="59">
        <f t="shared" si="146"/>
        <v>275.18739333988754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6.6460297056020554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6.6460297056020554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754.68411025369562</v>
      </c>
      <c r="CD188" s="59">
        <f ca="1">AVERAGE(OFFSET($CC$3,0,0,'Données projet'!$E$12+1,1))-AVERAGE(OFFSET($H$3,0,0,'Données projet'!$E$12+1,1))</f>
        <v>225.2323446080772</v>
      </c>
      <c r="CE188" s="59">
        <f t="shared" si="148"/>
        <v>222.29030402759292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5.4233471127360584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5.4233471127360584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213.00000000000003</v>
      </c>
      <c r="CU188" s="17">
        <f>CT188*VLOOKUP('Données projet'!$B$13,Paramètres!$A$1:$I$89,3,0)*VLOOKUP('Données projet'!$B$13,Paramètres!$A$1:$I$89,5,0)</f>
        <v>229.2732</v>
      </c>
      <c r="CV188" s="13">
        <f t="shared" si="173"/>
        <v>56.125501442527366</v>
      </c>
      <c r="CW188" s="20">
        <f t="shared" si="174"/>
        <v>497.06940501240177</v>
      </c>
      <c r="CX188" s="59">
        <f t="shared" si="122"/>
        <v>790.40273834573509</v>
      </c>
      <c r="CY188" s="59">
        <f ca="1">AVERAGE(OFFSET($CX$3,0,0,'Données projet'!$E$13+1,1))-AVERAGE(OFFSET($H$3,0,0,'Données projet'!$E$13+1,1))</f>
        <v>240.57184010337932</v>
      </c>
      <c r="CZ188" s="59">
        <f t="shared" si="150"/>
        <v>236.36473521227072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4.5991417901982956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4.5991417901982956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670.99999999999977</v>
      </c>
      <c r="DP188" s="17">
        <f>DO188*VLOOKUP('Données projet'!$B$14,Paramètres!$A$1:$I$89,3,0)*VLOOKUP('Données projet'!$B$14,Paramètres!$A$1:$I$89,5,0)</f>
        <v>314.02799999999991</v>
      </c>
      <c r="DQ188" s="13">
        <f t="shared" si="176"/>
        <v>74.109403804428752</v>
      </c>
      <c r="DR188" s="20">
        <f t="shared" si="177"/>
        <v>676.00597829271317</v>
      </c>
      <c r="DS188" s="59">
        <f t="shared" si="125"/>
        <v>969.33931162604654</v>
      </c>
      <c r="DT188" s="59">
        <f ca="1">AVERAGE(OFFSET($DS$3,0,0,'Données projet'!$E$14+1,1))-AVERAGE(OFFSET($H$3,0,0,'Données projet'!$E$14+1,1))</f>
        <v>304.29617570272939</v>
      </c>
      <c r="DU188" s="59">
        <f t="shared" si="152"/>
        <v>246.20695736161576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12.407868355447553</v>
      </c>
      <c r="EB188" s="21">
        <f>EXP(-LN(2)/25)*EB187+(1-EXP(-LN(2)/25))/(LN(2)/25)*Calculateur!DW188*Calculateur!DY188*VLOOKUP('Données projet'!$B$14,Paramètres!$A$1:$I$89,3,0)*0.475*44/12</f>
        <v>0.55667413902233842</v>
      </c>
      <c r="EC188" s="21">
        <f>EXP(-LN(2)/2)*EC187+(1-EXP(-LN(2)/2))/(LN(2)/2)*DW188*DZ188*VLOOKUP('Données projet'!$B$14,Paramètres!$A$1:$I$89,3,0)*0.475*44/12</f>
        <v>1.8409035260140939E-23</v>
      </c>
      <c r="ED188" s="22">
        <f t="shared" si="178"/>
        <v>12.964542494469891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477.9999999999996</v>
      </c>
      <c r="EK188" s="17">
        <f>EJ188*VLOOKUP('Données projet'!$B$15,Paramètres!$A$1:$I$89,3,0)*VLOOKUP('Données projet'!$B$15,Paramètres!$A$1:$I$89,5,0)</f>
        <v>285.84399999999977</v>
      </c>
      <c r="EL188" s="13">
        <f t="shared" si="179"/>
        <v>68.200525419065656</v>
      </c>
      <c r="EM188" s="20">
        <f t="shared" si="180"/>
        <v>616.62754843820551</v>
      </c>
      <c r="EN188" s="59">
        <f t="shared" si="128"/>
        <v>909.96088177153888</v>
      </c>
      <c r="EO188" s="59">
        <f ca="1">AVERAGE(OFFSET($EN$3,0,0,'Données projet'!$E$15+1,1))-AVERAGE(OFFSET($H$3,0,0,'Données projet'!$E$15+1,1))</f>
        <v>288.41846134875794</v>
      </c>
      <c r="EP188" s="59">
        <f t="shared" si="154"/>
        <v>248.93951719818972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8.9767891575586027</v>
      </c>
      <c r="EW188" s="21">
        <f>EXP(-LN(2)/25)*EW187+(1-EXP(-LN(2)/25))/(LN(2)/25)*Calculateur!ER188*Calculateur!ET188*VLOOKUP('Données projet'!$B$15,Paramètres!$A$1:$I$89,3,0)*0.475*44/12</f>
        <v>0.37998063619978828</v>
      </c>
      <c r="EX188" s="21">
        <f>EXP(-LN(2)/2)*EX187+(1-EXP(-LN(2)/2))/(LN(2)/2)*ER188*EU188*VLOOKUP('Données projet'!$B$15,Paramètres!$A$1:$I$89,3,0)*0.475*44/12</f>
        <v>2.2771409689592754E-24</v>
      </c>
      <c r="EY188" s="22">
        <f t="shared" si="181"/>
        <v>9.3567697937583905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789.00000000000045</v>
      </c>
      <c r="FF188" s="17">
        <f>FE188*VLOOKUP('Données projet'!$B$16,Paramètres!$A$1:$I$89,3,0)*VLOOKUP('Données projet'!$B$16,Paramètres!$A$1:$I$89,5,0)</f>
        <v>358.99500000000023</v>
      </c>
      <c r="FG188" s="13">
        <f t="shared" si="182"/>
        <v>83.411930940690553</v>
      </c>
      <c r="FH188" s="20">
        <f t="shared" si="183"/>
        <v>770.52540472170313</v>
      </c>
      <c r="FI188" s="59">
        <f t="shared" si="131"/>
        <v>1063.8587380550364</v>
      </c>
      <c r="FJ188" s="59">
        <f ca="1">AVERAGE(OFFSET($FI$3,0,0,'Données projet'!$E$16+1,1))-AVERAGE(OFFSET($H$3,0,0,'Données projet'!$E$16+1,1))</f>
        <v>367.36535411813264</v>
      </c>
      <c r="FK188" s="59">
        <f t="shared" si="156"/>
        <v>293.19545174980556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10.96856333485303</v>
      </c>
      <c r="FR188" s="21">
        <f>EXP(-LN(2)/25)*FR187+(1-EXP(-LN(2)/25))/(LN(2)/25)*Calculateur!FM188*Calculateur!FO188*VLOOKUP('Données projet'!$B$16,Paramètres!$A$1:$I$89,3,0)*0.475*44/12</f>
        <v>0.58893939185554933</v>
      </c>
      <c r="FS188" s="21">
        <f>EXP(-LN(2)/2)*FS187+(1-EXP(-LN(2)/2))/(LN(2)/2)*FM188*FP188*VLOOKUP('Données projet'!$B$16,Paramètres!$A$1:$I$89,3,0)*0.475*44/12</f>
        <v>3.3898837675905608E-24</v>
      </c>
      <c r="FT188" s="22">
        <f t="shared" si="184"/>
        <v>11.557502726708579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669.99999999999989</v>
      </c>
      <c r="GA188" s="17">
        <f>FZ188*VLOOKUP('Données projet'!$B$17,Paramètres!$A$1:$I$89,3,0)*VLOOKUP('Données projet'!$B$17,Paramètres!$A$1:$I$89,5,0)</f>
        <v>322.26999999999992</v>
      </c>
      <c r="GB188" s="13">
        <f t="shared" si="185"/>
        <v>75.825476822885776</v>
      </c>
      <c r="GC188" s="20">
        <f t="shared" si="186"/>
        <v>693.34962213319261</v>
      </c>
      <c r="GD188" s="59">
        <f t="shared" si="134"/>
        <v>986.68295546652598</v>
      </c>
      <c r="GE188" s="59">
        <f ca="1">AVERAGE(OFFSET($GD$3,0,0,'Données projet'!$E$17+1,1))-AVERAGE(OFFSET($H$3,0,0,'Données projet'!$E$17+1,1))</f>
        <v>312.64506496298173</v>
      </c>
      <c r="GF188" s="59">
        <f t="shared" si="158"/>
        <v>259.97532509897508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14.159382657781466</v>
      </c>
      <c r="GM188" s="21">
        <f>EXP(-LN(2)/25)*GM187+(1-EXP(-LN(2)/25))/(LN(2)/25)*Calculateur!GH188*Calculateur!GJ188*VLOOKUP('Données projet'!$B$17,Paramètres!$A$1:$I$89,3,0)*0.475*44/12</f>
        <v>0.2662715816857999</v>
      </c>
      <c r="GN188" s="21">
        <f>EXP(-LN(2)/2)*GN187+(1-EXP(-LN(2)/2))/(LN(2)/2)*GH188*GK188*VLOOKUP('Données projet'!$B$17,Paramètres!$A$1:$I$89,3,0)*0.475*44/12</f>
        <v>1.8019426048285877E-23</v>
      </c>
      <c r="GO188" s="21">
        <f t="shared" si="187"/>
        <v>14.425654239467265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267</v>
      </c>
      <c r="GV188" s="17">
        <f>GU188*VLOOKUP('Données projet'!$B$18,Paramètres!$A$1:$I$89,3,0)*VLOOKUP('Données projet'!$B$18,Paramètres!$A$1:$I$89,5,0)</f>
        <v>270.738</v>
      </c>
      <c r="GW188" s="13">
        <f t="shared" si="188"/>
        <v>65.005866623551711</v>
      </c>
      <c r="GX188" s="20">
        <f t="shared" si="189"/>
        <v>584.7539010360191</v>
      </c>
      <c r="GY188" s="59">
        <f t="shared" si="137"/>
        <v>878.08723436935247</v>
      </c>
      <c r="GZ188" s="59">
        <f ca="1">AVERAGE(OFFSET($GY$3,0,0,'Données projet'!$E$18+1,1))-AVERAGE(OFFSET($H$3,0,0,'Données projet'!$E$18+1,1))</f>
        <v>308.80022073574963</v>
      </c>
      <c r="HA188" s="59">
        <f t="shared" si="160"/>
        <v>183.96267407004115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21.177239075735997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21.177239075735997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344.49457749226184</v>
      </c>
      <c r="T189" s="59">
        <f t="shared" si="142"/>
        <v>207.92972431357452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208.99999999999989</v>
      </c>
      <c r="AJ189" s="13">
        <f>AI189*VLOOKUP('Données projet'!$B$10,Paramètres!$A$1:$I$89,3,0)*VLOOKUP('Données projet'!$B$10,Paramètres!$A$1:$I$89,5,0)</f>
        <v>189.1031999999999</v>
      </c>
      <c r="AK189" s="13">
        <f t="shared" si="164"/>
        <v>47.34162854278712</v>
      </c>
      <c r="AL189" s="20">
        <f t="shared" si="165"/>
        <v>411.80807637868742</v>
      </c>
      <c r="AM189" s="59">
        <f t="shared" si="113"/>
        <v>705.14140971202073</v>
      </c>
      <c r="AN189" s="59">
        <f ca="1">AVERAGE(OFFSET($AM$3,0,0,'Données projet'!$E$10+1,1))-AVERAGE(OFFSET($H$3,0,0,'Données projet'!$E$10+1,1))</f>
        <v>183.0147113277086</v>
      </c>
      <c r="AO189" s="59">
        <f t="shared" si="144"/>
        <v>76.413905647258389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13.920649173039568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13.920649173039568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253.79640000000001</v>
      </c>
      <c r="BF189" s="13">
        <f t="shared" si="167"/>
        <v>61.39816832228076</v>
      </c>
      <c r="BG189" s="20">
        <f t="shared" si="168"/>
        <v>548.96387316130563</v>
      </c>
      <c r="BH189" s="59">
        <f t="shared" si="116"/>
        <v>842.29720649463889</v>
      </c>
      <c r="BI189" s="59">
        <f ca="1">AVERAGE(OFFSET($BH$3,0,0,'Données projet'!$E$11+1,1))-AVERAGE(OFFSET($H$3,0,0,'Données projet'!$E$11+1,1))</f>
        <v>279.49721661620544</v>
      </c>
      <c r="BJ189" s="59">
        <f t="shared" si="146"/>
        <v>275.18739333988754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6.5157051167530522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6.5157051167530522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754.68411025369562</v>
      </c>
      <c r="CD189" s="59">
        <f ca="1">AVERAGE(OFFSET($CC$3,0,0,'Données projet'!$E$12+1,1))-AVERAGE(OFFSET($H$3,0,0,'Données projet'!$E$12+1,1))</f>
        <v>225.2323446080772</v>
      </c>
      <c r="CE189" s="59">
        <f t="shared" si="148"/>
        <v>222.29030402759292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5.3169985837704132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5.3169985837704132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213.00000000000003</v>
      </c>
      <c r="CU189" s="17">
        <f>CT189*VLOOKUP('Données projet'!$B$13,Paramètres!$A$1:$I$89,3,0)*VLOOKUP('Données projet'!$B$13,Paramètres!$A$1:$I$89,5,0)</f>
        <v>229.2732</v>
      </c>
      <c r="CV189" s="13">
        <f t="shared" si="173"/>
        <v>56.125501442527366</v>
      </c>
      <c r="CW189" s="20">
        <f t="shared" si="174"/>
        <v>497.06940501240177</v>
      </c>
      <c r="CX189" s="59">
        <f t="shared" si="122"/>
        <v>790.40273834573509</v>
      </c>
      <c r="CY189" s="59">
        <f ca="1">AVERAGE(OFFSET($CX$3,0,0,'Données projet'!$E$13+1,1))-AVERAGE(OFFSET($H$3,0,0,'Données projet'!$E$13+1,1))</f>
        <v>240.57184010337932</v>
      </c>
      <c r="CZ189" s="59">
        <f t="shared" si="150"/>
        <v>236.36473521227072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4.508955424892009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4.508955424892009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670.99999999999977</v>
      </c>
      <c r="DP189" s="17">
        <f>DO189*VLOOKUP('Données projet'!$B$14,Paramètres!$A$1:$I$89,3,0)*VLOOKUP('Données projet'!$B$14,Paramètres!$A$1:$I$89,5,0)</f>
        <v>314.02799999999991</v>
      </c>
      <c r="DQ189" s="13">
        <f t="shared" si="176"/>
        <v>74.109403804428752</v>
      </c>
      <c r="DR189" s="20">
        <f t="shared" si="177"/>
        <v>676.00597829271317</v>
      </c>
      <c r="DS189" s="59">
        <f t="shared" si="125"/>
        <v>969.33931162604654</v>
      </c>
      <c r="DT189" s="59">
        <f ca="1">AVERAGE(OFFSET($DS$3,0,0,'Données projet'!$E$14+1,1))-AVERAGE(OFFSET($H$3,0,0,'Données projet'!$E$14+1,1))</f>
        <v>304.29617570272939</v>
      </c>
      <c r="DU189" s="59">
        <f t="shared" si="152"/>
        <v>246.20695736161576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12.164557625049641</v>
      </c>
      <c r="EB189" s="21">
        <f>EXP(-LN(2)/25)*EB188+(1-EXP(-LN(2)/25))/(LN(2)/25)*Calculateur!DW189*Calculateur!DY189*VLOOKUP('Données projet'!$B$14,Paramètres!$A$1:$I$89,3,0)*0.475*44/12</f>
        <v>0.54145185541655194</v>
      </c>
      <c r="EC189" s="21">
        <f>EXP(-LN(2)/2)*EC188+(1-EXP(-LN(2)/2))/(LN(2)/2)*DW189*DZ189*VLOOKUP('Données projet'!$B$14,Paramètres!$A$1:$I$89,3,0)*0.475*44/12</f>
        <v>1.3017153667547918E-23</v>
      </c>
      <c r="ED189" s="22">
        <f t="shared" si="178"/>
        <v>12.706009480466193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477.9999999999996</v>
      </c>
      <c r="EK189" s="17">
        <f>EJ189*VLOOKUP('Données projet'!$B$15,Paramètres!$A$1:$I$89,3,0)*VLOOKUP('Données projet'!$B$15,Paramètres!$A$1:$I$89,5,0)</f>
        <v>285.84399999999977</v>
      </c>
      <c r="EL189" s="13">
        <f t="shared" si="179"/>
        <v>68.200525419065656</v>
      </c>
      <c r="EM189" s="20">
        <f t="shared" si="180"/>
        <v>616.62754843820551</v>
      </c>
      <c r="EN189" s="59">
        <f t="shared" si="128"/>
        <v>909.96088177153888</v>
      </c>
      <c r="EO189" s="59">
        <f ca="1">AVERAGE(OFFSET($EN$3,0,0,'Données projet'!$E$15+1,1))-AVERAGE(OFFSET($H$3,0,0,'Données projet'!$E$15+1,1))</f>
        <v>288.41846134875794</v>
      </c>
      <c r="EP189" s="59">
        <f t="shared" si="154"/>
        <v>248.93951719818972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8.800759797479623</v>
      </c>
      <c r="EW189" s="21">
        <f>EXP(-LN(2)/25)*EW188+(1-EXP(-LN(2)/25))/(LN(2)/25)*Calculateur!ER189*Calculateur!ET189*VLOOKUP('Données projet'!$B$15,Paramètres!$A$1:$I$89,3,0)*0.475*44/12</f>
        <v>0.36959004572059184</v>
      </c>
      <c r="EX189" s="21">
        <f>EXP(-LN(2)/2)*EX188+(1-EXP(-LN(2)/2))/(LN(2)/2)*ER189*EU189*VLOOKUP('Données projet'!$B$15,Paramètres!$A$1:$I$89,3,0)*0.475*44/12</f>
        <v>1.6101818208688092E-24</v>
      </c>
      <c r="EY189" s="22">
        <f t="shared" si="181"/>
        <v>9.1703498432002153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789.00000000000045</v>
      </c>
      <c r="FF189" s="17">
        <f>FE189*VLOOKUP('Données projet'!$B$16,Paramètres!$A$1:$I$89,3,0)*VLOOKUP('Données projet'!$B$16,Paramètres!$A$1:$I$89,5,0)</f>
        <v>358.99500000000023</v>
      </c>
      <c r="FG189" s="13">
        <f t="shared" si="182"/>
        <v>83.411930940690553</v>
      </c>
      <c r="FH189" s="20">
        <f t="shared" si="183"/>
        <v>770.52540472170313</v>
      </c>
      <c r="FI189" s="59">
        <f t="shared" si="131"/>
        <v>1063.8587380550364</v>
      </c>
      <c r="FJ189" s="59">
        <f ca="1">AVERAGE(OFFSET($FI$3,0,0,'Données projet'!$E$16+1,1))-AVERAGE(OFFSET($H$3,0,0,'Données projet'!$E$16+1,1))</f>
        <v>367.36535411813264</v>
      </c>
      <c r="FK189" s="59">
        <f t="shared" si="156"/>
        <v>293.19545174980556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10.753476498019598</v>
      </c>
      <c r="FR189" s="21">
        <f>EXP(-LN(2)/25)*FR188+(1-EXP(-LN(2)/25))/(LN(2)/25)*Calculateur!FM189*Calculateur!FO189*VLOOKUP('Données projet'!$B$16,Paramètres!$A$1:$I$89,3,0)*0.475*44/12</f>
        <v>0.57283481321428276</v>
      </c>
      <c r="FS189" s="21">
        <f>EXP(-LN(2)/2)*FS188+(1-EXP(-LN(2)/2))/(LN(2)/2)*FM189*FP189*VLOOKUP('Données projet'!$B$16,Paramètres!$A$1:$I$89,3,0)*0.475*44/12</f>
        <v>2.3970097994974881E-24</v>
      </c>
      <c r="FT189" s="22">
        <f t="shared" si="184"/>
        <v>11.32631131123388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669.99999999999989</v>
      </c>
      <c r="GA189" s="17">
        <f>FZ189*VLOOKUP('Données projet'!$B$17,Paramètres!$A$1:$I$89,3,0)*VLOOKUP('Données projet'!$B$17,Paramètres!$A$1:$I$89,5,0)</f>
        <v>322.26999999999992</v>
      </c>
      <c r="GB189" s="13">
        <f t="shared" si="185"/>
        <v>75.825476822885776</v>
      </c>
      <c r="GC189" s="20">
        <f t="shared" si="186"/>
        <v>693.34962213319261</v>
      </c>
      <c r="GD189" s="59">
        <f t="shared" si="134"/>
        <v>986.68295546652598</v>
      </c>
      <c r="GE189" s="59">
        <f ca="1">AVERAGE(OFFSET($GD$3,0,0,'Données projet'!$E$17+1,1))-AVERAGE(OFFSET($H$3,0,0,'Données projet'!$E$17+1,1))</f>
        <v>312.64506496298173</v>
      </c>
      <c r="GF189" s="59">
        <f t="shared" si="158"/>
        <v>259.97532509897508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13.881725800233022</v>
      </c>
      <c r="GM189" s="21">
        <f>EXP(-LN(2)/25)*GM188+(1-EXP(-LN(2)/25))/(LN(2)/25)*Calculateur!GH189*Calculateur!GJ189*VLOOKUP('Données projet'!$B$17,Paramètres!$A$1:$I$89,3,0)*0.475*44/12</f>
        <v>0.25899037128198776</v>
      </c>
      <c r="GN189" s="21">
        <f>EXP(-LN(2)/2)*GN188+(1-EXP(-LN(2)/2))/(LN(2)/2)*GH189*GK189*VLOOKUP('Données projet'!$B$17,Paramètres!$A$1:$I$89,3,0)*0.475*44/12</f>
        <v>1.2741658351832457E-23</v>
      </c>
      <c r="GO189" s="21">
        <f t="shared" si="187"/>
        <v>14.14071617151501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267</v>
      </c>
      <c r="GV189" s="17">
        <f>GU189*VLOOKUP('Données projet'!$B$18,Paramètres!$A$1:$I$89,3,0)*VLOOKUP('Données projet'!$B$18,Paramètres!$A$1:$I$89,5,0)</f>
        <v>270.738</v>
      </c>
      <c r="GW189" s="13">
        <f t="shared" si="188"/>
        <v>65.005866623551711</v>
      </c>
      <c r="GX189" s="20">
        <f t="shared" si="189"/>
        <v>584.7539010360191</v>
      </c>
      <c r="GY189" s="59">
        <f t="shared" si="137"/>
        <v>878.08723436935247</v>
      </c>
      <c r="GZ189" s="59">
        <f ca="1">AVERAGE(OFFSET($GY$3,0,0,'Données projet'!$E$18+1,1))-AVERAGE(OFFSET($H$3,0,0,'Données projet'!$E$18+1,1))</f>
        <v>308.80022073574963</v>
      </c>
      <c r="HA189" s="59">
        <f t="shared" si="160"/>
        <v>183.96267407004115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20.761966334301217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20.761966334301217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344.49457749226184</v>
      </c>
      <c r="T190" s="59">
        <f t="shared" si="142"/>
        <v>207.92972431357452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208.99999999999989</v>
      </c>
      <c r="AJ190" s="13">
        <f>AI190*VLOOKUP('Données projet'!$B$10,Paramètres!$A$1:$I$89,3,0)*VLOOKUP('Données projet'!$B$10,Paramètres!$A$1:$I$89,5,0)</f>
        <v>189.1031999999999</v>
      </c>
      <c r="AK190" s="13">
        <f t="shared" si="164"/>
        <v>47.34162854278712</v>
      </c>
      <c r="AL190" s="20">
        <f t="shared" si="165"/>
        <v>411.80807637868742</v>
      </c>
      <c r="AM190" s="59">
        <f t="shared" si="113"/>
        <v>705.14140971202073</v>
      </c>
      <c r="AN190" s="59">
        <f ca="1">AVERAGE(OFFSET($AM$3,0,0,'Données projet'!$E$10+1,1))-AVERAGE(OFFSET($H$3,0,0,'Données projet'!$E$10+1,1))</f>
        <v>183.0147113277086</v>
      </c>
      <c r="AO190" s="59">
        <f t="shared" si="144"/>
        <v>76.413905647258389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13.647673733513864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13.647673733513864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253.79640000000001</v>
      </c>
      <c r="BF190" s="13">
        <f t="shared" si="167"/>
        <v>61.39816832228076</v>
      </c>
      <c r="BG190" s="20">
        <f t="shared" si="168"/>
        <v>548.96387316130563</v>
      </c>
      <c r="BH190" s="59">
        <f t="shared" si="116"/>
        <v>842.29720649463889</v>
      </c>
      <c r="BI190" s="59">
        <f ca="1">AVERAGE(OFFSET($BH$3,0,0,'Données projet'!$E$11+1,1))-AVERAGE(OFFSET($H$3,0,0,'Données projet'!$E$11+1,1))</f>
        <v>279.49721661620544</v>
      </c>
      <c r="BJ190" s="59">
        <f t="shared" si="146"/>
        <v>275.18739333988754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6.3879361136012278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6.3879361136012278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754.68411025369562</v>
      </c>
      <c r="CD190" s="59">
        <f ca="1">AVERAGE(OFFSET($CC$3,0,0,'Données projet'!$E$12+1,1))-AVERAGE(OFFSET($H$3,0,0,'Données projet'!$E$12+1,1))</f>
        <v>225.2323446080772</v>
      </c>
      <c r="CE190" s="59">
        <f t="shared" si="148"/>
        <v>222.29030402759292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5.2127354845915868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5.2127354845915868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213.00000000000003</v>
      </c>
      <c r="CU190" s="17">
        <f>CT190*VLOOKUP('Données projet'!$B$13,Paramètres!$A$1:$I$89,3,0)*VLOOKUP('Données projet'!$B$13,Paramètres!$A$1:$I$89,5,0)</f>
        <v>229.2732</v>
      </c>
      <c r="CV190" s="13">
        <f t="shared" si="173"/>
        <v>56.125501442527366</v>
      </c>
      <c r="CW190" s="20">
        <f t="shared" si="174"/>
        <v>497.06940501240177</v>
      </c>
      <c r="CX190" s="59">
        <f t="shared" si="122"/>
        <v>790.40273834573509</v>
      </c>
      <c r="CY190" s="59">
        <f ca="1">AVERAGE(OFFSET($CX$3,0,0,'Données projet'!$E$13+1,1))-AVERAGE(OFFSET($H$3,0,0,'Données projet'!$E$13+1,1))</f>
        <v>240.57184010337932</v>
      </c>
      <c r="CZ190" s="59">
        <f t="shared" si="150"/>
        <v>236.36473521227072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4.4205375592011267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4.4205375592011267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670.99999999999977</v>
      </c>
      <c r="DP190" s="17">
        <f>DO190*VLOOKUP('Données projet'!$B$14,Paramètres!$A$1:$I$89,3,0)*VLOOKUP('Données projet'!$B$14,Paramètres!$A$1:$I$89,5,0)</f>
        <v>314.02799999999991</v>
      </c>
      <c r="DQ190" s="13">
        <f t="shared" si="176"/>
        <v>74.109403804428752</v>
      </c>
      <c r="DR190" s="20">
        <f t="shared" si="177"/>
        <v>676.00597829271317</v>
      </c>
      <c r="DS190" s="59">
        <f t="shared" si="125"/>
        <v>969.33931162604654</v>
      </c>
      <c r="DT190" s="59">
        <f ca="1">AVERAGE(OFFSET($DS$3,0,0,'Données projet'!$E$14+1,1))-AVERAGE(OFFSET($H$3,0,0,'Données projet'!$E$14+1,1))</f>
        <v>304.29617570272939</v>
      </c>
      <c r="DU190" s="59">
        <f t="shared" si="152"/>
        <v>246.20695736161576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11.92601806966994</v>
      </c>
      <c r="EB190" s="21">
        <f>EXP(-LN(2)/25)*EB189+(1-EXP(-LN(2)/25))/(LN(2)/25)*Calculateur!DW190*Calculateur!DY190*VLOOKUP('Données projet'!$B$14,Paramètres!$A$1:$I$89,3,0)*0.475*44/12</f>
        <v>0.5266458259564708</v>
      </c>
      <c r="EC190" s="21">
        <f>EXP(-LN(2)/2)*EC189+(1-EXP(-LN(2)/2))/(LN(2)/2)*DW190*DZ190*VLOOKUP('Données projet'!$B$14,Paramètres!$A$1:$I$89,3,0)*0.475*44/12</f>
        <v>9.2045176300704712E-24</v>
      </c>
      <c r="ED190" s="22">
        <f t="shared" si="178"/>
        <v>12.452663895626412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477.9999999999996</v>
      </c>
      <c r="EK190" s="17">
        <f>EJ190*VLOOKUP('Données projet'!$B$15,Paramètres!$A$1:$I$89,3,0)*VLOOKUP('Données projet'!$B$15,Paramètres!$A$1:$I$89,5,0)</f>
        <v>285.84399999999977</v>
      </c>
      <c r="EL190" s="13">
        <f t="shared" si="179"/>
        <v>68.200525419065656</v>
      </c>
      <c r="EM190" s="20">
        <f t="shared" si="180"/>
        <v>616.62754843820551</v>
      </c>
      <c r="EN190" s="59">
        <f t="shared" si="128"/>
        <v>909.96088177153888</v>
      </c>
      <c r="EO190" s="59">
        <f ca="1">AVERAGE(OFFSET($EN$3,0,0,'Données projet'!$E$15+1,1))-AVERAGE(OFFSET($H$3,0,0,'Données projet'!$E$15+1,1))</f>
        <v>288.41846134875794</v>
      </c>
      <c r="EP190" s="59">
        <f t="shared" si="154"/>
        <v>248.93951719818972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8.6281822657844849</v>
      </c>
      <c r="EW190" s="21">
        <f>EXP(-LN(2)/25)*EW189+(1-EXP(-LN(2)/25))/(LN(2)/25)*Calculateur!ER190*Calculateur!ET190*VLOOKUP('Données projet'!$B$15,Paramètres!$A$1:$I$89,3,0)*0.475*44/12</f>
        <v>0.35948358648446649</v>
      </c>
      <c r="EX190" s="21">
        <f>EXP(-LN(2)/2)*EX189+(1-EXP(-LN(2)/2))/(LN(2)/2)*ER190*EU190*VLOOKUP('Données projet'!$B$15,Paramètres!$A$1:$I$89,3,0)*0.475*44/12</f>
        <v>1.1385704844796377E-24</v>
      </c>
      <c r="EY190" s="22">
        <f t="shared" si="181"/>
        <v>8.9876658522689521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789.00000000000045</v>
      </c>
      <c r="FF190" s="17">
        <f>FE190*VLOOKUP('Données projet'!$B$16,Paramètres!$A$1:$I$89,3,0)*VLOOKUP('Données projet'!$B$16,Paramètres!$A$1:$I$89,5,0)</f>
        <v>358.99500000000023</v>
      </c>
      <c r="FG190" s="13">
        <f t="shared" si="182"/>
        <v>83.411930940690553</v>
      </c>
      <c r="FH190" s="20">
        <f t="shared" si="183"/>
        <v>770.52540472170313</v>
      </c>
      <c r="FI190" s="59">
        <f t="shared" si="131"/>
        <v>1063.8587380550364</v>
      </c>
      <c r="FJ190" s="59">
        <f ca="1">AVERAGE(OFFSET($FI$3,0,0,'Données projet'!$E$16+1,1))-AVERAGE(OFFSET($H$3,0,0,'Données projet'!$E$16+1,1))</f>
        <v>367.36535411813264</v>
      </c>
      <c r="FK190" s="59">
        <f t="shared" si="156"/>
        <v>293.19545174980556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10.542607382866453</v>
      </c>
      <c r="FR190" s="21">
        <f>EXP(-LN(2)/25)*FR189+(1-EXP(-LN(2)/25))/(LN(2)/25)*Calculateur!FM190*Calculateur!FO190*VLOOKUP('Données projet'!$B$16,Paramètres!$A$1:$I$89,3,0)*0.475*44/12</f>
        <v>0.55717061512286459</v>
      </c>
      <c r="FS190" s="21">
        <f>EXP(-LN(2)/2)*FS189+(1-EXP(-LN(2)/2))/(LN(2)/2)*FM190*FP190*VLOOKUP('Données projet'!$B$16,Paramètres!$A$1:$I$89,3,0)*0.475*44/12</f>
        <v>1.6949418837952804E-24</v>
      </c>
      <c r="FT190" s="22">
        <f t="shared" si="184"/>
        <v>11.099777997989317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669.99999999999989</v>
      </c>
      <c r="GA190" s="17">
        <f>FZ190*VLOOKUP('Données projet'!$B$17,Paramètres!$A$1:$I$89,3,0)*VLOOKUP('Données projet'!$B$17,Paramètres!$A$1:$I$89,5,0)</f>
        <v>322.26999999999992</v>
      </c>
      <c r="GB190" s="13">
        <f t="shared" si="185"/>
        <v>75.825476822885776</v>
      </c>
      <c r="GC190" s="20">
        <f t="shared" si="186"/>
        <v>693.34962213319261</v>
      </c>
      <c r="GD190" s="59">
        <f t="shared" si="134"/>
        <v>986.68295546652598</v>
      </c>
      <c r="GE190" s="59">
        <f ca="1">AVERAGE(OFFSET($GD$3,0,0,'Données projet'!$E$17+1,1))-AVERAGE(OFFSET($H$3,0,0,'Données projet'!$E$17+1,1))</f>
        <v>312.64506496298173</v>
      </c>
      <c r="GF190" s="59">
        <f t="shared" si="158"/>
        <v>259.97532509897508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13.609513624307143</v>
      </c>
      <c r="GM190" s="21">
        <f>EXP(-LN(2)/25)*GM189+(1-EXP(-LN(2)/25))/(LN(2)/25)*Calculateur!GH190*Calculateur!GJ190*VLOOKUP('Données projet'!$B$17,Paramètres!$A$1:$I$89,3,0)*0.475*44/12</f>
        <v>0.25190826595957011</v>
      </c>
      <c r="GN190" s="21">
        <f>EXP(-LN(2)/2)*GN189+(1-EXP(-LN(2)/2))/(LN(2)/2)*GH190*GK190*VLOOKUP('Données projet'!$B$17,Paramètres!$A$1:$I$89,3,0)*0.475*44/12</f>
        <v>9.0097130241429385E-24</v>
      </c>
      <c r="GO190" s="21">
        <f t="shared" si="187"/>
        <v>13.861421890266712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267</v>
      </c>
      <c r="GV190" s="17">
        <f>GU190*VLOOKUP('Données projet'!$B$18,Paramètres!$A$1:$I$89,3,0)*VLOOKUP('Données projet'!$B$18,Paramètres!$A$1:$I$89,5,0)</f>
        <v>270.738</v>
      </c>
      <c r="GW190" s="13">
        <f t="shared" si="188"/>
        <v>65.005866623551711</v>
      </c>
      <c r="GX190" s="20">
        <f t="shared" si="189"/>
        <v>584.7539010360191</v>
      </c>
      <c r="GY190" s="59">
        <f t="shared" si="137"/>
        <v>878.08723436935247</v>
      </c>
      <c r="GZ190" s="59">
        <f ca="1">AVERAGE(OFFSET($GY$3,0,0,'Données projet'!$E$18+1,1))-AVERAGE(OFFSET($H$3,0,0,'Données projet'!$E$18+1,1))</f>
        <v>308.80022073574963</v>
      </c>
      <c r="HA190" s="59">
        <f t="shared" si="160"/>
        <v>183.96267407004115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20.354836838034611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20.354836838034611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344.49457749226184</v>
      </c>
      <c r="T191" s="59">
        <f t="shared" si="142"/>
        <v>207.92972431357452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208.99999999999989</v>
      </c>
      <c r="AJ191" s="13">
        <f>AI191*VLOOKUP('Données projet'!$B$10,Paramètres!$A$1:$I$89,3,0)*VLOOKUP('Données projet'!$B$10,Paramètres!$A$1:$I$89,5,0)</f>
        <v>189.1031999999999</v>
      </c>
      <c r="AK191" s="13">
        <f t="shared" si="164"/>
        <v>47.34162854278712</v>
      </c>
      <c r="AL191" s="20">
        <f t="shared" si="165"/>
        <v>411.80807637868742</v>
      </c>
      <c r="AM191" s="59">
        <f t="shared" si="113"/>
        <v>705.14140971202073</v>
      </c>
      <c r="AN191" s="59">
        <f ca="1">AVERAGE(OFFSET($AM$3,0,0,'Données projet'!$E$10+1,1))-AVERAGE(OFFSET($H$3,0,0,'Données projet'!$E$10+1,1))</f>
        <v>183.0147113277086</v>
      </c>
      <c r="AO191" s="59">
        <f t="shared" si="144"/>
        <v>76.413905647258389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13.380051175858682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13.380051175858682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253.79640000000001</v>
      </c>
      <c r="BF191" s="13">
        <f t="shared" si="167"/>
        <v>61.39816832228076</v>
      </c>
      <c r="BG191" s="20">
        <f t="shared" si="168"/>
        <v>548.96387316130563</v>
      </c>
      <c r="BH191" s="59">
        <f t="shared" si="116"/>
        <v>842.29720649463889</v>
      </c>
      <c r="BI191" s="59">
        <f ca="1">AVERAGE(OFFSET($BH$3,0,0,'Données projet'!$E$11+1,1))-AVERAGE(OFFSET($H$3,0,0,'Données projet'!$E$11+1,1))</f>
        <v>279.49721661620544</v>
      </c>
      <c r="BJ191" s="59">
        <f t="shared" si="146"/>
        <v>275.18739333988754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6.262672582669814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6.262672582669814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754.68411025369562</v>
      </c>
      <c r="CD191" s="59">
        <f ca="1">AVERAGE(OFFSET($CC$3,0,0,'Données projet'!$E$12+1,1))-AVERAGE(OFFSET($H$3,0,0,'Données projet'!$E$12+1,1))</f>
        <v>225.2323446080772</v>
      </c>
      <c r="CE191" s="59">
        <f t="shared" si="148"/>
        <v>222.29030402759292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5.1105169211934465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5.1105169211934465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213.00000000000003</v>
      </c>
      <c r="CU191" s="17">
        <f>CT191*VLOOKUP('Données projet'!$B$13,Paramètres!$A$1:$I$89,3,0)*VLOOKUP('Données projet'!$B$13,Paramètres!$A$1:$I$89,5,0)</f>
        <v>229.2732</v>
      </c>
      <c r="CV191" s="13">
        <f t="shared" si="173"/>
        <v>56.125501442527366</v>
      </c>
      <c r="CW191" s="20">
        <f t="shared" si="174"/>
        <v>497.06940501240177</v>
      </c>
      <c r="CX191" s="59">
        <f t="shared" si="122"/>
        <v>790.40273834573509</v>
      </c>
      <c r="CY191" s="59">
        <f ca="1">AVERAGE(OFFSET($CX$3,0,0,'Données projet'!$E$13+1,1))-AVERAGE(OFFSET($H$3,0,0,'Données projet'!$E$13+1,1))</f>
        <v>240.57184010337932</v>
      </c>
      <c r="CZ191" s="59">
        <f t="shared" si="150"/>
        <v>236.36473521227072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4.3338535139268703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4.3338535139268703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670.99999999999977</v>
      </c>
      <c r="DP191" s="17">
        <f>DO191*VLOOKUP('Données projet'!$B$14,Paramètres!$A$1:$I$89,3,0)*VLOOKUP('Données projet'!$B$14,Paramètres!$A$1:$I$89,5,0)</f>
        <v>314.02799999999991</v>
      </c>
      <c r="DQ191" s="13">
        <f t="shared" si="176"/>
        <v>74.109403804428752</v>
      </c>
      <c r="DR191" s="20">
        <f t="shared" si="177"/>
        <v>676.00597829271317</v>
      </c>
      <c r="DS191" s="59">
        <f t="shared" si="125"/>
        <v>969.33931162604654</v>
      </c>
      <c r="DT191" s="59">
        <f ca="1">AVERAGE(OFFSET($DS$3,0,0,'Données projet'!$E$14+1,1))-AVERAGE(OFFSET($H$3,0,0,'Données projet'!$E$14+1,1))</f>
        <v>304.29617570272939</v>
      </c>
      <c r="DU191" s="59">
        <f t="shared" si="152"/>
        <v>246.20695736161576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11.692156129476473</v>
      </c>
      <c r="EB191" s="21">
        <f>EXP(-LN(2)/25)*EB190+(1-EXP(-LN(2)/25))/(LN(2)/25)*Calculateur!DW191*Calculateur!DY191*VLOOKUP('Données projet'!$B$14,Paramètres!$A$1:$I$89,3,0)*0.475*44/12</f>
        <v>0.51224466815059078</v>
      </c>
      <c r="EC191" s="21">
        <f>EXP(-LN(2)/2)*EC190+(1-EXP(-LN(2)/2))/(LN(2)/2)*DW191*DZ191*VLOOKUP('Données projet'!$B$14,Paramètres!$A$1:$I$89,3,0)*0.475*44/12</f>
        <v>6.5085768337739598E-24</v>
      </c>
      <c r="ED191" s="22">
        <f t="shared" si="178"/>
        <v>12.204400797627063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477.9999999999996</v>
      </c>
      <c r="EK191" s="17">
        <f>EJ191*VLOOKUP('Données projet'!$B$15,Paramètres!$A$1:$I$89,3,0)*VLOOKUP('Données projet'!$B$15,Paramètres!$A$1:$I$89,5,0)</f>
        <v>285.84399999999977</v>
      </c>
      <c r="EL191" s="13">
        <f t="shared" si="179"/>
        <v>68.200525419065656</v>
      </c>
      <c r="EM191" s="20">
        <f t="shared" si="180"/>
        <v>616.62754843820551</v>
      </c>
      <c r="EN191" s="59">
        <f t="shared" si="128"/>
        <v>909.96088177153888</v>
      </c>
      <c r="EO191" s="59">
        <f ca="1">AVERAGE(OFFSET($EN$3,0,0,'Données projet'!$E$15+1,1))-AVERAGE(OFFSET($H$3,0,0,'Données projet'!$E$15+1,1))</f>
        <v>288.41846134875794</v>
      </c>
      <c r="EP191" s="59">
        <f t="shared" si="154"/>
        <v>248.93951719818972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8.4589888742239872</v>
      </c>
      <c r="EW191" s="21">
        <f>EXP(-LN(2)/25)*EW190+(1-EXP(-LN(2)/25))/(LN(2)/25)*Calculateur!ER191*Calculateur!ET191*VLOOKUP('Données projet'!$B$15,Paramètres!$A$1:$I$89,3,0)*0.475*44/12</f>
        <v>0.34965348890762854</v>
      </c>
      <c r="EX191" s="21">
        <f>EXP(-LN(2)/2)*EX190+(1-EXP(-LN(2)/2))/(LN(2)/2)*ER191*EU191*VLOOKUP('Données projet'!$B$15,Paramètres!$A$1:$I$89,3,0)*0.475*44/12</f>
        <v>8.0509091043440459E-25</v>
      </c>
      <c r="EY191" s="22">
        <f t="shared" si="181"/>
        <v>8.8086423631316162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789.00000000000045</v>
      </c>
      <c r="FF191" s="17">
        <f>FE191*VLOOKUP('Données projet'!$B$16,Paramètres!$A$1:$I$89,3,0)*VLOOKUP('Données projet'!$B$16,Paramètres!$A$1:$I$89,5,0)</f>
        <v>358.99500000000023</v>
      </c>
      <c r="FG191" s="13">
        <f t="shared" si="182"/>
        <v>83.411930940690553</v>
      </c>
      <c r="FH191" s="20">
        <f t="shared" si="183"/>
        <v>770.52540472170313</v>
      </c>
      <c r="FI191" s="59">
        <f t="shared" si="131"/>
        <v>1063.8587380550364</v>
      </c>
      <c r="FJ191" s="59">
        <f ca="1">AVERAGE(OFFSET($FI$3,0,0,'Données projet'!$E$16+1,1))-AVERAGE(OFFSET($H$3,0,0,'Données projet'!$E$16+1,1))</f>
        <v>367.36535411813264</v>
      </c>
      <c r="FK191" s="59">
        <f t="shared" si="156"/>
        <v>293.19545174980556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10.335873282444002</v>
      </c>
      <c r="FR191" s="21">
        <f>EXP(-LN(2)/25)*FR190+(1-EXP(-LN(2)/25))/(LN(2)/25)*Calculateur!FM191*Calculateur!FO191*VLOOKUP('Données projet'!$B$16,Paramètres!$A$1:$I$89,3,0)*0.475*44/12</f>
        <v>0.54193475535200064</v>
      </c>
      <c r="FS191" s="21">
        <f>EXP(-LN(2)/2)*FS190+(1-EXP(-LN(2)/2))/(LN(2)/2)*FM191*FP191*VLOOKUP('Données projet'!$B$16,Paramètres!$A$1:$I$89,3,0)*0.475*44/12</f>
        <v>1.198504899748744E-24</v>
      </c>
      <c r="FT191" s="22">
        <f t="shared" si="184"/>
        <v>10.877808037796003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669.99999999999989</v>
      </c>
      <c r="GA191" s="17">
        <f>FZ191*VLOOKUP('Données projet'!$B$17,Paramètres!$A$1:$I$89,3,0)*VLOOKUP('Données projet'!$B$17,Paramètres!$A$1:$I$89,5,0)</f>
        <v>322.26999999999992</v>
      </c>
      <c r="GB191" s="13">
        <f t="shared" si="185"/>
        <v>75.825476822885776</v>
      </c>
      <c r="GC191" s="20">
        <f t="shared" si="186"/>
        <v>693.34962213319261</v>
      </c>
      <c r="GD191" s="59">
        <f t="shared" si="134"/>
        <v>986.68295546652598</v>
      </c>
      <c r="GE191" s="59">
        <f ca="1">AVERAGE(OFFSET($GD$3,0,0,'Données projet'!$E$17+1,1))-AVERAGE(OFFSET($H$3,0,0,'Données projet'!$E$17+1,1))</f>
        <v>312.64506496298173</v>
      </c>
      <c r="GF191" s="59">
        <f t="shared" si="158"/>
        <v>259.97532509897508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13.342639363118137</v>
      </c>
      <c r="GM191" s="21">
        <f>EXP(-LN(2)/25)*GM190+(1-EXP(-LN(2)/25))/(LN(2)/25)*Calculateur!GH191*Calculateur!GJ191*VLOOKUP('Données projet'!$B$17,Paramètres!$A$1:$I$89,3,0)*0.475*44/12</f>
        <v>0.2450198211796257</v>
      </c>
      <c r="GN191" s="21">
        <f>EXP(-LN(2)/2)*GN190+(1-EXP(-LN(2)/2))/(LN(2)/2)*GH191*GK191*VLOOKUP('Données projet'!$B$17,Paramètres!$A$1:$I$89,3,0)*0.475*44/12</f>
        <v>6.3708291759162283E-24</v>
      </c>
      <c r="GO191" s="21">
        <f t="shared" si="187"/>
        <v>13.587659184297761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267</v>
      </c>
      <c r="GV191" s="17">
        <f>GU191*VLOOKUP('Données projet'!$B$18,Paramètres!$A$1:$I$89,3,0)*VLOOKUP('Données projet'!$B$18,Paramètres!$A$1:$I$89,5,0)</f>
        <v>270.738</v>
      </c>
      <c r="GW191" s="13">
        <f t="shared" si="188"/>
        <v>65.005866623551711</v>
      </c>
      <c r="GX191" s="20">
        <f t="shared" si="189"/>
        <v>584.7539010360191</v>
      </c>
      <c r="GY191" s="59">
        <f t="shared" si="137"/>
        <v>878.08723436935247</v>
      </c>
      <c r="GZ191" s="59">
        <f ca="1">AVERAGE(OFFSET($GY$3,0,0,'Données projet'!$E$18+1,1))-AVERAGE(OFFSET($H$3,0,0,'Données projet'!$E$18+1,1))</f>
        <v>308.80022073574963</v>
      </c>
      <c r="HA191" s="59">
        <f t="shared" si="160"/>
        <v>183.96267407004115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19.955690902865321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19.955690902865321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344.49457749226184</v>
      </c>
      <c r="T192" s="59">
        <f t="shared" si="142"/>
        <v>207.92972431357452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208.99999999999989</v>
      </c>
      <c r="AJ192" s="13">
        <f>AI192*VLOOKUP('Données projet'!$B$10,Paramètres!$A$1:$I$89,3,0)*VLOOKUP('Données projet'!$B$10,Paramètres!$A$1:$I$89,5,0)</f>
        <v>189.1031999999999</v>
      </c>
      <c r="AK192" s="13">
        <f t="shared" si="164"/>
        <v>47.34162854278712</v>
      </c>
      <c r="AL192" s="20">
        <f t="shared" si="165"/>
        <v>411.80807637868742</v>
      </c>
      <c r="AM192" s="59">
        <f t="shared" si="113"/>
        <v>705.14140971202073</v>
      </c>
      <c r="AN192" s="59">
        <f ca="1">AVERAGE(OFFSET($AM$3,0,0,'Données projet'!$E$10+1,1))-AVERAGE(OFFSET($H$3,0,0,'Données projet'!$E$10+1,1))</f>
        <v>183.0147113277086</v>
      </c>
      <c r="AO192" s="59">
        <f t="shared" si="144"/>
        <v>76.413905647258389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13.117676533325476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13.117676533325476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253.79640000000001</v>
      </c>
      <c r="BF192" s="13">
        <f t="shared" si="167"/>
        <v>61.39816832228076</v>
      </c>
      <c r="BG192" s="20">
        <f t="shared" si="168"/>
        <v>548.96387316130563</v>
      </c>
      <c r="BH192" s="59">
        <f t="shared" si="116"/>
        <v>842.29720649463889</v>
      </c>
      <c r="BI192" s="59">
        <f ca="1">AVERAGE(OFFSET($BH$3,0,0,'Données projet'!$E$11+1,1))-AVERAGE(OFFSET($H$3,0,0,'Données projet'!$E$11+1,1))</f>
        <v>279.49721661620544</v>
      </c>
      <c r="BJ192" s="59">
        <f t="shared" si="146"/>
        <v>275.18739333988754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6.1398653931767555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6.1398653931767555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754.68411025369562</v>
      </c>
      <c r="CD192" s="59">
        <f ca="1">AVERAGE(OFFSET($CC$3,0,0,'Données projet'!$E$12+1,1))-AVERAGE(OFFSET($H$3,0,0,'Données projet'!$E$12+1,1))</f>
        <v>225.2323446080772</v>
      </c>
      <c r="CE192" s="59">
        <f t="shared" si="148"/>
        <v>222.29030402759292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5.0103028014763762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5.0103028014763762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213.00000000000003</v>
      </c>
      <c r="CU192" s="17">
        <f>CT192*VLOOKUP('Données projet'!$B$13,Paramètres!$A$1:$I$89,3,0)*VLOOKUP('Données projet'!$B$13,Paramètres!$A$1:$I$89,5,0)</f>
        <v>229.2732</v>
      </c>
      <c r="CV192" s="13">
        <f t="shared" si="173"/>
        <v>56.125501442527366</v>
      </c>
      <c r="CW192" s="20">
        <f t="shared" si="174"/>
        <v>497.06940501240177</v>
      </c>
      <c r="CX192" s="59">
        <f t="shared" si="122"/>
        <v>790.40273834573509</v>
      </c>
      <c r="CY192" s="59">
        <f ca="1">AVERAGE(OFFSET($CX$3,0,0,'Données projet'!$E$13+1,1))-AVERAGE(OFFSET($H$3,0,0,'Données projet'!$E$13+1,1))</f>
        <v>240.57184010337932</v>
      </c>
      <c r="CZ192" s="59">
        <f t="shared" si="150"/>
        <v>236.36473521227072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4.2488692899083951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4.2488692899083951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670.99999999999977</v>
      </c>
      <c r="DP192" s="17">
        <f>DO192*VLOOKUP('Données projet'!$B$14,Paramètres!$A$1:$I$89,3,0)*VLOOKUP('Données projet'!$B$14,Paramètres!$A$1:$I$89,5,0)</f>
        <v>314.02799999999991</v>
      </c>
      <c r="DQ192" s="13">
        <f t="shared" si="176"/>
        <v>74.109403804428752</v>
      </c>
      <c r="DR192" s="20">
        <f t="shared" si="177"/>
        <v>676.00597829271317</v>
      </c>
      <c r="DS192" s="59">
        <f t="shared" si="125"/>
        <v>969.33931162604654</v>
      </c>
      <c r="DT192" s="59">
        <f ca="1">AVERAGE(OFFSET($DS$3,0,0,'Données projet'!$E$14+1,1))-AVERAGE(OFFSET($H$3,0,0,'Données projet'!$E$14+1,1))</f>
        <v>304.29617570272939</v>
      </c>
      <c r="DU192" s="59">
        <f t="shared" si="152"/>
        <v>246.20695736161576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11.4628800792885</v>
      </c>
      <c r="EB192" s="21">
        <f>EXP(-LN(2)/25)*EB191+(1-EXP(-LN(2)/25))/(LN(2)/25)*Calculateur!DW192*Calculateur!DY192*VLOOKUP('Données projet'!$B$14,Paramètres!$A$1:$I$89,3,0)*0.475*44/12</f>
        <v>0.49823731076223654</v>
      </c>
      <c r="EC192" s="21">
        <f>EXP(-LN(2)/2)*EC191+(1-EXP(-LN(2)/2))/(LN(2)/2)*DW192*DZ192*VLOOKUP('Données projet'!$B$14,Paramètres!$A$1:$I$89,3,0)*0.475*44/12</f>
        <v>4.6022588150352363E-24</v>
      </c>
      <c r="ED192" s="22">
        <f t="shared" si="178"/>
        <v>11.961117390050736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477.9999999999996</v>
      </c>
      <c r="EK192" s="17">
        <f>EJ192*VLOOKUP('Données projet'!$B$15,Paramètres!$A$1:$I$89,3,0)*VLOOKUP('Données projet'!$B$15,Paramètres!$A$1:$I$89,5,0)</f>
        <v>285.84399999999977</v>
      </c>
      <c r="EL192" s="13">
        <f t="shared" si="179"/>
        <v>68.200525419065656</v>
      </c>
      <c r="EM192" s="20">
        <f t="shared" si="180"/>
        <v>616.62754843820551</v>
      </c>
      <c r="EN192" s="59">
        <f t="shared" si="128"/>
        <v>909.96088177153888</v>
      </c>
      <c r="EO192" s="59">
        <f ca="1">AVERAGE(OFFSET($EN$3,0,0,'Données projet'!$E$15+1,1))-AVERAGE(OFFSET($H$3,0,0,'Données projet'!$E$15+1,1))</f>
        <v>288.41846134875794</v>
      </c>
      <c r="EP192" s="59">
        <f t="shared" si="154"/>
        <v>248.93951719818972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8.2931132618742129</v>
      </c>
      <c r="EW192" s="21">
        <f>EXP(-LN(2)/25)*EW191+(1-EXP(-LN(2)/25))/(LN(2)/25)*Calculateur!ER192*Calculateur!ET192*VLOOKUP('Données projet'!$B$15,Paramètres!$A$1:$I$89,3,0)*0.475*44/12</f>
        <v>0.34009219586597161</v>
      </c>
      <c r="EX192" s="21">
        <f>EXP(-LN(2)/2)*EX191+(1-EXP(-LN(2)/2))/(LN(2)/2)*ER192*EU192*VLOOKUP('Données projet'!$B$15,Paramètres!$A$1:$I$89,3,0)*0.475*44/12</f>
        <v>5.6928524223981885E-25</v>
      </c>
      <c r="EY192" s="22">
        <f t="shared" si="181"/>
        <v>8.6332054577401838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789.00000000000045</v>
      </c>
      <c r="FF192" s="17">
        <f>FE192*VLOOKUP('Données projet'!$B$16,Paramètres!$A$1:$I$89,3,0)*VLOOKUP('Données projet'!$B$16,Paramètres!$A$1:$I$89,5,0)</f>
        <v>358.99500000000023</v>
      </c>
      <c r="FG192" s="13">
        <f t="shared" si="182"/>
        <v>83.411930940690553</v>
      </c>
      <c r="FH192" s="20">
        <f t="shared" si="183"/>
        <v>770.52540472170313</v>
      </c>
      <c r="FI192" s="59">
        <f t="shared" si="131"/>
        <v>1063.8587380550364</v>
      </c>
      <c r="FJ192" s="59">
        <f ca="1">AVERAGE(OFFSET($FI$3,0,0,'Données projet'!$E$16+1,1))-AVERAGE(OFFSET($H$3,0,0,'Données projet'!$E$16+1,1))</f>
        <v>367.36535411813264</v>
      </c>
      <c r="FK192" s="59">
        <f t="shared" si="156"/>
        <v>293.19545174980556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10.133193111635483</v>
      </c>
      <c r="FR192" s="21">
        <f>EXP(-LN(2)/25)*FR191+(1-EXP(-LN(2)/25))/(LN(2)/25)*Calculateur!FM192*Calculateur!FO192*VLOOKUP('Données projet'!$B$16,Paramètres!$A$1:$I$89,3,0)*0.475*44/12</f>
        <v>0.52711552096779002</v>
      </c>
      <c r="FS192" s="21">
        <f>EXP(-LN(2)/2)*FS191+(1-EXP(-LN(2)/2))/(LN(2)/2)*FM192*FP192*VLOOKUP('Données projet'!$B$16,Paramètres!$A$1:$I$89,3,0)*0.475*44/12</f>
        <v>8.474709418976402E-25</v>
      </c>
      <c r="FT192" s="22">
        <f t="shared" si="184"/>
        <v>10.660308632603273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669.99999999999989</v>
      </c>
      <c r="GA192" s="17">
        <f>FZ192*VLOOKUP('Données projet'!$B$17,Paramètres!$A$1:$I$89,3,0)*VLOOKUP('Données projet'!$B$17,Paramètres!$A$1:$I$89,5,0)</f>
        <v>322.26999999999992</v>
      </c>
      <c r="GB192" s="13">
        <f t="shared" si="185"/>
        <v>75.825476822885776</v>
      </c>
      <c r="GC192" s="20">
        <f t="shared" si="186"/>
        <v>693.34962213319261</v>
      </c>
      <c r="GD192" s="59">
        <f t="shared" si="134"/>
        <v>986.68295546652598</v>
      </c>
      <c r="GE192" s="59">
        <f ca="1">AVERAGE(OFFSET($GD$3,0,0,'Données projet'!$E$17+1,1))-AVERAGE(OFFSET($H$3,0,0,'Données projet'!$E$17+1,1))</f>
        <v>312.64506496298173</v>
      </c>
      <c r="GF192" s="59">
        <f t="shared" si="158"/>
        <v>259.97532509897508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13.080998343413821</v>
      </c>
      <c r="GM192" s="21">
        <f>EXP(-LN(2)/25)*GM191+(1-EXP(-LN(2)/25))/(LN(2)/25)*Calculateur!GH192*Calculateur!GJ192*VLOOKUP('Données projet'!$B$17,Paramètres!$A$1:$I$89,3,0)*0.475*44/12</f>
        <v>0.23831974128443645</v>
      </c>
      <c r="GN192" s="21">
        <f>EXP(-LN(2)/2)*GN191+(1-EXP(-LN(2)/2))/(LN(2)/2)*GH192*GK192*VLOOKUP('Données projet'!$B$17,Paramètres!$A$1:$I$89,3,0)*0.475*44/12</f>
        <v>4.5048565120714692E-24</v>
      </c>
      <c r="GO192" s="21">
        <f t="shared" si="187"/>
        <v>13.319318084698258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267</v>
      </c>
      <c r="GV192" s="17">
        <f>GU192*VLOOKUP('Données projet'!$B$18,Paramètres!$A$1:$I$89,3,0)*VLOOKUP('Données projet'!$B$18,Paramètres!$A$1:$I$89,5,0)</f>
        <v>270.738</v>
      </c>
      <c r="GW192" s="13">
        <f t="shared" si="188"/>
        <v>65.005866623551711</v>
      </c>
      <c r="GX192" s="20">
        <f t="shared" si="189"/>
        <v>584.7539010360191</v>
      </c>
      <c r="GY192" s="59">
        <f t="shared" si="137"/>
        <v>878.08723436935247</v>
      </c>
      <c r="GZ192" s="59">
        <f ca="1">AVERAGE(OFFSET($GY$3,0,0,'Données projet'!$E$18+1,1))-AVERAGE(OFFSET($H$3,0,0,'Données projet'!$E$18+1,1))</f>
        <v>308.80022073574963</v>
      </c>
      <c r="HA192" s="59">
        <f t="shared" si="160"/>
        <v>183.96267407004115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19.564371976029719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19.564371976029719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344.49457749226184</v>
      </c>
      <c r="T193" s="59">
        <f t="shared" si="142"/>
        <v>207.92972431357452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208.99999999999989</v>
      </c>
      <c r="AJ193" s="13">
        <f>AI193*VLOOKUP('Données projet'!$B$10,Paramètres!$A$1:$I$89,3,0)*VLOOKUP('Données projet'!$B$10,Paramètres!$A$1:$I$89,5,0)</f>
        <v>189.1031999999999</v>
      </c>
      <c r="AK193" s="13">
        <f t="shared" si="164"/>
        <v>47.34162854278712</v>
      </c>
      <c r="AL193" s="20">
        <f t="shared" si="165"/>
        <v>411.80807637868742</v>
      </c>
      <c r="AM193" s="59">
        <f t="shared" si="113"/>
        <v>705.14140971202073</v>
      </c>
      <c r="AN193" s="59">
        <f ca="1">AVERAGE(OFFSET($AM$3,0,0,'Données projet'!$E$10+1,1))-AVERAGE(OFFSET($H$3,0,0,'Données projet'!$E$10+1,1))</f>
        <v>183.0147113277086</v>
      </c>
      <c r="AO193" s="59">
        <f t="shared" si="144"/>
        <v>76.413905647258389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12.860446897499616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12.860446897499616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253.79640000000001</v>
      </c>
      <c r="BF193" s="13">
        <f t="shared" si="167"/>
        <v>61.39816832228076</v>
      </c>
      <c r="BG193" s="20">
        <f t="shared" si="168"/>
        <v>548.96387316130563</v>
      </c>
      <c r="BH193" s="59">
        <f t="shared" si="116"/>
        <v>842.29720649463889</v>
      </c>
      <c r="BI193" s="59">
        <f ca="1">AVERAGE(OFFSET($BH$3,0,0,'Données projet'!$E$11+1,1))-AVERAGE(OFFSET($H$3,0,0,'Données projet'!$E$11+1,1))</f>
        <v>279.49721661620544</v>
      </c>
      <c r="BJ193" s="59">
        <f t="shared" si="146"/>
        <v>275.18739333988754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6.0194663777646662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6.0194663777646662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754.68411025369562</v>
      </c>
      <c r="CD193" s="59">
        <f ca="1">AVERAGE(OFFSET($CC$3,0,0,'Données projet'!$E$12+1,1))-AVERAGE(OFFSET($H$3,0,0,'Données projet'!$E$12+1,1))</f>
        <v>225.2323446080772</v>
      </c>
      <c r="CE193" s="59">
        <f t="shared" si="148"/>
        <v>222.29030402759292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4.91205381952238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4.91205381952238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213.00000000000003</v>
      </c>
      <c r="CU193" s="17">
        <f>CT193*VLOOKUP('Données projet'!$B$13,Paramètres!$A$1:$I$89,3,0)*VLOOKUP('Données projet'!$B$13,Paramètres!$A$1:$I$89,5,0)</f>
        <v>229.2732</v>
      </c>
      <c r="CV193" s="13">
        <f t="shared" si="173"/>
        <v>56.125501442527366</v>
      </c>
      <c r="CW193" s="20">
        <f t="shared" si="174"/>
        <v>497.06940501240177</v>
      </c>
      <c r="CX193" s="59">
        <f t="shared" si="122"/>
        <v>790.40273834573509</v>
      </c>
      <c r="CY193" s="59">
        <f ca="1">AVERAGE(OFFSET($CX$3,0,0,'Données projet'!$E$13+1,1))-AVERAGE(OFFSET($H$3,0,0,'Données projet'!$E$13+1,1))</f>
        <v>240.57184010337932</v>
      </c>
      <c r="CZ193" s="59">
        <f t="shared" si="150"/>
        <v>236.36473521227072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4.1655515546876636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4.1655515546876636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670.99999999999977</v>
      </c>
      <c r="DP193" s="17">
        <f>DO193*VLOOKUP('Données projet'!$B$14,Paramètres!$A$1:$I$89,3,0)*VLOOKUP('Données projet'!$B$14,Paramètres!$A$1:$I$89,5,0)</f>
        <v>314.02799999999991</v>
      </c>
      <c r="DQ193" s="13">
        <f t="shared" si="176"/>
        <v>74.109403804428752</v>
      </c>
      <c r="DR193" s="20">
        <f t="shared" si="177"/>
        <v>676.00597829271317</v>
      </c>
      <c r="DS193" s="59">
        <f t="shared" si="125"/>
        <v>969.33931162604654</v>
      </c>
      <c r="DT193" s="59">
        <f ca="1">AVERAGE(OFFSET($DS$3,0,0,'Données projet'!$E$14+1,1))-AVERAGE(OFFSET($H$3,0,0,'Données projet'!$E$14+1,1))</f>
        <v>304.29617570272939</v>
      </c>
      <c r="DU193" s="59">
        <f t="shared" si="152"/>
        <v>246.20695736161576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11.23809999260013</v>
      </c>
      <c r="EB193" s="21">
        <f>EXP(-LN(2)/25)*EB192+(1-EXP(-LN(2)/25))/(LN(2)/25)*Calculateur!DW193*Calculateur!DY193*VLOOKUP('Données projet'!$B$14,Paramètres!$A$1:$I$89,3,0)*0.475*44/12</f>
        <v>0.48461298529828173</v>
      </c>
      <c r="EC193" s="21">
        <f>EXP(-LN(2)/2)*EC192+(1-EXP(-LN(2)/2))/(LN(2)/2)*DW193*DZ193*VLOOKUP('Données projet'!$B$14,Paramètres!$A$1:$I$89,3,0)*0.475*44/12</f>
        <v>3.2542884168869806E-24</v>
      </c>
      <c r="ED193" s="22">
        <f t="shared" si="178"/>
        <v>11.722712977898412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477.9999999999996</v>
      </c>
      <c r="EK193" s="17">
        <f>EJ193*VLOOKUP('Données projet'!$B$15,Paramètres!$A$1:$I$89,3,0)*VLOOKUP('Données projet'!$B$15,Paramètres!$A$1:$I$89,5,0)</f>
        <v>285.84399999999977</v>
      </c>
      <c r="EL193" s="13">
        <f t="shared" si="179"/>
        <v>68.200525419065656</v>
      </c>
      <c r="EM193" s="20">
        <f t="shared" si="180"/>
        <v>616.62754843820551</v>
      </c>
      <c r="EN193" s="59">
        <f t="shared" si="128"/>
        <v>909.96088177153888</v>
      </c>
      <c r="EO193" s="59">
        <f ca="1">AVERAGE(OFFSET($EN$3,0,0,'Données projet'!$E$15+1,1))-AVERAGE(OFFSET($H$3,0,0,'Données projet'!$E$15+1,1))</f>
        <v>288.41846134875794</v>
      </c>
      <c r="EP193" s="59">
        <f t="shared" si="154"/>
        <v>248.93951719818972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8.1304903691084842</v>
      </c>
      <c r="EW193" s="21">
        <f>EXP(-LN(2)/25)*EW192+(1-EXP(-LN(2)/25))/(LN(2)/25)*Calculateur!ER193*Calculateur!ET193*VLOOKUP('Données projet'!$B$15,Paramètres!$A$1:$I$89,3,0)*0.475*44/12</f>
        <v>0.33079235688534531</v>
      </c>
      <c r="EX193" s="21">
        <f>EXP(-LN(2)/2)*EX192+(1-EXP(-LN(2)/2))/(LN(2)/2)*ER193*EU193*VLOOKUP('Données projet'!$B$15,Paramètres!$A$1:$I$89,3,0)*0.475*44/12</f>
        <v>4.025454552172023E-25</v>
      </c>
      <c r="EY193" s="22">
        <f t="shared" si="181"/>
        <v>8.4612827259938292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789.00000000000045</v>
      </c>
      <c r="FF193" s="17">
        <f>FE193*VLOOKUP('Données projet'!$B$16,Paramètres!$A$1:$I$89,3,0)*VLOOKUP('Données projet'!$B$16,Paramètres!$A$1:$I$89,5,0)</f>
        <v>358.99500000000023</v>
      </c>
      <c r="FG193" s="13">
        <f t="shared" si="182"/>
        <v>83.411930940690553</v>
      </c>
      <c r="FH193" s="20">
        <f t="shared" si="183"/>
        <v>770.52540472170313</v>
      </c>
      <c r="FI193" s="59">
        <f t="shared" si="131"/>
        <v>1063.8587380550364</v>
      </c>
      <c r="FJ193" s="59">
        <f ca="1">AVERAGE(OFFSET($FI$3,0,0,'Données projet'!$E$16+1,1))-AVERAGE(OFFSET($H$3,0,0,'Données projet'!$E$16+1,1))</f>
        <v>367.36535411813264</v>
      </c>
      <c r="FK193" s="59">
        <f t="shared" si="156"/>
        <v>293.19545174980556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9.9344873753538216</v>
      </c>
      <c r="FR193" s="21">
        <f>EXP(-LN(2)/25)*FR192+(1-EXP(-LN(2)/25))/(LN(2)/25)*Calculateur!FM193*Calculateur!FO193*VLOOKUP('Données projet'!$B$16,Paramètres!$A$1:$I$89,3,0)*0.475*44/12</f>
        <v>0.51270151932712527</v>
      </c>
      <c r="FS193" s="21">
        <f>EXP(-LN(2)/2)*FS192+(1-EXP(-LN(2)/2))/(LN(2)/2)*FM193*FP193*VLOOKUP('Données projet'!$B$16,Paramètres!$A$1:$I$89,3,0)*0.475*44/12</f>
        <v>5.9925244987437202E-25</v>
      </c>
      <c r="FT193" s="22">
        <f t="shared" si="184"/>
        <v>10.447188894680947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669.99999999999989</v>
      </c>
      <c r="GA193" s="17">
        <f>FZ193*VLOOKUP('Données projet'!$B$17,Paramètres!$A$1:$I$89,3,0)*VLOOKUP('Données projet'!$B$17,Paramètres!$A$1:$I$89,5,0)</f>
        <v>322.26999999999992</v>
      </c>
      <c r="GB193" s="13">
        <f t="shared" si="185"/>
        <v>75.825476822885776</v>
      </c>
      <c r="GC193" s="20">
        <f t="shared" si="186"/>
        <v>693.34962213319261</v>
      </c>
      <c r="GD193" s="59">
        <f t="shared" si="134"/>
        <v>986.68295546652598</v>
      </c>
      <c r="GE193" s="59">
        <f ca="1">AVERAGE(OFFSET($GD$3,0,0,'Données projet'!$E$17+1,1))-AVERAGE(OFFSET($H$3,0,0,'Données projet'!$E$17+1,1))</f>
        <v>312.64506496298173</v>
      </c>
      <c r="GF193" s="59">
        <f t="shared" si="158"/>
        <v>259.97532509897508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12.824487944520643</v>
      </c>
      <c r="GM193" s="21">
        <f>EXP(-LN(2)/25)*GM192+(1-EXP(-LN(2)/25))/(LN(2)/25)*Calculateur!GH193*Calculateur!GJ193*VLOOKUP('Données projet'!$B$17,Paramètres!$A$1:$I$89,3,0)*0.475*44/12</f>
        <v>0.23180287542632302</v>
      </c>
      <c r="GN193" s="21">
        <f>EXP(-LN(2)/2)*GN192+(1-EXP(-LN(2)/2))/(LN(2)/2)*GH193*GK193*VLOOKUP('Données projet'!$B$17,Paramètres!$A$1:$I$89,3,0)*0.475*44/12</f>
        <v>3.1854145879581141E-24</v>
      </c>
      <c r="GO193" s="21">
        <f t="shared" si="187"/>
        <v>13.056290819946966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267</v>
      </c>
      <c r="GV193" s="17">
        <f>GU193*VLOOKUP('Données projet'!$B$18,Paramètres!$A$1:$I$89,3,0)*VLOOKUP('Données projet'!$B$18,Paramètres!$A$1:$I$89,5,0)</f>
        <v>270.738</v>
      </c>
      <c r="GW193" s="13">
        <f t="shared" si="188"/>
        <v>65.005866623551711</v>
      </c>
      <c r="GX193" s="20">
        <f t="shared" si="189"/>
        <v>584.7539010360191</v>
      </c>
      <c r="GY193" s="59">
        <f t="shared" si="137"/>
        <v>878.08723436935247</v>
      </c>
      <c r="GZ193" s="59">
        <f ca="1">AVERAGE(OFFSET($GY$3,0,0,'Données projet'!$E$18+1,1))-AVERAGE(OFFSET($H$3,0,0,'Données projet'!$E$18+1,1))</f>
        <v>308.80022073574963</v>
      </c>
      <c r="HA193" s="59">
        <f t="shared" si="160"/>
        <v>183.96267407004115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19.180726574668387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19.180726574668387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344.49457749226184</v>
      </c>
      <c r="T194" s="59">
        <f t="shared" si="142"/>
        <v>207.92972431357452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208.99999999999989</v>
      </c>
      <c r="AJ194" s="13">
        <f>AI194*VLOOKUP('Données projet'!$B$10,Paramètres!$A$1:$I$89,3,0)*VLOOKUP('Données projet'!$B$10,Paramètres!$A$1:$I$89,5,0)</f>
        <v>189.1031999999999</v>
      </c>
      <c r="AK194" s="13">
        <f t="shared" si="164"/>
        <v>47.34162854278712</v>
      </c>
      <c r="AL194" s="20">
        <f t="shared" si="165"/>
        <v>411.80807637868742</v>
      </c>
      <c r="AM194" s="59">
        <f t="shared" si="113"/>
        <v>705.14140971202073</v>
      </c>
      <c r="AN194" s="59">
        <f ca="1">AVERAGE(OFFSET($AM$3,0,0,'Données projet'!$E$10+1,1))-AVERAGE(OFFSET($H$3,0,0,'Données projet'!$E$10+1,1))</f>
        <v>183.0147113277086</v>
      </c>
      <c r="AO194" s="59">
        <f t="shared" si="144"/>
        <v>76.413905647258389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12.608261377937716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12.608261377937716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253.79640000000001</v>
      </c>
      <c r="BF194" s="13">
        <f t="shared" si="167"/>
        <v>61.39816832228076</v>
      </c>
      <c r="BG194" s="20">
        <f t="shared" si="168"/>
        <v>548.96387316130563</v>
      </c>
      <c r="BH194" s="59">
        <f t="shared" si="116"/>
        <v>842.29720649463889</v>
      </c>
      <c r="BI194" s="59">
        <f ca="1">AVERAGE(OFFSET($BH$3,0,0,'Données projet'!$E$11+1,1))-AVERAGE(OFFSET($H$3,0,0,'Données projet'!$E$11+1,1))</f>
        <v>279.49721661620544</v>
      </c>
      <c r="BJ194" s="59">
        <f t="shared" si="146"/>
        <v>275.18739333988754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5.90142831360866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5.90142831360866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754.68411025369562</v>
      </c>
      <c r="CD194" s="59">
        <f ca="1">AVERAGE(OFFSET($CC$3,0,0,'Données projet'!$E$12+1,1))-AVERAGE(OFFSET($H$3,0,0,'Données projet'!$E$12+1,1))</f>
        <v>225.2323446080772</v>
      </c>
      <c r="CE194" s="59">
        <f t="shared" si="148"/>
        <v>222.29030402759292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4.8157314401785403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4.8157314401785403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213.00000000000003</v>
      </c>
      <c r="CU194" s="17">
        <f>CT194*VLOOKUP('Données projet'!$B$13,Paramètres!$A$1:$I$89,3,0)*VLOOKUP('Données projet'!$B$13,Paramètres!$A$1:$I$89,5,0)</f>
        <v>229.2732</v>
      </c>
      <c r="CV194" s="13">
        <f t="shared" si="173"/>
        <v>56.125501442527366</v>
      </c>
      <c r="CW194" s="20">
        <f t="shared" si="174"/>
        <v>497.06940501240177</v>
      </c>
      <c r="CX194" s="59">
        <f t="shared" si="122"/>
        <v>790.40273834573509</v>
      </c>
      <c r="CY194" s="59">
        <f ca="1">AVERAGE(OFFSET($CX$3,0,0,'Données projet'!$E$13+1,1))-AVERAGE(OFFSET($H$3,0,0,'Données projet'!$E$13+1,1))</f>
        <v>240.57184010337932</v>
      </c>
      <c r="CZ194" s="59">
        <f t="shared" si="150"/>
        <v>236.36473521227072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4.0838676294358098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4.0838676294358098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670.99999999999977</v>
      </c>
      <c r="DP194" s="17">
        <f>DO194*VLOOKUP('Données projet'!$B$14,Paramètres!$A$1:$I$89,3,0)*VLOOKUP('Données projet'!$B$14,Paramètres!$A$1:$I$89,5,0)</f>
        <v>314.02799999999991</v>
      </c>
      <c r="DQ194" s="13">
        <f t="shared" si="176"/>
        <v>74.109403804428752</v>
      </c>
      <c r="DR194" s="20">
        <f t="shared" si="177"/>
        <v>676.00597829271317</v>
      </c>
      <c r="DS194" s="59">
        <f t="shared" si="125"/>
        <v>969.33931162604654</v>
      </c>
      <c r="DT194" s="59">
        <f ca="1">AVERAGE(OFFSET($DS$3,0,0,'Données projet'!$E$14+1,1))-AVERAGE(OFFSET($H$3,0,0,'Données projet'!$E$14+1,1))</f>
        <v>304.29617570272939</v>
      </c>
      <c r="DU194" s="59">
        <f t="shared" si="152"/>
        <v>246.20695736161576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11.017727706309405</v>
      </c>
      <c r="EB194" s="21">
        <f>EXP(-LN(2)/25)*EB193+(1-EXP(-LN(2)/25))/(LN(2)/25)*Calculateur!DW194*Calculateur!DY194*VLOOKUP('Données projet'!$B$14,Paramètres!$A$1:$I$89,3,0)*0.475*44/12</f>
        <v>0.4713612177306109</v>
      </c>
      <c r="EC194" s="21">
        <f>EXP(-LN(2)/2)*EC193+(1-EXP(-LN(2)/2))/(LN(2)/2)*DW194*DZ194*VLOOKUP('Données projet'!$B$14,Paramètres!$A$1:$I$89,3,0)*0.475*44/12</f>
        <v>2.3011294075176185E-24</v>
      </c>
      <c r="ED194" s="22">
        <f t="shared" si="178"/>
        <v>11.489088924040015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477.9999999999996</v>
      </c>
      <c r="EK194" s="17">
        <f>EJ194*VLOOKUP('Données projet'!$B$15,Paramètres!$A$1:$I$89,3,0)*VLOOKUP('Données projet'!$B$15,Paramètres!$A$1:$I$89,5,0)</f>
        <v>285.84399999999977</v>
      </c>
      <c r="EL194" s="13">
        <f t="shared" si="179"/>
        <v>68.200525419065656</v>
      </c>
      <c r="EM194" s="20">
        <f t="shared" si="180"/>
        <v>616.62754843820551</v>
      </c>
      <c r="EN194" s="59">
        <f t="shared" si="128"/>
        <v>909.96088177153888</v>
      </c>
      <c r="EO194" s="59">
        <f ca="1">AVERAGE(OFFSET($EN$3,0,0,'Données projet'!$E$15+1,1))-AVERAGE(OFFSET($H$3,0,0,'Données projet'!$E$15+1,1))</f>
        <v>288.41846134875794</v>
      </c>
      <c r="EP194" s="59">
        <f t="shared" si="154"/>
        <v>248.93951719818972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7.9710564120797205</v>
      </c>
      <c r="EW194" s="21">
        <f>EXP(-LN(2)/25)*EW193+(1-EXP(-LN(2)/25))/(LN(2)/25)*Calculateur!ER194*Calculateur!ET194*VLOOKUP('Données projet'!$B$15,Paramètres!$A$1:$I$89,3,0)*0.475*44/12</f>
        <v>0.32174682249070152</v>
      </c>
      <c r="EX194" s="21">
        <f>EXP(-LN(2)/2)*EX193+(1-EXP(-LN(2)/2))/(LN(2)/2)*ER194*EU194*VLOOKUP('Données projet'!$B$15,Paramètres!$A$1:$I$89,3,0)*0.475*44/12</f>
        <v>2.8464262111990943E-25</v>
      </c>
      <c r="EY194" s="22">
        <f t="shared" si="181"/>
        <v>8.2928032345704228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789.00000000000045</v>
      </c>
      <c r="FF194" s="17">
        <f>FE194*VLOOKUP('Données projet'!$B$16,Paramètres!$A$1:$I$89,3,0)*VLOOKUP('Données projet'!$B$16,Paramètres!$A$1:$I$89,5,0)</f>
        <v>358.99500000000023</v>
      </c>
      <c r="FG194" s="13">
        <f t="shared" si="182"/>
        <v>83.411930940690553</v>
      </c>
      <c r="FH194" s="20">
        <f t="shared" si="183"/>
        <v>770.52540472170313</v>
      </c>
      <c r="FI194" s="59">
        <f t="shared" si="131"/>
        <v>1063.8587380550364</v>
      </c>
      <c r="FJ194" s="59">
        <f ca="1">AVERAGE(OFFSET($FI$3,0,0,'Données projet'!$E$16+1,1))-AVERAGE(OFFSET($H$3,0,0,'Données projet'!$E$16+1,1))</f>
        <v>367.36535411813264</v>
      </c>
      <c r="FK194" s="59">
        <f t="shared" si="156"/>
        <v>293.19545174980556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9.7396781373621124</v>
      </c>
      <c r="FR194" s="21">
        <f>EXP(-LN(2)/25)*FR193+(1-EXP(-LN(2)/25))/(LN(2)/25)*Calculateur!FM194*Calculateur!FO194*VLOOKUP('Données projet'!$B$16,Paramètres!$A$1:$I$89,3,0)*0.475*44/12</f>
        <v>0.49868166931932389</v>
      </c>
      <c r="FS194" s="21">
        <f>EXP(-LN(2)/2)*FS193+(1-EXP(-LN(2)/2))/(LN(2)/2)*FM194*FP194*VLOOKUP('Données projet'!$B$16,Paramètres!$A$1:$I$89,3,0)*0.475*44/12</f>
        <v>4.237354709488201E-25</v>
      </c>
      <c r="FT194" s="22">
        <f t="shared" si="184"/>
        <v>10.238359806681437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669.99999999999989</v>
      </c>
      <c r="GA194" s="17">
        <f>FZ194*VLOOKUP('Données projet'!$B$17,Paramètres!$A$1:$I$89,3,0)*VLOOKUP('Données projet'!$B$17,Paramètres!$A$1:$I$89,5,0)</f>
        <v>322.26999999999992</v>
      </c>
      <c r="GB194" s="13">
        <f t="shared" si="185"/>
        <v>75.825476822885776</v>
      </c>
      <c r="GC194" s="20">
        <f t="shared" si="186"/>
        <v>693.34962213319261</v>
      </c>
      <c r="GD194" s="59">
        <f t="shared" si="134"/>
        <v>986.68295546652598</v>
      </c>
      <c r="GE194" s="59">
        <f ca="1">AVERAGE(OFFSET($GD$3,0,0,'Données projet'!$E$17+1,1))-AVERAGE(OFFSET($H$3,0,0,'Données projet'!$E$17+1,1))</f>
        <v>312.64506496298173</v>
      </c>
      <c r="GF194" s="59">
        <f t="shared" si="158"/>
        <v>259.97532509897508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12.573007558093865</v>
      </c>
      <c r="GM194" s="21">
        <f>EXP(-LN(2)/25)*GM193+(1-EXP(-LN(2)/25))/(LN(2)/25)*Calculateur!GH194*Calculateur!GJ194*VLOOKUP('Données projet'!$B$17,Paramètres!$A$1:$I$89,3,0)*0.475*44/12</f>
        <v>0.2254642136078068</v>
      </c>
      <c r="GN194" s="21">
        <f>EXP(-LN(2)/2)*GN193+(1-EXP(-LN(2)/2))/(LN(2)/2)*GH194*GK194*VLOOKUP('Données projet'!$B$17,Paramètres!$A$1:$I$89,3,0)*0.475*44/12</f>
        <v>2.2524282560357346E-24</v>
      </c>
      <c r="GO194" s="21">
        <f t="shared" si="187"/>
        <v>12.798471771701672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267</v>
      </c>
      <c r="GV194" s="17">
        <f>GU194*VLOOKUP('Données projet'!$B$18,Paramètres!$A$1:$I$89,3,0)*VLOOKUP('Données projet'!$B$18,Paramètres!$A$1:$I$89,5,0)</f>
        <v>270.738</v>
      </c>
      <c r="GW194" s="13">
        <f t="shared" si="188"/>
        <v>65.005866623551711</v>
      </c>
      <c r="GX194" s="20">
        <f t="shared" si="189"/>
        <v>584.7539010360191</v>
      </c>
      <c r="GY194" s="59">
        <f t="shared" si="137"/>
        <v>878.08723436935247</v>
      </c>
      <c r="GZ194" s="59">
        <f ca="1">AVERAGE(OFFSET($GY$3,0,0,'Données projet'!$E$18+1,1))-AVERAGE(OFFSET($H$3,0,0,'Données projet'!$E$18+1,1))</f>
        <v>308.80022073574963</v>
      </c>
      <c r="HA194" s="59">
        <f t="shared" si="160"/>
        <v>183.96267407004115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18.804604225627163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18.804604225627163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344.49457749226184</v>
      </c>
      <c r="T195" s="59">
        <f t="shared" si="142"/>
        <v>207.92972431357452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208.99999999999989</v>
      </c>
      <c r="AJ195" s="13">
        <f>AI195*VLOOKUP('Données projet'!$B$10,Paramètres!$A$1:$I$89,3,0)*VLOOKUP('Données projet'!$B$10,Paramètres!$A$1:$I$89,5,0)</f>
        <v>189.1031999999999</v>
      </c>
      <c r="AK195" s="13">
        <f t="shared" si="164"/>
        <v>47.34162854278712</v>
      </c>
      <c r="AL195" s="20">
        <f t="shared" si="165"/>
        <v>411.80807637868742</v>
      </c>
      <c r="AM195" s="59">
        <f t="shared" si="113"/>
        <v>705.14140971202073</v>
      </c>
      <c r="AN195" s="59">
        <f ca="1">AVERAGE(OFFSET($AM$3,0,0,'Données projet'!$E$10+1,1))-AVERAGE(OFFSET($H$3,0,0,'Données projet'!$E$10+1,1))</f>
        <v>183.0147113277086</v>
      </c>
      <c r="AO195" s="59">
        <f t="shared" si="144"/>
        <v>76.413905647258389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12.361021062596445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12.361021062596445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253.79640000000001</v>
      </c>
      <c r="BF195" s="13">
        <f t="shared" si="167"/>
        <v>61.39816832228076</v>
      </c>
      <c r="BG195" s="20">
        <f t="shared" si="168"/>
        <v>548.96387316130563</v>
      </c>
      <c r="BH195" s="59">
        <f t="shared" si="116"/>
        <v>842.29720649463889</v>
      </c>
      <c r="BI195" s="59">
        <f ca="1">AVERAGE(OFFSET($BH$3,0,0,'Données projet'!$E$11+1,1))-AVERAGE(OFFSET($H$3,0,0,'Données projet'!$E$11+1,1))</f>
        <v>279.49721661620544</v>
      </c>
      <c r="BJ195" s="59">
        <f t="shared" si="146"/>
        <v>275.18739333988754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5.7857049038946426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5.7857049038946426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754.68411025369562</v>
      </c>
      <c r="CD195" s="59">
        <f ca="1">AVERAGE(OFFSET($CC$3,0,0,'Données projet'!$E$12+1,1))-AVERAGE(OFFSET($H$3,0,0,'Données projet'!$E$12+1,1))</f>
        <v>225.2323446080772</v>
      </c>
      <c r="CE195" s="59">
        <f t="shared" si="148"/>
        <v>222.29030402759292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4.7212978839427828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4.7212978839427828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213.00000000000003</v>
      </c>
      <c r="CU195" s="17">
        <f>CT195*VLOOKUP('Données projet'!$B$13,Paramètres!$A$1:$I$89,3,0)*VLOOKUP('Données projet'!$B$13,Paramètres!$A$1:$I$89,5,0)</f>
        <v>229.2732</v>
      </c>
      <c r="CV195" s="13">
        <f t="shared" si="173"/>
        <v>56.125501442527366</v>
      </c>
      <c r="CW195" s="20">
        <f t="shared" si="174"/>
        <v>497.06940501240177</v>
      </c>
      <c r="CX195" s="59">
        <f t="shared" si="122"/>
        <v>790.40273834573509</v>
      </c>
      <c r="CY195" s="59">
        <f ca="1">AVERAGE(OFFSET($CX$3,0,0,'Données projet'!$E$13+1,1))-AVERAGE(OFFSET($H$3,0,0,'Données projet'!$E$13+1,1))</f>
        <v>240.57184010337932</v>
      </c>
      <c r="CZ195" s="59">
        <f t="shared" si="150"/>
        <v>236.36473521227072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4.00378547613587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4.00378547613587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670.99999999999977</v>
      </c>
      <c r="DP195" s="17">
        <f>DO195*VLOOKUP('Données projet'!$B$14,Paramètres!$A$1:$I$89,3,0)*VLOOKUP('Données projet'!$B$14,Paramètres!$A$1:$I$89,5,0)</f>
        <v>314.02799999999991</v>
      </c>
      <c r="DQ195" s="13">
        <f t="shared" si="176"/>
        <v>74.109403804428752</v>
      </c>
      <c r="DR195" s="20">
        <f t="shared" si="177"/>
        <v>676.00597829271317</v>
      </c>
      <c r="DS195" s="59">
        <f t="shared" si="125"/>
        <v>969.33931162604654</v>
      </c>
      <c r="DT195" s="59">
        <f ca="1">AVERAGE(OFFSET($DS$3,0,0,'Données projet'!$E$14+1,1))-AVERAGE(OFFSET($H$3,0,0,'Données projet'!$E$14+1,1))</f>
        <v>304.29617570272939</v>
      </c>
      <c r="DU195" s="59">
        <f t="shared" si="152"/>
        <v>246.20695736161576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10.801676786139017</v>
      </c>
      <c r="EB195" s="21">
        <f>EXP(-LN(2)/25)*EB194+(1-EXP(-LN(2)/25))/(LN(2)/25)*Calculateur!DW195*Calculateur!DY195*VLOOKUP('Données projet'!$B$14,Paramètres!$A$1:$I$89,3,0)*0.475*44/12</f>
        <v>0.45847182044395823</v>
      </c>
      <c r="EC195" s="21">
        <f>EXP(-LN(2)/2)*EC194+(1-EXP(-LN(2)/2))/(LN(2)/2)*DW195*DZ195*VLOOKUP('Données projet'!$B$14,Paramètres!$A$1:$I$89,3,0)*0.475*44/12</f>
        <v>1.6271442084434905E-24</v>
      </c>
      <c r="ED195" s="22">
        <f t="shared" si="178"/>
        <v>11.260148606582975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477.9999999999996</v>
      </c>
      <c r="EK195" s="17">
        <f>EJ195*VLOOKUP('Données projet'!$B$15,Paramètres!$A$1:$I$89,3,0)*VLOOKUP('Données projet'!$B$15,Paramètres!$A$1:$I$89,5,0)</f>
        <v>285.84399999999977</v>
      </c>
      <c r="EL195" s="13">
        <f t="shared" si="179"/>
        <v>68.200525419065656</v>
      </c>
      <c r="EM195" s="20">
        <f t="shared" si="180"/>
        <v>616.62754843820551</v>
      </c>
      <c r="EN195" s="59">
        <f t="shared" si="128"/>
        <v>909.96088177153888</v>
      </c>
      <c r="EO195" s="59">
        <f ca="1">AVERAGE(OFFSET($EN$3,0,0,'Données projet'!$E$15+1,1))-AVERAGE(OFFSET($H$3,0,0,'Données projet'!$E$15+1,1))</f>
        <v>288.41846134875794</v>
      </c>
      <c r="EP195" s="59">
        <f t="shared" si="154"/>
        <v>248.93951719818972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7.8147488577031794</v>
      </c>
      <c r="EW195" s="21">
        <f>EXP(-LN(2)/25)*EW194+(1-EXP(-LN(2)/25))/(LN(2)/25)*Calculateur!ER195*Calculateur!ET195*VLOOKUP('Données projet'!$B$15,Paramètres!$A$1:$I$89,3,0)*0.475*44/12</f>
        <v>0.31294863870976325</v>
      </c>
      <c r="EX195" s="21">
        <f>EXP(-LN(2)/2)*EX194+(1-EXP(-LN(2)/2))/(LN(2)/2)*ER195*EU195*VLOOKUP('Données projet'!$B$15,Paramètres!$A$1:$I$89,3,0)*0.475*44/12</f>
        <v>2.0127272760860115E-25</v>
      </c>
      <c r="EY195" s="22">
        <f t="shared" si="181"/>
        <v>8.1276974964129423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789.00000000000045</v>
      </c>
      <c r="FF195" s="17">
        <f>FE195*VLOOKUP('Données projet'!$B$16,Paramètres!$A$1:$I$89,3,0)*VLOOKUP('Données projet'!$B$16,Paramètres!$A$1:$I$89,5,0)</f>
        <v>358.99500000000023</v>
      </c>
      <c r="FG195" s="13">
        <f t="shared" si="182"/>
        <v>83.411930940690553</v>
      </c>
      <c r="FH195" s="20">
        <f t="shared" si="183"/>
        <v>770.52540472170313</v>
      </c>
      <c r="FI195" s="59">
        <f t="shared" si="131"/>
        <v>1063.8587380550364</v>
      </c>
      <c r="FJ195" s="59">
        <f ca="1">AVERAGE(OFFSET($FI$3,0,0,'Données projet'!$E$16+1,1))-AVERAGE(OFFSET($H$3,0,0,'Données projet'!$E$16+1,1))</f>
        <v>367.36535411813264</v>
      </c>
      <c r="FK195" s="59">
        <f t="shared" si="156"/>
        <v>293.19545174980556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9.5486889897055178</v>
      </c>
      <c r="FR195" s="21">
        <f>EXP(-LN(2)/25)*FR194+(1-EXP(-LN(2)/25))/(LN(2)/25)*Calculateur!FM195*Calculateur!FO195*VLOOKUP('Données projet'!$B$16,Paramètres!$A$1:$I$89,3,0)*0.475*44/12</f>
        <v>0.48504519284725772</v>
      </c>
      <c r="FS195" s="21">
        <f>EXP(-LN(2)/2)*FS194+(1-EXP(-LN(2)/2))/(LN(2)/2)*FM195*FP195*VLOOKUP('Données projet'!$B$16,Paramètres!$A$1:$I$89,3,0)*0.475*44/12</f>
        <v>2.9962622493718601E-25</v>
      </c>
      <c r="FT195" s="22">
        <f t="shared" si="184"/>
        <v>10.033734182552775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669.99999999999989</v>
      </c>
      <c r="GA195" s="17">
        <f>FZ195*VLOOKUP('Données projet'!$B$17,Paramètres!$A$1:$I$89,3,0)*VLOOKUP('Données projet'!$B$17,Paramètres!$A$1:$I$89,5,0)</f>
        <v>322.26999999999992</v>
      </c>
      <c r="GB195" s="13">
        <f t="shared" si="185"/>
        <v>75.825476822885776</v>
      </c>
      <c r="GC195" s="20">
        <f t="shared" si="186"/>
        <v>693.34962213319261</v>
      </c>
      <c r="GD195" s="59">
        <f t="shared" si="134"/>
        <v>986.68295546652598</v>
      </c>
      <c r="GE195" s="59">
        <f ca="1">AVERAGE(OFFSET($GD$3,0,0,'Données projet'!$E$17+1,1))-AVERAGE(OFFSET($H$3,0,0,'Données projet'!$E$17+1,1))</f>
        <v>312.64506496298173</v>
      </c>
      <c r="GF195" s="59">
        <f t="shared" si="158"/>
        <v>259.97532509897508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12.326458548657026</v>
      </c>
      <c r="GM195" s="21">
        <f>EXP(-LN(2)/25)*GM194+(1-EXP(-LN(2)/25))/(LN(2)/25)*Calculateur!GH195*Calculateur!GJ195*VLOOKUP('Données projet'!$B$17,Paramètres!$A$1:$I$89,3,0)*0.475*44/12</f>
        <v>0.21929888283005364</v>
      </c>
      <c r="GN195" s="21">
        <f>EXP(-LN(2)/2)*GN194+(1-EXP(-LN(2)/2))/(LN(2)/2)*GH195*GK195*VLOOKUP('Données projet'!$B$17,Paramètres!$A$1:$I$89,3,0)*0.475*44/12</f>
        <v>1.5927072939790571E-24</v>
      </c>
      <c r="GO195" s="21">
        <f t="shared" si="187"/>
        <v>12.545757431487079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267</v>
      </c>
      <c r="GV195" s="17">
        <f>GU195*VLOOKUP('Données projet'!$B$18,Paramètres!$A$1:$I$89,3,0)*VLOOKUP('Données projet'!$B$18,Paramètres!$A$1:$I$89,5,0)</f>
        <v>270.738</v>
      </c>
      <c r="GW195" s="13">
        <f t="shared" si="188"/>
        <v>65.005866623551711</v>
      </c>
      <c r="GX195" s="20">
        <f t="shared" si="189"/>
        <v>584.7539010360191</v>
      </c>
      <c r="GY195" s="59">
        <f t="shared" si="137"/>
        <v>878.08723436935247</v>
      </c>
      <c r="GZ195" s="59">
        <f ca="1">AVERAGE(OFFSET($GY$3,0,0,'Données projet'!$E$18+1,1))-AVERAGE(OFFSET($H$3,0,0,'Données projet'!$E$18+1,1))</f>
        <v>308.80022073574963</v>
      </c>
      <c r="HA195" s="59">
        <f t="shared" si="160"/>
        <v>183.96267407004115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18.435857406438654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18.435857406438654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344.49457749226184</v>
      </c>
      <c r="T196" s="59">
        <f t="shared" si="142"/>
        <v>207.92972431357452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208.99999999999989</v>
      </c>
      <c r="AJ196" s="13">
        <f>AI196*VLOOKUP('Données projet'!$B$10,Paramètres!$A$1:$I$89,3,0)*VLOOKUP('Données projet'!$B$10,Paramètres!$A$1:$I$89,5,0)</f>
        <v>189.1031999999999</v>
      </c>
      <c r="AK196" s="13">
        <f t="shared" si="164"/>
        <v>47.34162854278712</v>
      </c>
      <c r="AL196" s="20">
        <f t="shared" si="165"/>
        <v>411.80807637868742</v>
      </c>
      <c r="AM196" s="59">
        <f t="shared" ref="AM196:AM203" si="193">AL196+(AD196+AE196)*44/12</f>
        <v>705.14140971202073</v>
      </c>
      <c r="AN196" s="59">
        <f ca="1">AVERAGE(OFFSET($AM$3,0,0,'Données projet'!$E$10+1,1))-AVERAGE(OFFSET($H$3,0,0,'Données projet'!$E$10+1,1))</f>
        <v>183.0147113277086</v>
      </c>
      <c r="AO196" s="59">
        <f t="shared" si="144"/>
        <v>76.413905647258389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12.118628979037315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12.118628979037315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253.79640000000001</v>
      </c>
      <c r="BF196" s="13">
        <f t="shared" si="167"/>
        <v>61.39816832228076</v>
      </c>
      <c r="BG196" s="20">
        <f t="shared" si="168"/>
        <v>548.96387316130563</v>
      </c>
      <c r="BH196" s="59">
        <f t="shared" ref="BH196:BH203" si="194">BG196+(AY196+AZ196)*44/12</f>
        <v>842.29720649463889</v>
      </c>
      <c r="BI196" s="59">
        <f ca="1">AVERAGE(OFFSET($BH$3,0,0,'Données projet'!$E$11+1,1))-AVERAGE(OFFSET($H$3,0,0,'Données projet'!$E$11+1,1))</f>
        <v>279.49721661620544</v>
      </c>
      <c r="BJ196" s="59">
        <f t="shared" si="146"/>
        <v>275.18739333988754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5.6722507596608072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5.6722507596608072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754.68411025369562</v>
      </c>
      <c r="CD196" s="59">
        <f ca="1">AVERAGE(OFFSET($CC$3,0,0,'Données projet'!$E$12+1,1))-AVERAGE(OFFSET($H$3,0,0,'Données projet'!$E$12+1,1))</f>
        <v>225.2323446080772</v>
      </c>
      <c r="CE196" s="59">
        <f t="shared" si="148"/>
        <v>222.29030402759292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4.6287161121460265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4.6287161121460265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213.00000000000003</v>
      </c>
      <c r="CU196" s="17">
        <f>CT196*VLOOKUP('Données projet'!$B$13,Paramètres!$A$1:$I$89,3,0)*VLOOKUP('Données projet'!$B$13,Paramètres!$A$1:$I$89,5,0)</f>
        <v>229.2732</v>
      </c>
      <c r="CV196" s="13">
        <f t="shared" si="173"/>
        <v>56.125501442527366</v>
      </c>
      <c r="CW196" s="20">
        <f t="shared" si="174"/>
        <v>497.06940501240177</v>
      </c>
      <c r="CX196" s="59">
        <f t="shared" ref="CX196:CX203" si="196">CW196+(CO196+CP196)*44/12</f>
        <v>790.40273834573509</v>
      </c>
      <c r="CY196" s="59">
        <f ca="1">AVERAGE(OFFSET($CX$3,0,0,'Données projet'!$E$13+1,1))-AVERAGE(OFFSET($H$3,0,0,'Données projet'!$E$13+1,1))</f>
        <v>240.57184010337932</v>
      </c>
      <c r="CZ196" s="59">
        <f t="shared" si="150"/>
        <v>236.36473521227072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3.9252736850168519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3.9252736850168519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670.99999999999977</v>
      </c>
      <c r="DP196" s="17">
        <f>DO196*VLOOKUP('Données projet'!$B$14,Paramètres!$A$1:$I$89,3,0)*VLOOKUP('Données projet'!$B$14,Paramètres!$A$1:$I$89,5,0)</f>
        <v>314.02799999999991</v>
      </c>
      <c r="DQ196" s="13">
        <f t="shared" si="176"/>
        <v>74.109403804428752</v>
      </c>
      <c r="DR196" s="20">
        <f t="shared" si="177"/>
        <v>676.00597829271317</v>
      </c>
      <c r="DS196" s="59">
        <f t="shared" ref="DS196:DS203" si="197">DR196+(DJ196+DK196)*44/12</f>
        <v>969.33931162604654</v>
      </c>
      <c r="DT196" s="59">
        <f ca="1">AVERAGE(OFFSET($DS$3,0,0,'Données projet'!$E$14+1,1))-AVERAGE(OFFSET($H$3,0,0,'Données projet'!$E$14+1,1))</f>
        <v>304.29617570272939</v>
      </c>
      <c r="DU196" s="59">
        <f t="shared" si="152"/>
        <v>246.20695736161576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10.589862492735124</v>
      </c>
      <c r="EB196" s="21">
        <f>EXP(-LN(2)/25)*EB195+(1-EXP(-LN(2)/25))/(LN(2)/25)*Calculateur!DW196*Calculateur!DY196*VLOOKUP('Données projet'!$B$14,Paramètres!$A$1:$I$89,3,0)*0.475*44/12</f>
        <v>0.44593488440393303</v>
      </c>
      <c r="EC196" s="21">
        <f>EXP(-LN(2)/2)*EC195+(1-EXP(-LN(2)/2))/(LN(2)/2)*DW196*DZ196*VLOOKUP('Données projet'!$B$14,Paramètres!$A$1:$I$89,3,0)*0.475*44/12</f>
        <v>1.1505647037588094E-24</v>
      </c>
      <c r="ED196" s="22">
        <f t="shared" si="178"/>
        <v>11.035797377139057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477.9999999999996</v>
      </c>
      <c r="EK196" s="17">
        <f>EJ196*VLOOKUP('Données projet'!$B$15,Paramètres!$A$1:$I$89,3,0)*VLOOKUP('Données projet'!$B$15,Paramètres!$A$1:$I$89,5,0)</f>
        <v>285.84399999999977</v>
      </c>
      <c r="EL196" s="13">
        <f t="shared" si="179"/>
        <v>68.200525419065656</v>
      </c>
      <c r="EM196" s="20">
        <f t="shared" si="180"/>
        <v>616.62754843820551</v>
      </c>
      <c r="EN196" s="59">
        <f t="shared" ref="EN196:EN203" si="198">EM196+(EE196+EF196)*44/12</f>
        <v>909.96088177153888</v>
      </c>
      <c r="EO196" s="59">
        <f ca="1">AVERAGE(OFFSET($EN$3,0,0,'Données projet'!$E$15+1,1))-AVERAGE(OFFSET($H$3,0,0,'Données projet'!$E$15+1,1))</f>
        <v>288.41846134875794</v>
      </c>
      <c r="EP196" s="59">
        <f t="shared" si="154"/>
        <v>248.93951719818972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7.6615063991297676</v>
      </c>
      <c r="EW196" s="21">
        <f>EXP(-LN(2)/25)*EW195+(1-EXP(-LN(2)/25))/(LN(2)/25)*Calculateur!ER196*Calculateur!ET196*VLOOKUP('Données projet'!$B$15,Paramètres!$A$1:$I$89,3,0)*0.475*44/12</f>
        <v>0.30439104172699111</v>
      </c>
      <c r="EX196" s="21">
        <f>EXP(-LN(2)/2)*EX195+(1-EXP(-LN(2)/2))/(LN(2)/2)*ER196*EU196*VLOOKUP('Données projet'!$B$15,Paramètres!$A$1:$I$89,3,0)*0.475*44/12</f>
        <v>1.4232131055995471E-25</v>
      </c>
      <c r="EY196" s="22">
        <f t="shared" si="181"/>
        <v>7.9658974408567591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789.00000000000045</v>
      </c>
      <c r="FF196" s="17">
        <f>FE196*VLOOKUP('Données projet'!$B$16,Paramètres!$A$1:$I$89,3,0)*VLOOKUP('Données projet'!$B$16,Paramètres!$A$1:$I$89,5,0)</f>
        <v>358.99500000000023</v>
      </c>
      <c r="FG196" s="13">
        <f t="shared" si="182"/>
        <v>83.411930940690553</v>
      </c>
      <c r="FH196" s="20">
        <f t="shared" si="183"/>
        <v>770.52540472170313</v>
      </c>
      <c r="FI196" s="59">
        <f t="shared" ref="FI196:FI203" si="199">FH196+(EZ196+FA196)*44/12</f>
        <v>1063.8587380550364</v>
      </c>
      <c r="FJ196" s="59">
        <f ca="1">AVERAGE(OFFSET($FI$3,0,0,'Données projet'!$E$16+1,1))-AVERAGE(OFFSET($H$3,0,0,'Données projet'!$E$16+1,1))</f>
        <v>367.36535411813264</v>
      </c>
      <c r="FK196" s="59">
        <f t="shared" si="156"/>
        <v>293.19545174980556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9.3614450227425916</v>
      </c>
      <c r="FR196" s="21">
        <f>EXP(-LN(2)/25)*FR195+(1-EXP(-LN(2)/25))/(LN(2)/25)*Calculateur!FM196*Calculateur!FO196*VLOOKUP('Données projet'!$B$16,Paramètres!$A$1:$I$89,3,0)*0.475*44/12</f>
        <v>0.47178160654143136</v>
      </c>
      <c r="FS196" s="21">
        <f>EXP(-LN(2)/2)*FS195+(1-EXP(-LN(2)/2))/(LN(2)/2)*FM196*FP196*VLOOKUP('Données projet'!$B$16,Paramètres!$A$1:$I$89,3,0)*0.475*44/12</f>
        <v>2.1186773547441005E-25</v>
      </c>
      <c r="FT196" s="22">
        <f t="shared" si="184"/>
        <v>9.8332266292840238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669.99999999999989</v>
      </c>
      <c r="GA196" s="17">
        <f>FZ196*VLOOKUP('Données projet'!$B$17,Paramètres!$A$1:$I$89,3,0)*VLOOKUP('Données projet'!$B$17,Paramètres!$A$1:$I$89,5,0)</f>
        <v>322.26999999999992</v>
      </c>
      <c r="GB196" s="13">
        <f t="shared" si="185"/>
        <v>75.825476822885776</v>
      </c>
      <c r="GC196" s="20">
        <f t="shared" si="186"/>
        <v>693.34962213319261</v>
      </c>
      <c r="GD196" s="59">
        <f t="shared" ref="GD196:GD203" si="200">GC196+(FU196+FV196)*44/12</f>
        <v>986.68295546652598</v>
      </c>
      <c r="GE196" s="59">
        <f ca="1">AVERAGE(OFFSET($GD$3,0,0,'Données projet'!$E$17+1,1))-AVERAGE(OFFSET($H$3,0,0,'Données projet'!$E$17+1,1))</f>
        <v>312.64506496298173</v>
      </c>
      <c r="GF196" s="59">
        <f t="shared" si="158"/>
        <v>259.97532509897508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12.084744214915197</v>
      </c>
      <c r="GM196" s="21">
        <f>EXP(-LN(2)/25)*GM195+(1-EXP(-LN(2)/25))/(LN(2)/25)*Calculateur!GH196*Calculateur!GJ196*VLOOKUP('Données projet'!$B$17,Paramètres!$A$1:$I$89,3,0)*0.475*44/12</f>
        <v>0.2133021433466388</v>
      </c>
      <c r="GN196" s="21">
        <f>EXP(-LN(2)/2)*GN195+(1-EXP(-LN(2)/2))/(LN(2)/2)*GH196*GK196*VLOOKUP('Données projet'!$B$17,Paramètres!$A$1:$I$89,3,0)*0.475*44/12</f>
        <v>1.1262141280178673E-24</v>
      </c>
      <c r="GO196" s="21">
        <f t="shared" si="187"/>
        <v>12.298046358261836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267</v>
      </c>
      <c r="GV196" s="17">
        <f>GU196*VLOOKUP('Données projet'!$B$18,Paramètres!$A$1:$I$89,3,0)*VLOOKUP('Données projet'!$B$18,Paramètres!$A$1:$I$89,5,0)</f>
        <v>270.738</v>
      </c>
      <c r="GW196" s="13">
        <f t="shared" si="188"/>
        <v>65.005866623551711</v>
      </c>
      <c r="GX196" s="20">
        <f t="shared" si="189"/>
        <v>584.7539010360191</v>
      </c>
      <c r="GY196" s="59">
        <f t="shared" ref="GY196:GY203" si="201">GX196+(GP196+GQ196)*44/12</f>
        <v>878.08723436935247</v>
      </c>
      <c r="GZ196" s="59">
        <f ca="1">AVERAGE(OFFSET($GY$3,0,0,'Données projet'!$E$18+1,1))-AVERAGE(OFFSET($H$3,0,0,'Données projet'!$E$18+1,1))</f>
        <v>308.80022073574963</v>
      </c>
      <c r="HA196" s="59">
        <f t="shared" si="160"/>
        <v>183.96267407004115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18.07434148746108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18.07434148746108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344.49457749226184</v>
      </c>
      <c r="T197" s="59">
        <f t="shared" ref="T197:T203" si="204">$T$3</f>
        <v>207.92972431357452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208.99999999999989</v>
      </c>
      <c r="AJ197" s="13">
        <f>AI197*VLOOKUP('Données projet'!$B$10,Paramètres!$A$1:$I$89,3,0)*VLOOKUP('Données projet'!$B$10,Paramètres!$A$1:$I$89,5,0)</f>
        <v>189.1031999999999</v>
      </c>
      <c r="AK197" s="13">
        <f t="shared" si="164"/>
        <v>47.34162854278712</v>
      </c>
      <c r="AL197" s="20">
        <f t="shared" si="165"/>
        <v>411.80807637868742</v>
      </c>
      <c r="AM197" s="59">
        <f t="shared" si="193"/>
        <v>705.14140971202073</v>
      </c>
      <c r="AN197" s="59">
        <f ca="1">AVERAGE(OFFSET($AM$3,0,0,'Données projet'!$E$10+1,1))-AVERAGE(OFFSET($H$3,0,0,'Données projet'!$E$10+1,1))</f>
        <v>183.0147113277086</v>
      </c>
      <c r="AO197" s="59">
        <f t="shared" ref="AO197:AO203" si="205">$AO$3</f>
        <v>76.413905647258389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11.880990056392207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11.880990056392207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253.79640000000001</v>
      </c>
      <c r="BF197" s="13">
        <f t="shared" si="167"/>
        <v>61.39816832228076</v>
      </c>
      <c r="BG197" s="20">
        <f t="shared" si="168"/>
        <v>548.96387316130563</v>
      </c>
      <c r="BH197" s="59">
        <f t="shared" si="194"/>
        <v>842.29720649463889</v>
      </c>
      <c r="BI197" s="59">
        <f ca="1">AVERAGE(OFFSET($BH$3,0,0,'Données projet'!$E$11+1,1))-AVERAGE(OFFSET($H$3,0,0,'Données projet'!$E$11+1,1))</f>
        <v>279.49721661620544</v>
      </c>
      <c r="BJ197" s="59">
        <f t="shared" ref="BJ197:BJ203" si="206">$BJ$3</f>
        <v>275.18739333988754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5.5610213819952019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5.5610213819952019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754.68411025369562</v>
      </c>
      <c r="CD197" s="59">
        <f ca="1">AVERAGE(OFFSET($CC$3,0,0,'Données projet'!$E$12+1,1))-AVERAGE(OFFSET($H$3,0,0,'Données projet'!$E$12+1,1))</f>
        <v>225.2323446080772</v>
      </c>
      <c r="CE197" s="59">
        <f t="shared" ref="CE197:CE203" si="207">$CE$3</f>
        <v>222.29030402759292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4.5379498124249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4.5379498124249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213.00000000000003</v>
      </c>
      <c r="CU197" s="17">
        <f>CT197*VLOOKUP('Données projet'!$B$13,Paramètres!$A$1:$I$89,3,0)*VLOOKUP('Données projet'!$B$13,Paramètres!$A$1:$I$89,5,0)</f>
        <v>229.2732</v>
      </c>
      <c r="CV197" s="13">
        <f t="shared" si="173"/>
        <v>56.125501442527366</v>
      </c>
      <c r="CW197" s="20">
        <f t="shared" si="174"/>
        <v>497.06940501240177</v>
      </c>
      <c r="CX197" s="59">
        <f t="shared" si="196"/>
        <v>790.40273834573509</v>
      </c>
      <c r="CY197" s="59">
        <f ca="1">AVERAGE(OFFSET($CX$3,0,0,'Données projet'!$E$13+1,1))-AVERAGE(OFFSET($H$3,0,0,'Données projet'!$E$13+1,1))</f>
        <v>240.57184010337932</v>
      </c>
      <c r="CZ197" s="59">
        <f t="shared" ref="CZ197:CZ203" si="208">$CZ$3</f>
        <v>236.36473521227072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3.8483014622342138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3.8483014622342138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670.99999999999977</v>
      </c>
      <c r="DP197" s="17">
        <f>DO197*VLOOKUP('Données projet'!$B$14,Paramètres!$A$1:$I$89,3,0)*VLOOKUP('Données projet'!$B$14,Paramètres!$A$1:$I$89,5,0)</f>
        <v>314.02799999999991</v>
      </c>
      <c r="DQ197" s="13">
        <f t="shared" si="176"/>
        <v>74.109403804428752</v>
      </c>
      <c r="DR197" s="20">
        <f t="shared" si="177"/>
        <v>676.00597829271317</v>
      </c>
      <c r="DS197" s="59">
        <f t="shared" si="197"/>
        <v>969.33931162604654</v>
      </c>
      <c r="DT197" s="59">
        <f ca="1">AVERAGE(OFFSET($DS$3,0,0,'Données projet'!$E$14+1,1))-AVERAGE(OFFSET($H$3,0,0,'Données projet'!$E$14+1,1))</f>
        <v>304.29617570272939</v>
      </c>
      <c r="DU197" s="59">
        <f t="shared" ref="DU197:DU203" si="209">$DU$3</f>
        <v>246.20695736161576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10.382201748430917</v>
      </c>
      <c r="EB197" s="21">
        <f>EXP(-LN(2)/25)*EB196+(1-EXP(-LN(2)/25))/(LN(2)/25)*Calculateur!DW197*Calculateur!DY197*VLOOKUP('Données projet'!$B$14,Paramètres!$A$1:$I$89,3,0)*0.475*44/12</f>
        <v>0.43374077153921109</v>
      </c>
      <c r="EC197" s="21">
        <f>EXP(-LN(2)/2)*EC196+(1-EXP(-LN(2)/2))/(LN(2)/2)*DW197*DZ197*VLOOKUP('Données projet'!$B$14,Paramètres!$A$1:$I$89,3,0)*0.475*44/12</f>
        <v>8.1357210422174543E-25</v>
      </c>
      <c r="ED197" s="22">
        <f t="shared" si="178"/>
        <v>10.815942519970129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477.9999999999996</v>
      </c>
      <c r="EK197" s="17">
        <f>EJ197*VLOOKUP('Données projet'!$B$15,Paramètres!$A$1:$I$89,3,0)*VLOOKUP('Données projet'!$B$15,Paramètres!$A$1:$I$89,5,0)</f>
        <v>285.84399999999977</v>
      </c>
      <c r="EL197" s="13">
        <f t="shared" si="179"/>
        <v>68.200525419065656</v>
      </c>
      <c r="EM197" s="20">
        <f t="shared" si="180"/>
        <v>616.62754843820551</v>
      </c>
      <c r="EN197" s="59">
        <f t="shared" si="198"/>
        <v>909.96088177153888</v>
      </c>
      <c r="EO197" s="59">
        <f ca="1">AVERAGE(OFFSET($EN$3,0,0,'Données projet'!$E$15+1,1))-AVERAGE(OFFSET($H$3,0,0,'Données projet'!$E$15+1,1))</f>
        <v>288.41846134875794</v>
      </c>
      <c r="EP197" s="59">
        <f t="shared" ref="EP197:EP203" si="210">$EP$3</f>
        <v>248.93951719818972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7.5112689317003101</v>
      </c>
      <c r="EW197" s="21">
        <f>EXP(-LN(2)/25)*EW196+(1-EXP(-LN(2)/25))/(LN(2)/25)*Calculateur!ER197*Calculateur!ET197*VLOOKUP('Données projet'!$B$15,Paramètres!$A$1:$I$89,3,0)*0.475*44/12</f>
        <v>0.29606745268373735</v>
      </c>
      <c r="EX197" s="21">
        <f>EXP(-LN(2)/2)*EX196+(1-EXP(-LN(2)/2))/(LN(2)/2)*ER197*EU197*VLOOKUP('Données projet'!$B$15,Paramètres!$A$1:$I$89,3,0)*0.475*44/12</f>
        <v>1.0063636380430057E-25</v>
      </c>
      <c r="EY197" s="22">
        <f t="shared" si="181"/>
        <v>7.8073363843840475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789.00000000000045</v>
      </c>
      <c r="FF197" s="17">
        <f>FE197*VLOOKUP('Données projet'!$B$16,Paramètres!$A$1:$I$89,3,0)*VLOOKUP('Données projet'!$B$16,Paramètres!$A$1:$I$89,5,0)</f>
        <v>358.99500000000023</v>
      </c>
      <c r="FG197" s="13">
        <f t="shared" si="182"/>
        <v>83.411930940690553</v>
      </c>
      <c r="FH197" s="20">
        <f t="shared" si="183"/>
        <v>770.52540472170313</v>
      </c>
      <c r="FI197" s="59">
        <f t="shared" si="199"/>
        <v>1063.8587380550364</v>
      </c>
      <c r="FJ197" s="59">
        <f ca="1">AVERAGE(OFFSET($FI$3,0,0,'Données projet'!$E$16+1,1))-AVERAGE(OFFSET($H$3,0,0,'Données projet'!$E$16+1,1))</f>
        <v>367.36535411813264</v>
      </c>
      <c r="FK197" s="59">
        <f t="shared" ref="FK197:FK203" si="211">$FK$3</f>
        <v>293.19545174980556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9.1778727957642658</v>
      </c>
      <c r="FR197" s="21">
        <f>EXP(-LN(2)/25)*FR196+(1-EXP(-LN(2)/25))/(LN(2)/25)*Calculateur!FM197*Calculateur!FO197*VLOOKUP('Données projet'!$B$16,Paramètres!$A$1:$I$89,3,0)*0.475*44/12</f>
        <v>0.45888071370063949</v>
      </c>
      <c r="FS197" s="21">
        <f>EXP(-LN(2)/2)*FS196+(1-EXP(-LN(2)/2))/(LN(2)/2)*FM197*FP197*VLOOKUP('Données projet'!$B$16,Paramètres!$A$1:$I$89,3,0)*0.475*44/12</f>
        <v>1.49813112468593E-25</v>
      </c>
      <c r="FT197" s="22">
        <f t="shared" si="184"/>
        <v>9.6367535094649046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669.99999999999989</v>
      </c>
      <c r="GA197" s="17">
        <f>FZ197*VLOOKUP('Données projet'!$B$17,Paramètres!$A$1:$I$89,3,0)*VLOOKUP('Données projet'!$B$17,Paramètres!$A$1:$I$89,5,0)</f>
        <v>322.26999999999992</v>
      </c>
      <c r="GB197" s="13">
        <f t="shared" si="185"/>
        <v>75.825476822885776</v>
      </c>
      <c r="GC197" s="20">
        <f t="shared" si="186"/>
        <v>693.34962213319261</v>
      </c>
      <c r="GD197" s="59">
        <f t="shared" si="200"/>
        <v>986.68295546652598</v>
      </c>
      <c r="GE197" s="59">
        <f ca="1">AVERAGE(OFFSET($GD$3,0,0,'Données projet'!$E$17+1,1))-AVERAGE(OFFSET($H$3,0,0,'Données projet'!$E$17+1,1))</f>
        <v>312.64506496298173</v>
      </c>
      <c r="GF197" s="59">
        <f t="shared" ref="GF197:GF203" si="212">$GF$3</f>
        <v>259.97532509897508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11.847769751826858</v>
      </c>
      <c r="GM197" s="21">
        <f>EXP(-LN(2)/25)*GM196+(1-EXP(-LN(2)/25))/(LN(2)/25)*Calculateur!GH197*Calculateur!GJ197*VLOOKUP('Données projet'!$B$17,Paramètres!$A$1:$I$89,3,0)*0.475*44/12</f>
        <v>0.20746938501975276</v>
      </c>
      <c r="GN197" s="21">
        <f>EXP(-LN(2)/2)*GN196+(1-EXP(-LN(2)/2))/(LN(2)/2)*GH197*GK197*VLOOKUP('Données projet'!$B$17,Paramètres!$A$1:$I$89,3,0)*0.475*44/12</f>
        <v>7.9635364698952853E-25</v>
      </c>
      <c r="GO197" s="21">
        <f t="shared" si="187"/>
        <v>12.055239136846611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267</v>
      </c>
      <c r="GV197" s="17">
        <f>GU197*VLOOKUP('Données projet'!$B$18,Paramètres!$A$1:$I$89,3,0)*VLOOKUP('Données projet'!$B$18,Paramètres!$A$1:$I$89,5,0)</f>
        <v>270.738</v>
      </c>
      <c r="GW197" s="13">
        <f t="shared" si="188"/>
        <v>65.005866623551711</v>
      </c>
      <c r="GX197" s="20">
        <f t="shared" si="189"/>
        <v>584.7539010360191</v>
      </c>
      <c r="GY197" s="59">
        <f t="shared" si="201"/>
        <v>878.08723436935247</v>
      </c>
      <c r="GZ197" s="59">
        <f ca="1">AVERAGE(OFFSET($GY$3,0,0,'Données projet'!$E$18+1,1))-AVERAGE(OFFSET($H$3,0,0,'Données projet'!$E$18+1,1))</f>
        <v>308.80022073574963</v>
      </c>
      <c r="HA197" s="59">
        <f t="shared" ref="HA197:HA203" si="213">$HA$3</f>
        <v>183.96267407004115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17.71991467515172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17.71991467515172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344.49457749226184</v>
      </c>
      <c r="T198" s="59">
        <f t="shared" si="204"/>
        <v>207.92972431357452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208.99999999999989</v>
      </c>
      <c r="AJ198" s="13">
        <f>AI198*VLOOKUP('Données projet'!$B$10,Paramètres!$A$1:$I$89,3,0)*VLOOKUP('Données projet'!$B$10,Paramètres!$A$1:$I$89,5,0)</f>
        <v>189.1031999999999</v>
      </c>
      <c r="AK198" s="13">
        <f t="shared" si="164"/>
        <v>47.34162854278712</v>
      </c>
      <c r="AL198" s="20">
        <f t="shared" si="165"/>
        <v>411.80807637868742</v>
      </c>
      <c r="AM198" s="59">
        <f t="shared" si="193"/>
        <v>705.14140971202073</v>
      </c>
      <c r="AN198" s="59">
        <f ca="1">AVERAGE(OFFSET($AM$3,0,0,'Données projet'!$E$10+1,1))-AVERAGE(OFFSET($H$3,0,0,'Données projet'!$E$10+1,1))</f>
        <v>183.0147113277086</v>
      </c>
      <c r="AO198" s="59">
        <f t="shared" si="205"/>
        <v>76.413905647258389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11.648011088074739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11.648011088074739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253.79640000000001</v>
      </c>
      <c r="BF198" s="13">
        <f t="shared" si="167"/>
        <v>61.39816832228076</v>
      </c>
      <c r="BG198" s="20">
        <f t="shared" si="168"/>
        <v>548.96387316130563</v>
      </c>
      <c r="BH198" s="59">
        <f t="shared" si="194"/>
        <v>842.29720649463889</v>
      </c>
      <c r="BI198" s="59">
        <f ca="1">AVERAGE(OFFSET($BH$3,0,0,'Données projet'!$E$11+1,1))-AVERAGE(OFFSET($H$3,0,0,'Données projet'!$E$11+1,1))</f>
        <v>279.49721661620544</v>
      </c>
      <c r="BJ198" s="59">
        <f t="shared" si="206"/>
        <v>275.18739333988754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5.4519731445823982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5.4519731445823982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754.68411025369562</v>
      </c>
      <c r="CD198" s="59">
        <f ca="1">AVERAGE(OFFSET($CC$3,0,0,'Données projet'!$E$12+1,1))-AVERAGE(OFFSET($H$3,0,0,'Données projet'!$E$12+1,1))</f>
        <v>225.2323446080772</v>
      </c>
      <c r="CE198" s="59">
        <f t="shared" si="207"/>
        <v>222.29030402759292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4.4489633844793284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4.4489633844793284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213.00000000000003</v>
      </c>
      <c r="CU198" s="17">
        <f>CT198*VLOOKUP('Données projet'!$B$13,Paramètres!$A$1:$I$89,3,0)*VLOOKUP('Données projet'!$B$13,Paramètres!$A$1:$I$89,5,0)</f>
        <v>229.2732</v>
      </c>
      <c r="CV198" s="13">
        <f t="shared" si="173"/>
        <v>56.125501442527366</v>
      </c>
      <c r="CW198" s="20">
        <f t="shared" si="174"/>
        <v>497.06940501240177</v>
      </c>
      <c r="CX198" s="59">
        <f t="shared" si="196"/>
        <v>790.40273834573509</v>
      </c>
      <c r="CY198" s="59">
        <f ca="1">AVERAGE(OFFSET($CX$3,0,0,'Données projet'!$E$13+1,1))-AVERAGE(OFFSET($H$3,0,0,'Données projet'!$E$13+1,1))</f>
        <v>240.57184010337932</v>
      </c>
      <c r="CZ198" s="59">
        <f t="shared" si="208"/>
        <v>236.36473521227072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3.7728386177919231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3.7728386177919231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670.99999999999977</v>
      </c>
      <c r="DP198" s="17">
        <f>DO198*VLOOKUP('Données projet'!$B$14,Paramètres!$A$1:$I$89,3,0)*VLOOKUP('Données projet'!$B$14,Paramètres!$A$1:$I$89,5,0)</f>
        <v>314.02799999999991</v>
      </c>
      <c r="DQ198" s="13">
        <f t="shared" si="176"/>
        <v>74.109403804428752</v>
      </c>
      <c r="DR198" s="20">
        <f t="shared" si="177"/>
        <v>676.00597829271317</v>
      </c>
      <c r="DS198" s="59">
        <f t="shared" si="197"/>
        <v>969.33931162604654</v>
      </c>
      <c r="DT198" s="59">
        <f ca="1">AVERAGE(OFFSET($DS$3,0,0,'Données projet'!$E$14+1,1))-AVERAGE(OFFSET($H$3,0,0,'Données projet'!$E$14+1,1))</f>
        <v>304.29617570272939</v>
      </c>
      <c r="DU198" s="59">
        <f t="shared" si="209"/>
        <v>246.20695736161576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10.17861310466197</v>
      </c>
      <c r="EB198" s="21">
        <f>EXP(-LN(2)/25)*EB197+(1-EXP(-LN(2)/25))/(LN(2)/25)*Calculateur!DW198*Calculateur!DY198*VLOOKUP('Données projet'!$B$14,Paramètres!$A$1:$I$89,3,0)*0.475*44/12</f>
        <v>0.42188010733203551</v>
      </c>
      <c r="EC198" s="21">
        <f>EXP(-LN(2)/2)*EC197+(1-EXP(-LN(2)/2))/(LN(2)/2)*DW198*DZ198*VLOOKUP('Données projet'!$B$14,Paramètres!$A$1:$I$89,3,0)*0.475*44/12</f>
        <v>5.7528235187940482E-25</v>
      </c>
      <c r="ED198" s="22">
        <f t="shared" si="178"/>
        <v>10.600493211994007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477.9999999999996</v>
      </c>
      <c r="EK198" s="17">
        <f>EJ198*VLOOKUP('Données projet'!$B$15,Paramètres!$A$1:$I$89,3,0)*VLOOKUP('Données projet'!$B$15,Paramètres!$A$1:$I$89,5,0)</f>
        <v>285.84399999999977</v>
      </c>
      <c r="EL198" s="13">
        <f t="shared" si="179"/>
        <v>68.200525419065656</v>
      </c>
      <c r="EM198" s="20">
        <f t="shared" si="180"/>
        <v>616.62754843820551</v>
      </c>
      <c r="EN198" s="59">
        <f t="shared" si="198"/>
        <v>909.96088177153888</v>
      </c>
      <c r="EO198" s="59">
        <f ca="1">AVERAGE(OFFSET($EN$3,0,0,'Données projet'!$E$15+1,1))-AVERAGE(OFFSET($H$3,0,0,'Données projet'!$E$15+1,1))</f>
        <v>288.41846134875794</v>
      </c>
      <c r="EP198" s="59">
        <f t="shared" si="210"/>
        <v>248.93951719818972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7.3639775293713372</v>
      </c>
      <c r="EW198" s="21">
        <f>EXP(-LN(2)/25)*EW197+(1-EXP(-LN(2)/25))/(LN(2)/25)*Calculateur!ER198*Calculateur!ET198*VLOOKUP('Données projet'!$B$15,Paramètres!$A$1:$I$89,3,0)*0.475*44/12</f>
        <v>0.28797147262058986</v>
      </c>
      <c r="EX198" s="21">
        <f>EXP(-LN(2)/2)*EX197+(1-EXP(-LN(2)/2))/(LN(2)/2)*ER198*EU198*VLOOKUP('Données projet'!$B$15,Paramètres!$A$1:$I$89,3,0)*0.475*44/12</f>
        <v>7.1160655279977357E-26</v>
      </c>
      <c r="EY198" s="22">
        <f t="shared" si="181"/>
        <v>7.6519490019919267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789.00000000000045</v>
      </c>
      <c r="FF198" s="17">
        <f>FE198*VLOOKUP('Données projet'!$B$16,Paramètres!$A$1:$I$89,3,0)*VLOOKUP('Données projet'!$B$16,Paramètres!$A$1:$I$89,5,0)</f>
        <v>358.99500000000023</v>
      </c>
      <c r="FG198" s="13">
        <f t="shared" si="182"/>
        <v>83.411930940690553</v>
      </c>
      <c r="FH198" s="20">
        <f t="shared" si="183"/>
        <v>770.52540472170313</v>
      </c>
      <c r="FI198" s="59">
        <f t="shared" si="199"/>
        <v>1063.8587380550364</v>
      </c>
      <c r="FJ198" s="59">
        <f ca="1">AVERAGE(OFFSET($FI$3,0,0,'Données projet'!$E$16+1,1))-AVERAGE(OFFSET($H$3,0,0,'Données projet'!$E$16+1,1))</f>
        <v>367.36535411813264</v>
      </c>
      <c r="FK198" s="59">
        <f t="shared" si="211"/>
        <v>293.19545174980556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8.9979003081889832</v>
      </c>
      <c r="FR198" s="21">
        <f>EXP(-LN(2)/25)*FR197+(1-EXP(-LN(2)/25))/(LN(2)/25)*Calculateur!FM198*Calculateur!FO198*VLOOKUP('Données projet'!$B$16,Paramètres!$A$1:$I$89,3,0)*0.475*44/12</f>
        <v>0.44633259645300755</v>
      </c>
      <c r="FS198" s="21">
        <f>EXP(-LN(2)/2)*FS197+(1-EXP(-LN(2)/2))/(LN(2)/2)*FM198*FP198*VLOOKUP('Données projet'!$B$16,Paramètres!$A$1:$I$89,3,0)*0.475*44/12</f>
        <v>1.0593386773720503E-25</v>
      </c>
      <c r="FT198" s="22">
        <f t="shared" si="184"/>
        <v>9.4442329046419911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669.99999999999989</v>
      </c>
      <c r="GA198" s="17">
        <f>FZ198*VLOOKUP('Données projet'!$B$17,Paramètres!$A$1:$I$89,3,0)*VLOOKUP('Données projet'!$B$17,Paramètres!$A$1:$I$89,5,0)</f>
        <v>322.26999999999992</v>
      </c>
      <c r="GB198" s="13">
        <f t="shared" si="185"/>
        <v>75.825476822885776</v>
      </c>
      <c r="GC198" s="20">
        <f t="shared" si="186"/>
        <v>693.34962213319261</v>
      </c>
      <c r="GD198" s="59">
        <f t="shared" si="200"/>
        <v>986.68295546652598</v>
      </c>
      <c r="GE198" s="59">
        <f ca="1">AVERAGE(OFFSET($GD$3,0,0,'Données projet'!$E$17+1,1))-AVERAGE(OFFSET($H$3,0,0,'Données projet'!$E$17+1,1))</f>
        <v>312.64506496298173</v>
      </c>
      <c r="GF198" s="59">
        <f t="shared" si="212"/>
        <v>259.97532509897508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11.615442213419533</v>
      </c>
      <c r="GM198" s="21">
        <f>EXP(-LN(2)/25)*GM197+(1-EXP(-LN(2)/25))/(LN(2)/25)*Calculateur!GH198*Calculateur!GJ198*VLOOKUP('Données projet'!$B$17,Paramètres!$A$1:$I$89,3,0)*0.475*44/12</f>
        <v>0.20179612377604683</v>
      </c>
      <c r="GN198" s="21">
        <f>EXP(-LN(2)/2)*GN197+(1-EXP(-LN(2)/2))/(LN(2)/2)*GH198*GK198*VLOOKUP('Données projet'!$B$17,Paramètres!$A$1:$I$89,3,0)*0.475*44/12</f>
        <v>5.6310706400893366E-25</v>
      </c>
      <c r="GO198" s="21">
        <f t="shared" si="187"/>
        <v>11.81723833719558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267</v>
      </c>
      <c r="GV198" s="17">
        <f>GU198*VLOOKUP('Données projet'!$B$18,Paramètres!$A$1:$I$89,3,0)*VLOOKUP('Données projet'!$B$18,Paramètres!$A$1:$I$89,5,0)</f>
        <v>270.738</v>
      </c>
      <c r="GW198" s="13">
        <f t="shared" si="188"/>
        <v>65.005866623551711</v>
      </c>
      <c r="GX198" s="20">
        <f t="shared" si="189"/>
        <v>584.7539010360191</v>
      </c>
      <c r="GY198" s="59">
        <f t="shared" si="201"/>
        <v>878.08723436935247</v>
      </c>
      <c r="GZ198" s="59">
        <f ca="1">AVERAGE(OFFSET($GY$3,0,0,'Données projet'!$E$18+1,1))-AVERAGE(OFFSET($H$3,0,0,'Données projet'!$E$18+1,1))</f>
        <v>308.80022073574963</v>
      </c>
      <c r="HA198" s="59">
        <f t="shared" si="213"/>
        <v>183.96267407004115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17.372437956452739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17.372437956452739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344.49457749226184</v>
      </c>
      <c r="T199" s="59">
        <f t="shared" si="204"/>
        <v>207.92972431357452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208.99999999999989</v>
      </c>
      <c r="AJ199" s="13">
        <f>AI199*VLOOKUP('Données projet'!$B$10,Paramètres!$A$1:$I$89,3,0)*VLOOKUP('Données projet'!$B$10,Paramètres!$A$1:$I$89,5,0)</f>
        <v>189.1031999999999</v>
      </c>
      <c r="AK199" s="13">
        <f t="shared" si="164"/>
        <v>47.34162854278712</v>
      </c>
      <c r="AL199" s="20">
        <f t="shared" si="165"/>
        <v>411.80807637868742</v>
      </c>
      <c r="AM199" s="59">
        <f t="shared" si="193"/>
        <v>705.14140971202073</v>
      </c>
      <c r="AN199" s="59">
        <f ca="1">AVERAGE(OFFSET($AM$3,0,0,'Données projet'!$E$10+1,1))-AVERAGE(OFFSET($H$3,0,0,'Données projet'!$E$10+1,1))</f>
        <v>183.0147113277086</v>
      </c>
      <c r="AO199" s="59">
        <f t="shared" si="205"/>
        <v>76.413905647258389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11.419600695222838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11.419600695222838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253.79640000000001</v>
      </c>
      <c r="BF199" s="13">
        <f t="shared" si="167"/>
        <v>61.39816832228076</v>
      </c>
      <c r="BG199" s="20">
        <f t="shared" si="168"/>
        <v>548.96387316130563</v>
      </c>
      <c r="BH199" s="59">
        <f t="shared" si="194"/>
        <v>842.29720649463889</v>
      </c>
      <c r="BI199" s="59">
        <f ca="1">AVERAGE(OFFSET($BH$3,0,0,'Données projet'!$E$11+1,1))-AVERAGE(OFFSET($H$3,0,0,'Données projet'!$E$11+1,1))</f>
        <v>279.49721661620544</v>
      </c>
      <c r="BJ199" s="59">
        <f t="shared" si="206"/>
        <v>275.18739333988754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5.345063276592402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5.345063276592402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754.68411025369562</v>
      </c>
      <c r="CD199" s="59">
        <f ca="1">AVERAGE(OFFSET($CC$3,0,0,'Données projet'!$E$12+1,1))-AVERAGE(OFFSET($H$3,0,0,'Données projet'!$E$12+1,1))</f>
        <v>225.2323446080772</v>
      </c>
      <c r="CE199" s="59">
        <f t="shared" si="207"/>
        <v>222.29030402759292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4.3617219261094071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4.3617219261094071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213.00000000000003</v>
      </c>
      <c r="CU199" s="17">
        <f>CT199*VLOOKUP('Données projet'!$B$13,Paramètres!$A$1:$I$89,3,0)*VLOOKUP('Données projet'!$B$13,Paramètres!$A$1:$I$89,5,0)</f>
        <v>229.2732</v>
      </c>
      <c r="CV199" s="13">
        <f t="shared" si="173"/>
        <v>56.125501442527366</v>
      </c>
      <c r="CW199" s="20">
        <f t="shared" si="174"/>
        <v>497.06940501240177</v>
      </c>
      <c r="CX199" s="59">
        <f t="shared" si="196"/>
        <v>790.40273834573509</v>
      </c>
      <c r="CY199" s="59">
        <f ca="1">AVERAGE(OFFSET($CX$3,0,0,'Données projet'!$E$13+1,1))-AVERAGE(OFFSET($H$3,0,0,'Données projet'!$E$13+1,1))</f>
        <v>240.57184010337932</v>
      </c>
      <c r="CZ199" s="59">
        <f t="shared" si="208"/>
        <v>236.36473521227072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3.6988555537013554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3.6988555537013554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670.99999999999977</v>
      </c>
      <c r="DP199" s="17">
        <f>DO199*VLOOKUP('Données projet'!$B$14,Paramètres!$A$1:$I$89,3,0)*VLOOKUP('Données projet'!$B$14,Paramètres!$A$1:$I$89,5,0)</f>
        <v>314.02799999999991</v>
      </c>
      <c r="DQ199" s="13">
        <f t="shared" si="176"/>
        <v>74.109403804428752</v>
      </c>
      <c r="DR199" s="20">
        <f t="shared" si="177"/>
        <v>676.00597829271317</v>
      </c>
      <c r="DS199" s="59">
        <f t="shared" si="197"/>
        <v>969.33931162604654</v>
      </c>
      <c r="DT199" s="59">
        <f ca="1">AVERAGE(OFFSET($DS$3,0,0,'Données projet'!$E$14+1,1))-AVERAGE(OFFSET($H$3,0,0,'Données projet'!$E$14+1,1))</f>
        <v>304.29617570272939</v>
      </c>
      <c r="DU199" s="59">
        <f t="shared" si="209"/>
        <v>246.20695736161576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9.9790167100205203</v>
      </c>
      <c r="EB199" s="21">
        <f>EXP(-LN(2)/25)*EB198+(1-EXP(-LN(2)/25))/(LN(2)/25)*Calculateur!DW199*Calculateur!DY199*VLOOKUP('Données projet'!$B$14,Paramètres!$A$1:$I$89,3,0)*0.475*44/12</f>
        <v>0.4103437736113304</v>
      </c>
      <c r="EC199" s="21">
        <f>EXP(-LN(2)/2)*EC198+(1-EXP(-LN(2)/2))/(LN(2)/2)*DW199*DZ199*VLOOKUP('Données projet'!$B$14,Paramètres!$A$1:$I$89,3,0)*0.475*44/12</f>
        <v>4.0678605211087276E-25</v>
      </c>
      <c r="ED199" s="22">
        <f t="shared" si="178"/>
        <v>10.389360483631851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477.9999999999996</v>
      </c>
      <c r="EK199" s="17">
        <f>EJ199*VLOOKUP('Données projet'!$B$15,Paramètres!$A$1:$I$89,3,0)*VLOOKUP('Données projet'!$B$15,Paramètres!$A$1:$I$89,5,0)</f>
        <v>285.84399999999977</v>
      </c>
      <c r="EL199" s="13">
        <f t="shared" si="179"/>
        <v>68.200525419065656</v>
      </c>
      <c r="EM199" s="20">
        <f t="shared" si="180"/>
        <v>616.62754843820551</v>
      </c>
      <c r="EN199" s="59">
        <f t="shared" si="198"/>
        <v>909.96088177153888</v>
      </c>
      <c r="EO199" s="59">
        <f ca="1">AVERAGE(OFFSET($EN$3,0,0,'Données projet'!$E$15+1,1))-AVERAGE(OFFSET($H$3,0,0,'Données projet'!$E$15+1,1))</f>
        <v>288.41846134875794</v>
      </c>
      <c r="EP199" s="59">
        <f t="shared" si="210"/>
        <v>248.93951719818972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7.2195744216031512</v>
      </c>
      <c r="EW199" s="21">
        <f>EXP(-LN(2)/25)*EW198+(1-EXP(-LN(2)/25))/(LN(2)/25)*Calculateur!ER199*Calculateur!ET199*VLOOKUP('Données projet'!$B$15,Paramètres!$A$1:$I$89,3,0)*0.475*44/12</f>
        <v>0.28009687755801826</v>
      </c>
      <c r="EX199" s="21">
        <f>EXP(-LN(2)/2)*EX198+(1-EXP(-LN(2)/2))/(LN(2)/2)*ER199*EU199*VLOOKUP('Données projet'!$B$15,Paramètres!$A$1:$I$89,3,0)*0.475*44/12</f>
        <v>5.0318181902150287E-26</v>
      </c>
      <c r="EY199" s="22">
        <f t="shared" si="181"/>
        <v>7.4996712991611698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789.00000000000045</v>
      </c>
      <c r="FF199" s="17">
        <f>FE199*VLOOKUP('Données projet'!$B$16,Paramètres!$A$1:$I$89,3,0)*VLOOKUP('Données projet'!$B$16,Paramètres!$A$1:$I$89,5,0)</f>
        <v>358.99500000000023</v>
      </c>
      <c r="FG199" s="13">
        <f t="shared" si="182"/>
        <v>83.411930940690553</v>
      </c>
      <c r="FH199" s="20">
        <f t="shared" si="183"/>
        <v>770.52540472170313</v>
      </c>
      <c r="FI199" s="59">
        <f t="shared" si="199"/>
        <v>1063.8587380550364</v>
      </c>
      <c r="FJ199" s="59">
        <f ca="1">AVERAGE(OFFSET($FI$3,0,0,'Données projet'!$E$16+1,1))-AVERAGE(OFFSET($H$3,0,0,'Données projet'!$E$16+1,1))</f>
        <v>367.36535411813264</v>
      </c>
      <c r="FK199" s="59">
        <f t="shared" si="211"/>
        <v>293.19545174980556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8.8214569713226734</v>
      </c>
      <c r="FR199" s="21">
        <f>EXP(-LN(2)/25)*FR198+(1-EXP(-LN(2)/25))/(LN(2)/25)*Calculateur!FM199*Calculateur!FO199*VLOOKUP('Données projet'!$B$16,Paramètres!$A$1:$I$89,3,0)*0.475*44/12</f>
        <v>0.4341276081313889</v>
      </c>
      <c r="FS199" s="21">
        <f>EXP(-LN(2)/2)*FS198+(1-EXP(-LN(2)/2))/(LN(2)/2)*FM199*FP199*VLOOKUP('Données projet'!$B$16,Paramètres!$A$1:$I$89,3,0)*0.475*44/12</f>
        <v>7.4906556234296502E-26</v>
      </c>
      <c r="FT199" s="22">
        <f t="shared" si="184"/>
        <v>9.2555845794540623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669.99999999999989</v>
      </c>
      <c r="GA199" s="17">
        <f>FZ199*VLOOKUP('Données projet'!$B$17,Paramètres!$A$1:$I$89,3,0)*VLOOKUP('Données projet'!$B$17,Paramètres!$A$1:$I$89,5,0)</f>
        <v>322.26999999999992</v>
      </c>
      <c r="GB199" s="13">
        <f t="shared" si="185"/>
        <v>75.825476822885776</v>
      </c>
      <c r="GC199" s="20">
        <f t="shared" si="186"/>
        <v>693.34962213319261</v>
      </c>
      <c r="GD199" s="59">
        <f t="shared" si="200"/>
        <v>986.68295546652598</v>
      </c>
      <c r="GE199" s="59">
        <f ca="1">AVERAGE(OFFSET($GD$3,0,0,'Données projet'!$E$17+1,1))-AVERAGE(OFFSET($H$3,0,0,'Données projet'!$E$17+1,1))</f>
        <v>312.64506496298173</v>
      </c>
      <c r="GF199" s="59">
        <f t="shared" si="212"/>
        <v>259.97532509897508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11.387670476334568</v>
      </c>
      <c r="GM199" s="21">
        <f>EXP(-LN(2)/25)*GM198+(1-EXP(-LN(2)/25))/(LN(2)/25)*Calculateur!GH199*Calculateur!GJ199*VLOOKUP('Données projet'!$B$17,Paramètres!$A$1:$I$89,3,0)*0.475*44/12</f>
        <v>0.1962779981593939</v>
      </c>
      <c r="GN199" s="21">
        <f>EXP(-LN(2)/2)*GN198+(1-EXP(-LN(2)/2))/(LN(2)/2)*GH199*GK199*VLOOKUP('Données projet'!$B$17,Paramètres!$A$1:$I$89,3,0)*0.475*44/12</f>
        <v>3.9817682349476427E-25</v>
      </c>
      <c r="GO199" s="21">
        <f t="shared" si="187"/>
        <v>11.583948474493962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267</v>
      </c>
      <c r="GV199" s="17">
        <f>GU199*VLOOKUP('Données projet'!$B$18,Paramètres!$A$1:$I$89,3,0)*VLOOKUP('Données projet'!$B$18,Paramètres!$A$1:$I$89,5,0)</f>
        <v>270.738</v>
      </c>
      <c r="GW199" s="13">
        <f t="shared" si="188"/>
        <v>65.005866623551711</v>
      </c>
      <c r="GX199" s="20">
        <f t="shared" si="189"/>
        <v>584.7539010360191</v>
      </c>
      <c r="GY199" s="59">
        <f t="shared" si="201"/>
        <v>878.08723436935247</v>
      </c>
      <c r="GZ199" s="59">
        <f ca="1">AVERAGE(OFFSET($GY$3,0,0,'Données projet'!$E$18+1,1))-AVERAGE(OFFSET($H$3,0,0,'Données projet'!$E$18+1,1))</f>
        <v>308.80022073574963</v>
      </c>
      <c r="HA199" s="59">
        <f t="shared" si="213"/>
        <v>183.96267407004115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17.031775044267572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17.031775044267572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344.49457749226184</v>
      </c>
      <c r="T200" s="59">
        <f t="shared" si="204"/>
        <v>207.92972431357452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208.99999999999989</v>
      </c>
      <c r="AJ200" s="13">
        <f>AI200*VLOOKUP('Données projet'!$B$10,Paramètres!$A$1:$I$89,3,0)*VLOOKUP('Données projet'!$B$10,Paramètres!$A$1:$I$89,5,0)</f>
        <v>189.1031999999999</v>
      </c>
      <c r="AK200" s="13">
        <f t="shared" si="164"/>
        <v>47.34162854278712</v>
      </c>
      <c r="AL200" s="20">
        <f t="shared" si="165"/>
        <v>411.80807637868742</v>
      </c>
      <c r="AM200" s="59">
        <f t="shared" si="193"/>
        <v>705.14140971202073</v>
      </c>
      <c r="AN200" s="59">
        <f ca="1">AVERAGE(OFFSET($AM$3,0,0,'Données projet'!$E$10+1,1))-AVERAGE(OFFSET($H$3,0,0,'Données projet'!$E$10+1,1))</f>
        <v>183.0147113277086</v>
      </c>
      <c r="AO200" s="59">
        <f t="shared" si="205"/>
        <v>76.413905647258389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11.195669290858179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11.195669290858179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253.79640000000001</v>
      </c>
      <c r="BF200" s="13">
        <f t="shared" si="167"/>
        <v>61.39816832228076</v>
      </c>
      <c r="BG200" s="20">
        <f t="shared" si="168"/>
        <v>548.96387316130563</v>
      </c>
      <c r="BH200" s="59">
        <f t="shared" si="194"/>
        <v>842.29720649463889</v>
      </c>
      <c r="BI200" s="59">
        <f ca="1">AVERAGE(OFFSET($BH$3,0,0,'Données projet'!$E$11+1,1))-AVERAGE(OFFSET($H$3,0,0,'Données projet'!$E$11+1,1))</f>
        <v>279.49721661620544</v>
      </c>
      <c r="BJ200" s="59">
        <f t="shared" si="206"/>
        <v>275.18739333988754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5.240249845905109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5.240249845905109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754.68411025369562</v>
      </c>
      <c r="CD200" s="59">
        <f ca="1">AVERAGE(OFFSET($CC$3,0,0,'Données projet'!$E$12+1,1))-AVERAGE(OFFSET($H$3,0,0,'Données projet'!$E$12+1,1))</f>
        <v>225.2323446080772</v>
      </c>
      <c r="CE200" s="59">
        <f t="shared" si="207"/>
        <v>222.29030402759292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4.2761912195260852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4.2761912195260852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213.00000000000003</v>
      </c>
      <c r="CU200" s="17">
        <f>CT200*VLOOKUP('Données projet'!$B$13,Paramètres!$A$1:$I$89,3,0)*VLOOKUP('Données projet'!$B$13,Paramètres!$A$1:$I$89,5,0)</f>
        <v>229.2732</v>
      </c>
      <c r="CV200" s="13">
        <f t="shared" si="173"/>
        <v>56.125501442527366</v>
      </c>
      <c r="CW200" s="20">
        <f t="shared" si="174"/>
        <v>497.06940501240177</v>
      </c>
      <c r="CX200" s="59">
        <f t="shared" si="196"/>
        <v>790.40273834573509</v>
      </c>
      <c r="CY200" s="59">
        <f ca="1">AVERAGE(OFFSET($CX$3,0,0,'Données projet'!$E$13+1,1))-AVERAGE(OFFSET($H$3,0,0,'Données projet'!$E$13+1,1))</f>
        <v>240.57184010337932</v>
      </c>
      <c r="CZ200" s="59">
        <f t="shared" si="208"/>
        <v>236.36473521227072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3.6263232523723903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3.6263232523723903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670.99999999999977</v>
      </c>
      <c r="DP200" s="17">
        <f>DO200*VLOOKUP('Données projet'!$B$14,Paramètres!$A$1:$I$89,3,0)*VLOOKUP('Données projet'!$B$14,Paramètres!$A$1:$I$89,5,0)</f>
        <v>314.02799999999991</v>
      </c>
      <c r="DQ200" s="13">
        <f t="shared" si="176"/>
        <v>74.109403804428752</v>
      </c>
      <c r="DR200" s="20">
        <f t="shared" si="177"/>
        <v>676.00597829271317</v>
      </c>
      <c r="DS200" s="59">
        <f t="shared" si="197"/>
        <v>969.33931162604654</v>
      </c>
      <c r="DT200" s="59">
        <f ca="1">AVERAGE(OFFSET($DS$3,0,0,'Données projet'!$E$14+1,1))-AVERAGE(OFFSET($H$3,0,0,'Données projet'!$E$14+1,1))</f>
        <v>304.29617570272939</v>
      </c>
      <c r="DU200" s="59">
        <f t="shared" si="209"/>
        <v>246.20695736161576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9.7833342789362092</v>
      </c>
      <c r="EB200" s="21">
        <f>EXP(-LN(2)/25)*EB199+(1-EXP(-LN(2)/25))/(LN(2)/25)*Calculateur!DW200*Calculateur!DY200*VLOOKUP('Données projet'!$B$14,Paramètres!$A$1:$I$89,3,0)*0.475*44/12</f>
        <v>0.39912290154288738</v>
      </c>
      <c r="EC200" s="21">
        <f>EXP(-LN(2)/2)*EC199+(1-EXP(-LN(2)/2))/(LN(2)/2)*DW200*DZ200*VLOOKUP('Données projet'!$B$14,Paramètres!$A$1:$I$89,3,0)*0.475*44/12</f>
        <v>2.8764117593970245E-25</v>
      </c>
      <c r="ED200" s="22">
        <f t="shared" si="178"/>
        <v>10.182457180479096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477.9999999999996</v>
      </c>
      <c r="EK200" s="17">
        <f>EJ200*VLOOKUP('Données projet'!$B$15,Paramètres!$A$1:$I$89,3,0)*VLOOKUP('Données projet'!$B$15,Paramètres!$A$1:$I$89,5,0)</f>
        <v>285.84399999999977</v>
      </c>
      <c r="EL200" s="13">
        <f t="shared" si="179"/>
        <v>68.200525419065656</v>
      </c>
      <c r="EM200" s="20">
        <f t="shared" si="180"/>
        <v>616.62754843820551</v>
      </c>
      <c r="EN200" s="59">
        <f t="shared" si="198"/>
        <v>909.96088177153888</v>
      </c>
      <c r="EO200" s="59">
        <f ca="1">AVERAGE(OFFSET($EN$3,0,0,'Données projet'!$E$15+1,1))-AVERAGE(OFFSET($H$3,0,0,'Données projet'!$E$15+1,1))</f>
        <v>288.41846134875794</v>
      </c>
      <c r="EP200" s="59">
        <f t="shared" si="210"/>
        <v>248.93951719818972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7.0780029707011005</v>
      </c>
      <c r="EW200" s="21">
        <f>EXP(-LN(2)/25)*EW199+(1-EXP(-LN(2)/25))/(LN(2)/25)*Calculateur!ER200*Calculateur!ET200*VLOOKUP('Données projet'!$B$15,Paramètres!$A$1:$I$89,3,0)*0.475*44/12</f>
        <v>0.27243761371153963</v>
      </c>
      <c r="EX200" s="21">
        <f>EXP(-LN(2)/2)*EX199+(1-EXP(-LN(2)/2))/(LN(2)/2)*ER200*EU200*VLOOKUP('Données projet'!$B$15,Paramètres!$A$1:$I$89,3,0)*0.475*44/12</f>
        <v>3.5580327639988678E-26</v>
      </c>
      <c r="EY200" s="22">
        <f t="shared" si="181"/>
        <v>7.3504405844126399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789.00000000000045</v>
      </c>
      <c r="FF200" s="17">
        <f>FE200*VLOOKUP('Données projet'!$B$16,Paramètres!$A$1:$I$89,3,0)*VLOOKUP('Données projet'!$B$16,Paramètres!$A$1:$I$89,5,0)</f>
        <v>358.99500000000023</v>
      </c>
      <c r="FG200" s="13">
        <f t="shared" si="182"/>
        <v>83.411930940690553</v>
      </c>
      <c r="FH200" s="20">
        <f t="shared" si="183"/>
        <v>770.52540472170313</v>
      </c>
      <c r="FI200" s="59">
        <f t="shared" si="199"/>
        <v>1063.8587380550364</v>
      </c>
      <c r="FJ200" s="59">
        <f ca="1">AVERAGE(OFFSET($FI$3,0,0,'Données projet'!$E$16+1,1))-AVERAGE(OFFSET($H$3,0,0,'Données projet'!$E$16+1,1))</f>
        <v>367.36535411813264</v>
      </c>
      <c r="FK200" s="59">
        <f t="shared" si="211"/>
        <v>293.19545174980556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8.648473580672503</v>
      </c>
      <c r="FR200" s="21">
        <f>EXP(-LN(2)/25)*FR199+(1-EXP(-LN(2)/25))/(LN(2)/25)*Calculateur!FM200*Calculateur!FO200*VLOOKUP('Données projet'!$B$16,Paramètres!$A$1:$I$89,3,0)*0.475*44/12</f>
        <v>0.42225636585725734</v>
      </c>
      <c r="FS200" s="21">
        <f>EXP(-LN(2)/2)*FS199+(1-EXP(-LN(2)/2))/(LN(2)/2)*FM200*FP200*VLOOKUP('Données projet'!$B$16,Paramètres!$A$1:$I$89,3,0)*0.475*44/12</f>
        <v>5.2966933868602513E-26</v>
      </c>
      <c r="FT200" s="22">
        <f t="shared" si="184"/>
        <v>9.0707299465297595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669.99999999999989</v>
      </c>
      <c r="GA200" s="17">
        <f>FZ200*VLOOKUP('Données projet'!$B$17,Paramètres!$A$1:$I$89,3,0)*VLOOKUP('Données projet'!$B$17,Paramètres!$A$1:$I$89,5,0)</f>
        <v>322.26999999999992</v>
      </c>
      <c r="GB200" s="13">
        <f t="shared" si="185"/>
        <v>75.825476822885776</v>
      </c>
      <c r="GC200" s="20">
        <f t="shared" si="186"/>
        <v>693.34962213319261</v>
      </c>
      <c r="GD200" s="59">
        <f t="shared" si="200"/>
        <v>986.68295546652598</v>
      </c>
      <c r="GE200" s="59">
        <f ca="1">AVERAGE(OFFSET($GD$3,0,0,'Données projet'!$E$17+1,1))-AVERAGE(OFFSET($H$3,0,0,'Données projet'!$E$17+1,1))</f>
        <v>312.64506496298173</v>
      </c>
      <c r="GF200" s="59">
        <f t="shared" si="212"/>
        <v>259.97532509897508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11.164365204086797</v>
      </c>
      <c r="GM200" s="21">
        <f>EXP(-LN(2)/25)*GM199+(1-EXP(-LN(2)/25))/(LN(2)/25)*Calculateur!GH200*Calculateur!GJ200*VLOOKUP('Données projet'!$B$17,Paramètres!$A$1:$I$89,3,0)*0.475*44/12</f>
        <v>0.19091076597791395</v>
      </c>
      <c r="GN200" s="21">
        <f>EXP(-LN(2)/2)*GN199+(1-EXP(-LN(2)/2))/(LN(2)/2)*GH200*GK200*VLOOKUP('Données projet'!$B$17,Paramètres!$A$1:$I$89,3,0)*0.475*44/12</f>
        <v>2.8155353200446683E-25</v>
      </c>
      <c r="GO200" s="21">
        <f t="shared" si="187"/>
        <v>11.355275970064712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267</v>
      </c>
      <c r="GV200" s="17">
        <f>GU200*VLOOKUP('Données projet'!$B$18,Paramètres!$A$1:$I$89,3,0)*VLOOKUP('Données projet'!$B$18,Paramètres!$A$1:$I$89,5,0)</f>
        <v>270.738</v>
      </c>
      <c r="GW200" s="13">
        <f t="shared" si="188"/>
        <v>65.005866623551711</v>
      </c>
      <c r="GX200" s="20">
        <f t="shared" si="189"/>
        <v>584.7539010360191</v>
      </c>
      <c r="GY200" s="59">
        <f t="shared" si="201"/>
        <v>878.08723436935247</v>
      </c>
      <c r="GZ200" s="59">
        <f ca="1">AVERAGE(OFFSET($GY$3,0,0,'Données projet'!$E$18+1,1))-AVERAGE(OFFSET($H$3,0,0,'Données projet'!$E$18+1,1))</f>
        <v>308.80022073574963</v>
      </c>
      <c r="HA200" s="59">
        <f t="shared" si="213"/>
        <v>183.96267407004115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16.697792324006496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16.697792324006496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344.49457749226184</v>
      </c>
      <c r="T201" s="59">
        <f t="shared" si="204"/>
        <v>207.92972431357452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208.99999999999989</v>
      </c>
      <c r="AJ201" s="13">
        <f>AI201*VLOOKUP('Données projet'!$B$10,Paramètres!$A$1:$I$89,3,0)*VLOOKUP('Données projet'!$B$10,Paramètres!$A$1:$I$89,5,0)</f>
        <v>189.1031999999999</v>
      </c>
      <c r="AK201" s="13">
        <f t="shared" si="164"/>
        <v>47.34162854278712</v>
      </c>
      <c r="AL201" s="20">
        <f t="shared" si="165"/>
        <v>411.80807637868742</v>
      </c>
      <c r="AM201" s="59">
        <f t="shared" si="193"/>
        <v>705.14140971202073</v>
      </c>
      <c r="AN201" s="59">
        <f ca="1">AVERAGE(OFFSET($AM$3,0,0,'Données projet'!$E$10+1,1))-AVERAGE(OFFSET($H$3,0,0,'Données projet'!$E$10+1,1))</f>
        <v>183.0147113277086</v>
      </c>
      <c r="AO201" s="59">
        <f t="shared" si="205"/>
        <v>76.413905647258389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10.976129044748442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10.976129044748442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253.79640000000001</v>
      </c>
      <c r="BF201" s="13">
        <f t="shared" si="167"/>
        <v>61.39816832228076</v>
      </c>
      <c r="BG201" s="20">
        <f t="shared" si="168"/>
        <v>548.96387316130563</v>
      </c>
      <c r="BH201" s="59">
        <f t="shared" si="194"/>
        <v>842.29720649463889</v>
      </c>
      <c r="BI201" s="59">
        <f ca="1">AVERAGE(OFFSET($BH$3,0,0,'Données projet'!$E$11+1,1))-AVERAGE(OFFSET($H$3,0,0,'Données projet'!$E$11+1,1))</f>
        <v>279.49721661620544</v>
      </c>
      <c r="BJ201" s="59">
        <f t="shared" si="206"/>
        <v>275.18739333988754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5.1374917426637134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5.1374917426637134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754.68411025369562</v>
      </c>
      <c r="CD201" s="59">
        <f ca="1">AVERAGE(OFFSET($CC$3,0,0,'Données projet'!$E$12+1,1))-AVERAGE(OFFSET($H$3,0,0,'Données projet'!$E$12+1,1))</f>
        <v>225.2323446080772</v>
      </c>
      <c r="CE201" s="59">
        <f t="shared" si="207"/>
        <v>222.29030402759292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4.1923377179302825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4.1923377179302825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213.00000000000003</v>
      </c>
      <c r="CU201" s="17">
        <f>CT201*VLOOKUP('Données projet'!$B$13,Paramètres!$A$1:$I$89,3,0)*VLOOKUP('Données projet'!$B$13,Paramètres!$A$1:$I$89,5,0)</f>
        <v>229.2732</v>
      </c>
      <c r="CV201" s="13">
        <f t="shared" si="173"/>
        <v>56.125501442527366</v>
      </c>
      <c r="CW201" s="20">
        <f t="shared" si="174"/>
        <v>497.06940501240177</v>
      </c>
      <c r="CX201" s="59">
        <f t="shared" si="196"/>
        <v>790.40273834573509</v>
      </c>
      <c r="CY201" s="59">
        <f ca="1">AVERAGE(OFFSET($CX$3,0,0,'Données projet'!$E$13+1,1))-AVERAGE(OFFSET($H$3,0,0,'Données projet'!$E$13+1,1))</f>
        <v>240.57184010337932</v>
      </c>
      <c r="CZ201" s="59">
        <f t="shared" si="208"/>
        <v>236.36473521227072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3.5552132652321506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3.5552132652321506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670.99999999999977</v>
      </c>
      <c r="DP201" s="17">
        <f>DO201*VLOOKUP('Données projet'!$B$14,Paramètres!$A$1:$I$89,3,0)*VLOOKUP('Données projet'!$B$14,Paramètres!$A$1:$I$89,5,0)</f>
        <v>314.02799999999991</v>
      </c>
      <c r="DQ201" s="13">
        <f t="shared" si="176"/>
        <v>74.109403804428752</v>
      </c>
      <c r="DR201" s="20">
        <f t="shared" si="177"/>
        <v>676.00597829271317</v>
      </c>
      <c r="DS201" s="59">
        <f t="shared" si="197"/>
        <v>969.33931162604654</v>
      </c>
      <c r="DT201" s="59">
        <f ca="1">AVERAGE(OFFSET($DS$3,0,0,'Données projet'!$E$14+1,1))-AVERAGE(OFFSET($H$3,0,0,'Données projet'!$E$14+1,1))</f>
        <v>304.29617570272939</v>
      </c>
      <c r="DU201" s="59">
        <f t="shared" si="209"/>
        <v>246.20695736161576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9.5914890609709644</v>
      </c>
      <c r="EB201" s="21">
        <f>EXP(-LN(2)/25)*EB200+(1-EXP(-LN(2)/25))/(LN(2)/25)*Calculateur!DW201*Calculateur!DY201*VLOOKUP('Données projet'!$B$14,Paramètres!$A$1:$I$89,3,0)*0.475*44/12</f>
        <v>0.38820886481123595</v>
      </c>
      <c r="EC201" s="21">
        <f>EXP(-LN(2)/2)*EC200+(1-EXP(-LN(2)/2))/(LN(2)/2)*DW201*DZ201*VLOOKUP('Données projet'!$B$14,Paramètres!$A$1:$I$89,3,0)*0.475*44/12</f>
        <v>2.033930260554364E-25</v>
      </c>
      <c r="ED201" s="22">
        <f t="shared" si="178"/>
        <v>9.9796979257822009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477.9999999999996</v>
      </c>
      <c r="EK201" s="17">
        <f>EJ201*VLOOKUP('Données projet'!$B$15,Paramètres!$A$1:$I$89,3,0)*VLOOKUP('Données projet'!$B$15,Paramètres!$A$1:$I$89,5,0)</f>
        <v>285.84399999999977</v>
      </c>
      <c r="EL201" s="13">
        <f t="shared" si="179"/>
        <v>68.200525419065656</v>
      </c>
      <c r="EM201" s="20">
        <f t="shared" si="180"/>
        <v>616.62754843820551</v>
      </c>
      <c r="EN201" s="59">
        <f t="shared" si="198"/>
        <v>909.96088177153888</v>
      </c>
      <c r="EO201" s="59">
        <f ca="1">AVERAGE(OFFSET($EN$3,0,0,'Données projet'!$E$15+1,1))-AVERAGE(OFFSET($H$3,0,0,'Données projet'!$E$15+1,1))</f>
        <v>288.41846134875794</v>
      </c>
      <c r="EP201" s="59">
        <f t="shared" si="210"/>
        <v>248.93951719818972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6.9392076496011805</v>
      </c>
      <c r="EW201" s="21">
        <f>EXP(-LN(2)/25)*EW200+(1-EXP(-LN(2)/25))/(LN(2)/25)*Calculateur!ER201*Calculateur!ET201*VLOOKUP('Données projet'!$B$15,Paramètres!$A$1:$I$89,3,0)*0.475*44/12</f>
        <v>0.26498779283772611</v>
      </c>
      <c r="EX201" s="21">
        <f>EXP(-LN(2)/2)*EX200+(1-EXP(-LN(2)/2))/(LN(2)/2)*ER201*EU201*VLOOKUP('Données projet'!$B$15,Paramètres!$A$1:$I$89,3,0)*0.475*44/12</f>
        <v>2.5159090951075144E-26</v>
      </c>
      <c r="EY201" s="22">
        <f t="shared" si="181"/>
        <v>7.2041954424389063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789.00000000000045</v>
      </c>
      <c r="FF201" s="17">
        <f>FE201*VLOOKUP('Données projet'!$B$16,Paramètres!$A$1:$I$89,3,0)*VLOOKUP('Données projet'!$B$16,Paramètres!$A$1:$I$89,5,0)</f>
        <v>358.99500000000023</v>
      </c>
      <c r="FG201" s="13">
        <f t="shared" si="182"/>
        <v>83.411930940690553</v>
      </c>
      <c r="FH201" s="20">
        <f t="shared" si="183"/>
        <v>770.52540472170313</v>
      </c>
      <c r="FI201" s="59">
        <f t="shared" si="199"/>
        <v>1063.8587380550364</v>
      </c>
      <c r="FJ201" s="59">
        <f ca="1">AVERAGE(OFFSET($FI$3,0,0,'Données projet'!$E$16+1,1))-AVERAGE(OFFSET($H$3,0,0,'Données projet'!$E$16+1,1))</f>
        <v>367.36535411813264</v>
      </c>
      <c r="FK201" s="59">
        <f t="shared" si="211"/>
        <v>293.19545174980556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8.4788822888035309</v>
      </c>
      <c r="FR201" s="21">
        <f>EXP(-LN(2)/25)*FR200+(1-EXP(-LN(2)/25))/(LN(2)/25)*Calculateur!FM201*Calculateur!FO201*VLOOKUP('Données projet'!$B$16,Paramètres!$A$1:$I$89,3,0)*0.475*44/12</f>
        <v>0.41070974332739346</v>
      </c>
      <c r="FS201" s="21">
        <f>EXP(-LN(2)/2)*FS200+(1-EXP(-LN(2)/2))/(LN(2)/2)*FM201*FP201*VLOOKUP('Données projet'!$B$16,Paramètres!$A$1:$I$89,3,0)*0.475*44/12</f>
        <v>3.7453278117148251E-26</v>
      </c>
      <c r="FT201" s="22">
        <f t="shared" si="184"/>
        <v>8.8895920321309241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669.99999999999989</v>
      </c>
      <c r="GA201" s="17">
        <f>FZ201*VLOOKUP('Données projet'!$B$17,Paramètres!$A$1:$I$89,3,0)*VLOOKUP('Données projet'!$B$17,Paramètres!$A$1:$I$89,5,0)</f>
        <v>322.26999999999992</v>
      </c>
      <c r="GB201" s="13">
        <f t="shared" si="185"/>
        <v>75.825476822885776</v>
      </c>
      <c r="GC201" s="20">
        <f t="shared" si="186"/>
        <v>693.34962213319261</v>
      </c>
      <c r="GD201" s="59">
        <f t="shared" si="200"/>
        <v>986.68295546652598</v>
      </c>
      <c r="GE201" s="59">
        <f ca="1">AVERAGE(OFFSET($GD$3,0,0,'Données projet'!$E$17+1,1))-AVERAGE(OFFSET($H$3,0,0,'Données projet'!$E$17+1,1))</f>
        <v>312.64506496298173</v>
      </c>
      <c r="GF201" s="59">
        <f t="shared" si="212"/>
        <v>259.97532509897508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10.945438812025039</v>
      </c>
      <c r="GM201" s="21">
        <f>EXP(-LN(2)/25)*GM200+(1-EXP(-LN(2)/25))/(LN(2)/25)*Calculateur!GH201*Calculateur!GJ201*VLOOKUP('Données projet'!$B$17,Paramètres!$A$1:$I$89,3,0)*0.475*44/12</f>
        <v>0.18569030104268705</v>
      </c>
      <c r="GN201" s="21">
        <f>EXP(-LN(2)/2)*GN200+(1-EXP(-LN(2)/2))/(LN(2)/2)*GH201*GK201*VLOOKUP('Données projet'!$B$17,Paramètres!$A$1:$I$89,3,0)*0.475*44/12</f>
        <v>1.9908841174738213E-25</v>
      </c>
      <c r="GO201" s="21">
        <f t="shared" si="187"/>
        <v>11.131129113067725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267</v>
      </c>
      <c r="GV201" s="17">
        <f>GU201*VLOOKUP('Données projet'!$B$18,Paramètres!$A$1:$I$89,3,0)*VLOOKUP('Données projet'!$B$18,Paramètres!$A$1:$I$89,5,0)</f>
        <v>270.738</v>
      </c>
      <c r="GW201" s="13">
        <f t="shared" si="188"/>
        <v>65.005866623551711</v>
      </c>
      <c r="GX201" s="20">
        <f t="shared" si="189"/>
        <v>584.7539010360191</v>
      </c>
      <c r="GY201" s="59">
        <f t="shared" si="201"/>
        <v>878.08723436935247</v>
      </c>
      <c r="GZ201" s="59">
        <f ca="1">AVERAGE(OFFSET($GY$3,0,0,'Données projet'!$E$18+1,1))-AVERAGE(OFFSET($H$3,0,0,'Données projet'!$E$18+1,1))</f>
        <v>308.80022073574963</v>
      </c>
      <c r="HA201" s="59">
        <f t="shared" si="213"/>
        <v>183.96267407004115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16.370358801180394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16.370358801180394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344.49457749226184</v>
      </c>
      <c r="T202" s="59">
        <f t="shared" si="204"/>
        <v>207.92972431357452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208.99999999999989</v>
      </c>
      <c r="AJ202" s="13">
        <f>AI202*VLOOKUP('Données projet'!$B$10,Paramètres!$A$1:$I$89,3,0)*VLOOKUP('Données projet'!$B$10,Paramètres!$A$1:$I$89,5,0)</f>
        <v>189.1031999999999</v>
      </c>
      <c r="AK202" s="13">
        <f t="shared" si="164"/>
        <v>47.34162854278712</v>
      </c>
      <c r="AL202" s="20">
        <f t="shared" si="165"/>
        <v>411.80807637868742</v>
      </c>
      <c r="AM202" s="59">
        <f t="shared" si="193"/>
        <v>705.14140971202073</v>
      </c>
      <c r="AN202" s="59">
        <f ca="1">AVERAGE(OFFSET($AM$3,0,0,'Données projet'!$E$10+1,1))-AVERAGE(OFFSET($H$3,0,0,'Données projet'!$E$10+1,1))</f>
        <v>183.0147113277086</v>
      </c>
      <c r="AO202" s="59">
        <f t="shared" si="205"/>
        <v>76.413905647258389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10.760893848958588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10.760893848958588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253.79640000000001</v>
      </c>
      <c r="BF202" s="13">
        <f t="shared" si="167"/>
        <v>61.39816832228076</v>
      </c>
      <c r="BG202" s="20">
        <f t="shared" si="168"/>
        <v>548.96387316130563</v>
      </c>
      <c r="BH202" s="59">
        <f t="shared" si="194"/>
        <v>842.29720649463889</v>
      </c>
      <c r="BI202" s="59">
        <f ca="1">AVERAGE(OFFSET($BH$3,0,0,'Données projet'!$E$11+1,1))-AVERAGE(OFFSET($H$3,0,0,'Données projet'!$E$11+1,1))</f>
        <v>279.49721661620544</v>
      </c>
      <c r="BJ202" s="59">
        <f t="shared" si="206"/>
        <v>275.18739333988754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5.036748663150628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5.036748663150628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754.68411025369562</v>
      </c>
      <c r="CD202" s="59">
        <f ca="1">AVERAGE(OFFSET($CC$3,0,0,'Données projet'!$E$12+1,1))-AVERAGE(OFFSET($H$3,0,0,'Données projet'!$E$12+1,1))</f>
        <v>225.2323446080772</v>
      </c>
      <c r="CE202" s="59">
        <f t="shared" si="207"/>
        <v>222.29030402759292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4.1101285323551879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4.1101285323551879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213.00000000000003</v>
      </c>
      <c r="CU202" s="17">
        <f>CT202*VLOOKUP('Données projet'!$B$13,Paramètres!$A$1:$I$89,3,0)*VLOOKUP('Données projet'!$B$13,Paramètres!$A$1:$I$89,5,0)</f>
        <v>229.2732</v>
      </c>
      <c r="CV202" s="13">
        <f t="shared" si="173"/>
        <v>56.125501442527366</v>
      </c>
      <c r="CW202" s="20">
        <f t="shared" si="174"/>
        <v>497.06940501240177</v>
      </c>
      <c r="CX202" s="59">
        <f t="shared" si="196"/>
        <v>790.40273834573509</v>
      </c>
      <c r="CY202" s="59">
        <f ca="1">AVERAGE(OFFSET($CX$3,0,0,'Données projet'!$E$13+1,1))-AVERAGE(OFFSET($H$3,0,0,'Données projet'!$E$13+1,1))</f>
        <v>240.57184010337932</v>
      </c>
      <c r="CZ202" s="59">
        <f t="shared" si="208"/>
        <v>236.36473521227072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3.4854977015669215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3.4854977015669215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670.99999999999977</v>
      </c>
      <c r="DP202" s="17">
        <f>DO202*VLOOKUP('Données projet'!$B$14,Paramètres!$A$1:$I$89,3,0)*VLOOKUP('Données projet'!$B$14,Paramètres!$A$1:$I$89,5,0)</f>
        <v>314.02799999999991</v>
      </c>
      <c r="DQ202" s="13">
        <f t="shared" si="176"/>
        <v>74.109403804428752</v>
      </c>
      <c r="DR202" s="20">
        <f t="shared" si="177"/>
        <v>676.00597829271317</v>
      </c>
      <c r="DS202" s="59">
        <f t="shared" si="197"/>
        <v>969.33931162604654</v>
      </c>
      <c r="DT202" s="59">
        <f ca="1">AVERAGE(OFFSET($DS$3,0,0,'Données projet'!$E$14+1,1))-AVERAGE(OFFSET($H$3,0,0,'Données projet'!$E$14+1,1))</f>
        <v>304.29617570272939</v>
      </c>
      <c r="DU202" s="59">
        <f t="shared" si="209"/>
        <v>246.20695736161576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9.4034058107159879</v>
      </c>
      <c r="EB202" s="21">
        <f>EXP(-LN(2)/25)*EB201+(1-EXP(-LN(2)/25))/(LN(2)/25)*Calculateur!DW202*Calculateur!DY202*VLOOKUP('Données projet'!$B$14,Paramètres!$A$1:$I$89,3,0)*0.475*44/12</f>
        <v>0.37759327298795575</v>
      </c>
      <c r="EC202" s="21">
        <f>EXP(-LN(2)/2)*EC201+(1-EXP(-LN(2)/2))/(LN(2)/2)*DW202*DZ202*VLOOKUP('Données projet'!$B$14,Paramètres!$A$1:$I$89,3,0)*0.475*44/12</f>
        <v>1.4382058796985125E-25</v>
      </c>
      <c r="ED202" s="22">
        <f t="shared" si="178"/>
        <v>9.7809990837039429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477.9999999999996</v>
      </c>
      <c r="EK202" s="17">
        <f>EJ202*VLOOKUP('Données projet'!$B$15,Paramètres!$A$1:$I$89,3,0)*VLOOKUP('Données projet'!$B$15,Paramètres!$A$1:$I$89,5,0)</f>
        <v>285.84399999999977</v>
      </c>
      <c r="EL202" s="13">
        <f t="shared" si="179"/>
        <v>68.200525419065656</v>
      </c>
      <c r="EM202" s="20">
        <f t="shared" si="180"/>
        <v>616.62754843820551</v>
      </c>
      <c r="EN202" s="59">
        <f t="shared" si="198"/>
        <v>909.96088177153888</v>
      </c>
      <c r="EO202" s="59">
        <f ca="1">AVERAGE(OFFSET($EN$3,0,0,'Données projet'!$E$15+1,1))-AVERAGE(OFFSET($H$3,0,0,'Données projet'!$E$15+1,1))</f>
        <v>288.41846134875794</v>
      </c>
      <c r="EP202" s="59">
        <f t="shared" si="210"/>
        <v>248.93951719818972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6.8031340200912434</v>
      </c>
      <c r="EW202" s="21">
        <f>EXP(-LN(2)/25)*EW201+(1-EXP(-LN(2)/25))/(LN(2)/25)*Calculateur!ER202*Calculateur!ET202*VLOOKUP('Données projet'!$B$15,Paramètres!$A$1:$I$89,3,0)*0.475*44/12</f>
        <v>0.25774168770747607</v>
      </c>
      <c r="EX202" s="21">
        <f>EXP(-LN(2)/2)*EX201+(1-EXP(-LN(2)/2))/(LN(2)/2)*ER202*EU202*VLOOKUP('Données projet'!$B$15,Paramètres!$A$1:$I$89,3,0)*0.475*44/12</f>
        <v>1.7790163819994339E-26</v>
      </c>
      <c r="EY202" s="22">
        <f t="shared" si="181"/>
        <v>7.0608757077987194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789.00000000000045</v>
      </c>
      <c r="FF202" s="17">
        <f>FE202*VLOOKUP('Données projet'!$B$16,Paramètres!$A$1:$I$89,3,0)*VLOOKUP('Données projet'!$B$16,Paramètres!$A$1:$I$89,5,0)</f>
        <v>358.99500000000023</v>
      </c>
      <c r="FG202" s="13">
        <f t="shared" si="182"/>
        <v>83.411930940690553</v>
      </c>
      <c r="FH202" s="20">
        <f t="shared" si="183"/>
        <v>770.52540472170313</v>
      </c>
      <c r="FI202" s="59">
        <f t="shared" si="199"/>
        <v>1063.8587380550364</v>
      </c>
      <c r="FJ202" s="59">
        <f ca="1">AVERAGE(OFFSET($FI$3,0,0,'Données projet'!$E$16+1,1))-AVERAGE(OFFSET($H$3,0,0,'Données projet'!$E$16+1,1))</f>
        <v>367.36535411813264</v>
      </c>
      <c r="FK202" s="59">
        <f t="shared" si="211"/>
        <v>293.19545174980556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8.3126165787276367</v>
      </c>
      <c r="FR202" s="21">
        <f>EXP(-LN(2)/25)*FR201+(1-EXP(-LN(2)/25))/(LN(2)/25)*Calculateur!FM202*Calculateur!FO202*VLOOKUP('Données projet'!$B$16,Paramètres!$A$1:$I$89,3,0)*0.475*44/12</f>
        <v>0.39947886379781916</v>
      </c>
      <c r="FS202" s="21">
        <f>EXP(-LN(2)/2)*FS201+(1-EXP(-LN(2)/2))/(LN(2)/2)*FM202*FP202*VLOOKUP('Données projet'!$B$16,Paramètres!$A$1:$I$89,3,0)*0.475*44/12</f>
        <v>2.6483466934301256E-26</v>
      </c>
      <c r="FT202" s="22">
        <f t="shared" si="184"/>
        <v>8.712095442525456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669.99999999999989</v>
      </c>
      <c r="GA202" s="17">
        <f>FZ202*VLOOKUP('Données projet'!$B$17,Paramètres!$A$1:$I$89,3,0)*VLOOKUP('Données projet'!$B$17,Paramètres!$A$1:$I$89,5,0)</f>
        <v>322.26999999999992</v>
      </c>
      <c r="GB202" s="13">
        <f t="shared" si="185"/>
        <v>75.825476822885776</v>
      </c>
      <c r="GC202" s="20">
        <f t="shared" si="186"/>
        <v>693.34962213319261</v>
      </c>
      <c r="GD202" s="59">
        <f t="shared" si="200"/>
        <v>986.68295546652598</v>
      </c>
      <c r="GE202" s="59">
        <f ca="1">AVERAGE(OFFSET($GD$3,0,0,'Données projet'!$E$17+1,1))-AVERAGE(OFFSET($H$3,0,0,'Données projet'!$E$17+1,1))</f>
        <v>312.64506496298173</v>
      </c>
      <c r="GF202" s="59">
        <f t="shared" si="212"/>
        <v>259.97532509897508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10.730805432979697</v>
      </c>
      <c r="GM202" s="21">
        <f>EXP(-LN(2)/25)*GM201+(1-EXP(-LN(2)/25))/(LN(2)/25)*Calculateur!GH202*Calculateur!GJ202*VLOOKUP('Données projet'!$B$17,Paramètres!$A$1:$I$89,3,0)*0.475*44/12</f>
        <v>0.18061258999564625</v>
      </c>
      <c r="GN202" s="21">
        <f>EXP(-LN(2)/2)*GN201+(1-EXP(-LN(2)/2))/(LN(2)/2)*GH202*GK202*VLOOKUP('Données projet'!$B$17,Paramètres!$A$1:$I$89,3,0)*0.475*44/12</f>
        <v>1.4077676600223341E-25</v>
      </c>
      <c r="GO202" s="21">
        <f t="shared" si="187"/>
        <v>10.911418022975344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267</v>
      </c>
      <c r="GV202" s="17">
        <f>GU202*VLOOKUP('Données projet'!$B$18,Paramètres!$A$1:$I$89,3,0)*VLOOKUP('Données projet'!$B$18,Paramètres!$A$1:$I$89,5,0)</f>
        <v>270.738</v>
      </c>
      <c r="GW202" s="13">
        <f t="shared" si="188"/>
        <v>65.005866623551711</v>
      </c>
      <c r="GX202" s="20">
        <f t="shared" si="189"/>
        <v>584.7539010360191</v>
      </c>
      <c r="GY202" s="59">
        <f t="shared" si="201"/>
        <v>878.08723436935247</v>
      </c>
      <c r="GZ202" s="59">
        <f ca="1">AVERAGE(OFFSET($GY$3,0,0,'Données projet'!$E$18+1,1))-AVERAGE(OFFSET($H$3,0,0,'Données projet'!$E$18+1,1))</f>
        <v>308.80022073574963</v>
      </c>
      <c r="HA202" s="59">
        <f t="shared" si="213"/>
        <v>183.96267407004115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16.049346050022184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16.049346050022184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344.49457749226184</v>
      </c>
      <c r="T203" s="59">
        <f t="shared" si="204"/>
        <v>207.92972431357452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208.99999999999989</v>
      </c>
      <c r="AJ203" s="13">
        <f>AI203*VLOOKUP('Données projet'!$B$10,Paramètres!$A$1:$I$89,3,0)*VLOOKUP('Données projet'!$B$10,Paramètres!$A$1:$I$89,5,0)</f>
        <v>189.1031999999999</v>
      </c>
      <c r="AK203" s="13">
        <f t="shared" si="164"/>
        <v>47.34162854278712</v>
      </c>
      <c r="AL203" s="20">
        <f t="shared" si="165"/>
        <v>411.80807637868742</v>
      </c>
      <c r="AM203" s="59">
        <f t="shared" si="193"/>
        <v>705.14140971202073</v>
      </c>
      <c r="AN203" s="59">
        <f ca="1">AVERAGE(OFFSET($AM$3,0,0,'Données projet'!$E$10+1,1))-AVERAGE(OFFSET($H$3,0,0,'Données projet'!$E$10+1,1))</f>
        <v>183.0147113277086</v>
      </c>
      <c r="AO203" s="59">
        <f t="shared" si="205"/>
        <v>76.413905647258389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10.549879284077667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10.549879284077667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253.79640000000001</v>
      </c>
      <c r="BF203" s="13">
        <f t="shared" si="167"/>
        <v>61.39816832228076</v>
      </c>
      <c r="BG203" s="20">
        <f t="shared" si="168"/>
        <v>548.96387316130563</v>
      </c>
      <c r="BH203" s="59">
        <f t="shared" si="194"/>
        <v>842.29720649463889</v>
      </c>
      <c r="BI203" s="59">
        <f ca="1">AVERAGE(OFFSET($BH$3,0,0,'Données projet'!$E$11+1,1))-AVERAGE(OFFSET($H$3,0,0,'Données projet'!$E$11+1,1))</f>
        <v>279.49721661620544</v>
      </c>
      <c r="BJ203" s="59">
        <f t="shared" si="206"/>
        <v>275.18739333988754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4.937981093979583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4.937981093979583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754.68411025369562</v>
      </c>
      <c r="CD203" s="59">
        <f ca="1">AVERAGE(OFFSET($CC$3,0,0,'Données projet'!$E$12+1,1))-AVERAGE(OFFSET($H$3,0,0,'Données projet'!$E$12+1,1))</f>
        <v>225.2323446080772</v>
      </c>
      <c r="CE203" s="59">
        <f t="shared" si="207"/>
        <v>222.29030402759292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4.0295314187665685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4.0295314187665685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213.00000000000003</v>
      </c>
      <c r="CU203" s="17">
        <f>CT203*VLOOKUP('Données projet'!$B$13,Paramètres!$A$1:$I$89,3,0)*VLOOKUP('Données projet'!$B$13,Paramètres!$A$1:$I$89,5,0)</f>
        <v>229.2732</v>
      </c>
      <c r="CV203" s="13">
        <f t="shared" si="173"/>
        <v>56.125501442527366</v>
      </c>
      <c r="CW203" s="20">
        <f t="shared" si="174"/>
        <v>497.06940501240177</v>
      </c>
      <c r="CX203" s="59">
        <f t="shared" si="196"/>
        <v>790.40273834573509</v>
      </c>
      <c r="CY203" s="59">
        <f ca="1">AVERAGE(OFFSET($CX$3,0,0,'Données projet'!$E$13+1,1))-AVERAGE(OFFSET($H$3,0,0,'Données projet'!$E$13+1,1))</f>
        <v>240.57184010337932</v>
      </c>
      <c r="CZ203" s="59">
        <f t="shared" si="208"/>
        <v>236.36473521227072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3.4171492175828728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3.4171492175828728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670.99999999999977</v>
      </c>
      <c r="DP203" s="17">
        <f>DO203*VLOOKUP('Données projet'!$B$14,Paramètres!$A$1:$I$89,3,0)*VLOOKUP('Données projet'!$B$14,Paramètres!$A$1:$I$89,5,0)</f>
        <v>314.02799999999991</v>
      </c>
      <c r="DQ203" s="13">
        <f t="shared" si="176"/>
        <v>74.109403804428752</v>
      </c>
      <c r="DR203" s="20">
        <f t="shared" si="177"/>
        <v>676.00597829271317</v>
      </c>
      <c r="DS203" s="59">
        <f t="shared" si="197"/>
        <v>969.33931162604654</v>
      </c>
      <c r="DT203" s="59">
        <f ca="1">AVERAGE(OFFSET($DS$3,0,0,'Données projet'!$E$14+1,1))-AVERAGE(OFFSET($H$3,0,0,'Données projet'!$E$14+1,1))</f>
        <v>304.29617570272939</v>
      </c>
      <c r="DU203" s="59">
        <f t="shared" si="209"/>
        <v>246.20695736161576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9.2190107582790564</v>
      </c>
      <c r="EB203" s="21">
        <f>EXP(-LN(2)/25)*EB202+(1-EXP(-LN(2)/25))/(LN(2)/25)*Calculateur!DW203*Calculateur!DY203*VLOOKUP('Données projet'!$B$14,Paramètres!$A$1:$I$89,3,0)*0.475*44/12</f>
        <v>0.36726796508133286</v>
      </c>
      <c r="EC203" s="21">
        <f>EXP(-LN(2)/2)*EC202+(1-EXP(-LN(2)/2))/(LN(2)/2)*DW203*DZ203*VLOOKUP('Données projet'!$B$14,Paramètres!$A$1:$I$89,3,0)*0.475*44/12</f>
        <v>1.0169651302771823E-25</v>
      </c>
      <c r="ED203" s="22">
        <f t="shared" si="178"/>
        <v>9.5862787233603886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477.9999999999996</v>
      </c>
      <c r="EK203" s="17">
        <f>EJ203*VLOOKUP('Données projet'!$B$15,Paramètres!$A$1:$I$89,3,0)*VLOOKUP('Données projet'!$B$15,Paramètres!$A$1:$I$89,5,0)</f>
        <v>285.84399999999977</v>
      </c>
      <c r="EL203" s="13">
        <f t="shared" si="179"/>
        <v>68.200525419065656</v>
      </c>
      <c r="EM203" s="20">
        <f t="shared" si="180"/>
        <v>616.62754843820551</v>
      </c>
      <c r="EN203" s="59">
        <f t="shared" si="198"/>
        <v>909.96088177153888</v>
      </c>
      <c r="EO203" s="59">
        <f ca="1">AVERAGE(OFFSET($EN$3,0,0,'Données projet'!$E$15+1,1))-AVERAGE(OFFSET($H$3,0,0,'Données projet'!$E$15+1,1))</f>
        <v>288.41846134875794</v>
      </c>
      <c r="EP203" s="59">
        <f t="shared" si="210"/>
        <v>248.93951719818972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6.6697287114592774</v>
      </c>
      <c r="EW203" s="21">
        <f>EXP(-LN(2)/25)*EW202+(1-EXP(-LN(2)/25))/(LN(2)/25)*Calculateur!ER203*Calculateur!ET203*VLOOKUP('Données projet'!$B$15,Paramètres!$A$1:$I$89,3,0)*0.475*44/12</f>
        <v>0.25069372770306886</v>
      </c>
      <c r="EX203" s="21">
        <f>EXP(-LN(2)/2)*EX202+(1-EXP(-LN(2)/2))/(LN(2)/2)*ER203*EU203*VLOOKUP('Données projet'!$B$15,Paramètres!$A$1:$I$89,3,0)*0.475*44/12</f>
        <v>1.2579545475537572E-26</v>
      </c>
      <c r="EY203" s="22">
        <f t="shared" si="181"/>
        <v>6.9204224391623459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789.00000000000045</v>
      </c>
      <c r="FF203" s="17">
        <f>FE203*VLOOKUP('Données projet'!$B$16,Paramètres!$A$1:$I$89,3,0)*VLOOKUP('Données projet'!$B$16,Paramètres!$A$1:$I$89,5,0)</f>
        <v>358.99500000000023</v>
      </c>
      <c r="FG203" s="13">
        <f t="shared" si="182"/>
        <v>83.411930940690553</v>
      </c>
      <c r="FH203" s="20">
        <f t="shared" si="183"/>
        <v>770.52540472170313</v>
      </c>
      <c r="FI203" s="59">
        <f t="shared" si="199"/>
        <v>1063.8587380550364</v>
      </c>
      <c r="FJ203" s="59">
        <f ca="1">AVERAGE(OFFSET($FI$3,0,0,'Données projet'!$E$16+1,1))-AVERAGE(OFFSET($H$3,0,0,'Données projet'!$E$16+1,1))</f>
        <v>367.36535411813264</v>
      </c>
      <c r="FK203" s="59">
        <f t="shared" si="211"/>
        <v>293.19545174980556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8.1496112378142609</v>
      </c>
      <c r="FR203" s="21">
        <f>EXP(-LN(2)/25)*FR202+(1-EXP(-LN(2)/25))/(LN(2)/25)*Calculateur!FM203*Calculateur!FO203*VLOOKUP('Données projet'!$B$16,Paramètres!$A$1:$I$89,3,0)*0.475*44/12</f>
        <v>0.38855509325958737</v>
      </c>
      <c r="FS203" s="21">
        <f>EXP(-LN(2)/2)*FS202+(1-EXP(-LN(2)/2))/(LN(2)/2)*FM203*FP203*VLOOKUP('Données projet'!$B$16,Paramètres!$A$1:$I$89,3,0)*0.475*44/12</f>
        <v>1.8726639058574126E-26</v>
      </c>
      <c r="FT203" s="22">
        <f t="shared" si="184"/>
        <v>8.5381663310738478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669.99999999999989</v>
      </c>
      <c r="GA203" s="17">
        <f>FZ203*VLOOKUP('Données projet'!$B$17,Paramètres!$A$1:$I$89,3,0)*VLOOKUP('Données projet'!$B$17,Paramètres!$A$1:$I$89,5,0)</f>
        <v>322.26999999999992</v>
      </c>
      <c r="GB203" s="13">
        <f t="shared" si="185"/>
        <v>75.825476822885776</v>
      </c>
      <c r="GC203" s="20">
        <f t="shared" si="186"/>
        <v>693.34962213319261</v>
      </c>
      <c r="GD203" s="59">
        <f t="shared" si="200"/>
        <v>986.68295546652598</v>
      </c>
      <c r="GE203" s="59">
        <f ca="1">AVERAGE(OFFSET($GD$3,0,0,'Données projet'!$E$17+1,1))-AVERAGE(OFFSET($H$3,0,0,'Données projet'!$E$17+1,1))</f>
        <v>312.64506496298173</v>
      </c>
      <c r="GF203" s="59">
        <f t="shared" si="212"/>
        <v>259.97532509897508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10.520380883584</v>
      </c>
      <c r="GM203" s="21">
        <f>EXP(-LN(2)/25)*GM202+(1-EXP(-LN(2)/25))/(LN(2)/25)*Calculateur!GH203*Calculateur!GJ203*VLOOKUP('Données projet'!$B$17,Paramètres!$A$1:$I$89,3,0)*0.475*44/12</f>
        <v>0.17567372922421198</v>
      </c>
      <c r="GN203" s="21">
        <f>EXP(-LN(2)/2)*GN202+(1-EXP(-LN(2)/2))/(LN(2)/2)*GH203*GK203*VLOOKUP('Données projet'!$B$17,Paramètres!$A$1:$I$89,3,0)*0.475*44/12</f>
        <v>9.9544205873691066E-26</v>
      </c>
      <c r="GO203" s="21">
        <f t="shared" si="187"/>
        <v>10.696054612808211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267</v>
      </c>
      <c r="GV203" s="17">
        <f>GU203*VLOOKUP('Données projet'!$B$18,Paramètres!$A$1:$I$89,3,0)*VLOOKUP('Données projet'!$B$18,Paramètres!$A$1:$I$89,5,0)</f>
        <v>270.738</v>
      </c>
      <c r="GW203" s="13">
        <f t="shared" si="188"/>
        <v>65.005866623551711</v>
      </c>
      <c r="GX203" s="20">
        <f t="shared" si="189"/>
        <v>584.7539010360191</v>
      </c>
      <c r="GY203" s="59">
        <f t="shared" si="201"/>
        <v>878.08723436935247</v>
      </c>
      <c r="GZ203" s="59">
        <f ca="1">AVERAGE(OFFSET($GY$3,0,0,'Données projet'!$E$18+1,1))-AVERAGE(OFFSET($H$3,0,0,'Données projet'!$E$18+1,1))</f>
        <v>308.80022073574963</v>
      </c>
      <c r="HA203" s="59">
        <f t="shared" si="213"/>
        <v>183.96267407004115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15.734628163115742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15.734628163115742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1.1457367676485573</v>
      </c>
      <c r="BA205" s="81">
        <f>EXP(LN('Données projet'!B88)/'Données projet'!A88)</f>
        <v>1.2709816152101407</v>
      </c>
      <c r="BV205" s="81">
        <f>EXP(LN('Données projet'!B114)/'Données projet'!A114)</f>
        <v>1.2721747796233518</v>
      </c>
      <c r="CQ205" s="81">
        <f>EXP(LN('Données projet'!B140)/'Données projet'!A140)</f>
        <v>1.1577536725165907</v>
      </c>
      <c r="DL205" s="81">
        <f>EXP(LN('Données projet'!B166)/'Données projet'!A166)</f>
        <v>1.2599210498948732</v>
      </c>
      <c r="EG205" s="81">
        <f>EXP(LN('Données projet'!B192)/'Données projet'!A192)</f>
        <v>1.3093577517960842</v>
      </c>
      <c r="FB205" s="81">
        <f>EXP(LN('Données projet'!B218)/'Données projet'!A218)</f>
        <v>1.2788040393997409</v>
      </c>
      <c r="FW205" s="81">
        <f>EXP(LN('Données projet'!B244)/'Données projet'!A244)</f>
        <v>1.2563584400948855</v>
      </c>
      <c r="GR205" s="81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C11" sqref="C11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2.7</v>
      </c>
      <c r="C6" s="145">
        <f ca="1">IF(OR('Données projet'!B9="",'Données projet'!C9="",'Données projet'!C9=0%),0,Calculateur!S3)</f>
        <v>344.49457749226184</v>
      </c>
      <c r="D6" s="145">
        <f>IF(OR('Données projet'!B9="",'Données projet'!C9="",'Données projet'!C9=0%),0,Calculateur!T3)</f>
        <v>207.92972431357452</v>
      </c>
      <c r="E6" s="145">
        <f ca="1">MIN(C6,D6)</f>
        <v>207.92972431357452</v>
      </c>
      <c r="F6" s="145">
        <f ca="1">E6*B6</f>
        <v>561.41025564665131</v>
      </c>
      <c r="G6" s="145">
        <f ca="1">F6*(100%-'Données projet'!$C$24)*(100%-'Données projet'!$C$25)*(100%-'Données projet'!$C$26)*(100%-'Données projet'!$C$27)</f>
        <v>505.26923008198617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41.85</v>
      </c>
      <c r="K6" s="149">
        <f>J6*(100%-'Données projet'!$C$24)*(100%-'Données projet'!$C$25)*(100%-'Données projet'!$C$26)*(100%-'Données projet'!$C$27)</f>
        <v>37.664999999999999</v>
      </c>
      <c r="L6" s="150">
        <f ca="1">G6+I6+K6</f>
        <v>542.93423008198613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3</v>
      </c>
      <c r="C7" s="145">
        <f ca="1">IF(OR('Données projet'!B10="",'Données projet'!C10="",'Données projet'!C10=0%),0,Calculateur!AN3)</f>
        <v>183.0147113277086</v>
      </c>
      <c r="D7" s="145">
        <f>IF(OR('Données projet'!B10="",'Données projet'!C10="",'Données projet'!C10=0%),0,Calculateur!AO3)</f>
        <v>76.413905647258389</v>
      </c>
      <c r="E7" s="145">
        <f t="shared" ref="E7:E15" ca="1" si="0">MIN(C7,D7)</f>
        <v>76.413905647258389</v>
      </c>
      <c r="F7" s="145">
        <f t="shared" ref="F7:F15" ca="1" si="1">E7*B7</f>
        <v>229.24171694177517</v>
      </c>
      <c r="G7" s="145">
        <f ca="1">F7*(100%-'Données projet'!$C$24)*(100%-'Données projet'!$C$25)*(100%-'Données projet'!$C$26)*(100%-'Données projet'!$C$27)</f>
        <v>206.31754524759765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206.31754524759765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plane</v>
      </c>
      <c r="B8" s="152">
        <f>'Données projet'!D11</f>
        <v>1.8</v>
      </c>
      <c r="C8" s="145">
        <f ca="1">IF(OR('Données projet'!B11="",'Données projet'!C11="",'Données projet'!C11=0%),0,Calculateur!BI3)</f>
        <v>279.49721661620544</v>
      </c>
      <c r="D8" s="145">
        <f>IF(OR('Données projet'!B11="",'Données projet'!C11="",'Données projet'!C11=0%),0,Calculateur!BJ3)</f>
        <v>275.18739333988754</v>
      </c>
      <c r="E8" s="145">
        <f t="shared" ca="1" si="0"/>
        <v>275.18739333988754</v>
      </c>
      <c r="F8" s="145">
        <f t="shared" ca="1" si="1"/>
        <v>495.33730801179757</v>
      </c>
      <c r="G8" s="145">
        <f ca="1">F8*(100%-'Données projet'!$C$24)*(100%-'Données projet'!$C$25)*(100%-'Données projet'!$C$26)*(100%-'Données projet'!$C$27)</f>
        <v>445.80357721061785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61.65</v>
      </c>
      <c r="K8" s="149">
        <f>J8*(100%-'Données projet'!$C$24)*(100%-'Données projet'!$C$25)*(100%-'Données projet'!$C$26)*(100%-'Données projet'!$C$27)</f>
        <v>55.484999999999999</v>
      </c>
      <c r="L8" s="150">
        <f t="shared" ca="1" si="2"/>
        <v>501.28857721061786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1.6</v>
      </c>
      <c r="C9" s="145">
        <f ca="1">IF(OR('Données projet'!B12="",'Données projet'!C12="",'Données projet'!C12=0%),0,Calculateur!CD3)</f>
        <v>225.2323446080772</v>
      </c>
      <c r="D9" s="145">
        <f>IF(OR('Données projet'!B12="",'Données projet'!C12="",'Données projet'!C12=0%),0,Calculateur!CE3)</f>
        <v>222.29030402759292</v>
      </c>
      <c r="E9" s="145">
        <f t="shared" ca="1" si="0"/>
        <v>222.29030402759292</v>
      </c>
      <c r="F9" s="145">
        <f t="shared" ca="1" si="1"/>
        <v>355.66448644414868</v>
      </c>
      <c r="G9" s="145">
        <f ca="1">F9*(100%-'Données projet'!$C$24)*(100%-'Données projet'!$C$25)*(100%-'Données projet'!$C$26)*(100%-'Données projet'!$C$27)</f>
        <v>320.09803779973385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39.6</v>
      </c>
      <c r="K9" s="149">
        <f>J9*(100%-'Données projet'!$C$24)*(100%-'Données projet'!$C$25)*(100%-'Données projet'!$C$26)*(100%-'Données projet'!$C$27)</f>
        <v>35.64</v>
      </c>
      <c r="L9" s="150">
        <f t="shared" ca="1" si="2"/>
        <v>355.73803779973383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Cormier</v>
      </c>
      <c r="B10" s="152">
        <f>'Données projet'!D13</f>
        <v>2</v>
      </c>
      <c r="C10" s="145">
        <f ca="1">IF(OR('Données projet'!B13="",'Données projet'!C13="",'Données projet'!C13=0%),0,Calculateur!CY3)</f>
        <v>240.57184010337932</v>
      </c>
      <c r="D10" s="145">
        <f>IF(OR('Données projet'!B13="",'Données projet'!C13="",'Données projet'!C13=0%),0,Calculateur!CZ3)</f>
        <v>236.36473521227072</v>
      </c>
      <c r="E10" s="145">
        <f t="shared" ca="1" si="0"/>
        <v>236.36473521227072</v>
      </c>
      <c r="F10" s="145">
        <f t="shared" ca="1" si="1"/>
        <v>472.72947042454143</v>
      </c>
      <c r="G10" s="145">
        <f ca="1">F10*(100%-'Données projet'!$C$24)*(100%-'Données projet'!$C$25)*(100%-'Données projet'!$C$26)*(100%-'Données projet'!$C$27)</f>
        <v>425.45652338208731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31.5</v>
      </c>
      <c r="K10" s="149">
        <f>J10*(100%-'Données projet'!$C$24)*(100%-'Données projet'!$C$25)*(100%-'Données projet'!$C$26)*(100%-'Données projet'!$C$27)</f>
        <v>28.35</v>
      </c>
      <c r="L10" s="150">
        <f t="shared" ca="1" si="2"/>
        <v>453.80652338208733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Cèdre de l'Atlas</v>
      </c>
      <c r="B11" s="152">
        <f>'Données projet'!D14</f>
        <v>12.2</v>
      </c>
      <c r="C11" s="145">
        <f ca="1">IF(OR('Données projet'!B14="",'Données projet'!C14="",'Données projet'!C14=0%),0,Calculateur!DT3)</f>
        <v>304.29617570272939</v>
      </c>
      <c r="D11" s="145">
        <f>IF(OR('Données projet'!B14="",'Données projet'!C14="",'Données projet'!C14=0%),0,Calculateur!DU3)</f>
        <v>246.20695736161576</v>
      </c>
      <c r="E11" s="145">
        <f t="shared" ca="1" si="0"/>
        <v>246.20695736161576</v>
      </c>
      <c r="F11" s="145">
        <f t="shared" ca="1" si="1"/>
        <v>3003.7248798117121</v>
      </c>
      <c r="G11" s="145">
        <f ca="1">F11*(100%-'Données projet'!$C$24)*(100%-'Données projet'!$C$25)*(100%-'Données projet'!$C$26)*(100%-'Données projet'!$C$27)</f>
        <v>2703.3523918305409</v>
      </c>
      <c r="H11" s="153">
        <f>IF(OR('Données projet'!B14="",'Données projet'!C14="",'Données projet'!C14=0%),0,AVERAGE(Calculateur!$ED$3:$ED$33)*B11)</f>
        <v>33.661067679335517</v>
      </c>
      <c r="I11" s="147">
        <f>H11*(100%-'Données projet'!$C$24)*(100%-'Données projet'!$C$25)*(100%-'Données projet'!$C$26)*(100%-'Données projet'!$C$27)</f>
        <v>30.294960911401965</v>
      </c>
      <c r="J11" s="148">
        <f>IF(OR('Données projet'!B14="",'Données projet'!C14="",'Données projet'!C14=0%),0,SUM(Calculateur!$DW$3:$DW$33)*VLOOKUP('Données projet'!$B$14,Paramètres!$A$1:$I$89,9,0)*B11)</f>
        <v>514.10799999999995</v>
      </c>
      <c r="K11" s="149">
        <f>J11*(100%-'Données projet'!$C$24)*(100%-'Données projet'!$C$25)*(100%-'Données projet'!$C$26)*(100%-'Données projet'!$C$27)</f>
        <v>462.69719999999995</v>
      </c>
      <c r="L11" s="150">
        <f t="shared" ca="1" si="2"/>
        <v>3196.3445527419431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Pin laricio</v>
      </c>
      <c r="B12" s="152">
        <f>'Données projet'!D15</f>
        <v>4.6000000000000005</v>
      </c>
      <c r="C12" s="145">
        <f ca="1">IF(OR('Données projet'!B15="",'Données projet'!C15="",'Données projet'!C15=0%),0,Calculateur!EO3)</f>
        <v>288.41846134875794</v>
      </c>
      <c r="D12" s="145">
        <f>IF(OR('Données projet'!B15="",'Données projet'!C15="",'Données projet'!C15=0%),0,Calculateur!EP3)</f>
        <v>248.93951719818972</v>
      </c>
      <c r="E12" s="145">
        <f t="shared" ca="1" si="0"/>
        <v>248.93951719818972</v>
      </c>
      <c r="F12" s="145">
        <f t="shared" ca="1" si="1"/>
        <v>1145.1217791116728</v>
      </c>
      <c r="G12" s="145">
        <f ca="1">F12*(100%-'Données projet'!$C$24)*(100%-'Données projet'!$C$25)*(100%-'Données projet'!$C$26)*(100%-'Données projet'!$C$27)</f>
        <v>1030.6096012005055</v>
      </c>
      <c r="H12" s="153">
        <f>IF(OR('Données projet'!B15="",'Données projet'!C15="",'Données projet'!C15=0%),0,AVERAGE(Calculateur!$EY$3:$EY$33)*B12)</f>
        <v>22.350864537510486</v>
      </c>
      <c r="I12" s="147">
        <f>H12*(100%-'Données projet'!$C$24)*(100%-'Données projet'!$C$25)*(100%-'Données projet'!$C$26)*(100%-'Données projet'!$C$27)</f>
        <v>20.115778083759437</v>
      </c>
      <c r="J12" s="148">
        <f>IF(OR('Données projet'!B15="",'Données projet'!C15="",'Données projet'!C15=0%),0,SUM(Calculateur!$ER$3:$ER$33)*VLOOKUP('Données projet'!$B$15,Paramètres!$A$1:$I$89,9,0)*B12)</f>
        <v>211.64600000000002</v>
      </c>
      <c r="K12" s="149">
        <f>J12*(100%-'Données projet'!$C$24)*(100%-'Données projet'!$C$25)*(100%-'Données projet'!$C$26)*(100%-'Données projet'!$C$27)</f>
        <v>190.48140000000001</v>
      </c>
      <c r="L12" s="150">
        <f t="shared" ca="1" si="2"/>
        <v>1241.2067792842649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Séquoia géant</v>
      </c>
      <c r="B13" s="152">
        <f>'Données projet'!D16</f>
        <v>4.6000000000000005</v>
      </c>
      <c r="C13" s="145">
        <f ca="1">IF(OR('Données projet'!B16="",'Données projet'!C16="",'Données projet'!C16=0%),0,Calculateur!FJ3)</f>
        <v>367.36535411813264</v>
      </c>
      <c r="D13" s="145">
        <f>IF(OR('Données projet'!B16="",'Données projet'!C16="",'Données projet'!C16=0%),0,Calculateur!FK3)</f>
        <v>293.19545174980556</v>
      </c>
      <c r="E13" s="145">
        <f t="shared" ca="1" si="0"/>
        <v>293.19545174980556</v>
      </c>
      <c r="F13" s="145">
        <f t="shared" ca="1" si="1"/>
        <v>1348.6990780491058</v>
      </c>
      <c r="G13" s="145">
        <f ca="1">F13*(100%-'Données projet'!$C$24)*(100%-'Données projet'!$C$25)*(100%-'Données projet'!$C$26)*(100%-'Données projet'!$C$27)</f>
        <v>1213.8291702441952</v>
      </c>
      <c r="H13" s="153">
        <f>IF(OR('Données projet'!B16="",'Données projet'!C16="",'Données projet'!C16=0%),0,AVERAGE(Calculateur!$FT$3:$FT$33)*B13)</f>
        <v>34.169394718593701</v>
      </c>
      <c r="I13" s="147">
        <f>H13*(100%-'Données projet'!$C$24)*(100%-'Données projet'!$C$25)*(100%-'Données projet'!$C$26)*(100%-'Données projet'!$C$27)</f>
        <v>30.752455246734332</v>
      </c>
      <c r="J13" s="148">
        <f>IF(OR('Données projet'!C16="",'Données projet'!C16=0%),0,SUM(Calculateur!$FM$3:$FM$33)*VLOOKUP('Données projet'!$B$16,Paramètres!$A$1:$I$89,9,0)*B13)</f>
        <v>365.93</v>
      </c>
      <c r="K13" s="149">
        <f>J13*(100%-'Données projet'!$C$24)*(100%-'Données projet'!$C$25)*(100%-'Données projet'!$C$26)*(100%-'Données projet'!$C$27)</f>
        <v>329.33699999999999</v>
      </c>
      <c r="L13" s="150">
        <f t="shared" ca="1" si="2"/>
        <v>1573.9186254909296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Sapin méditerranéen</v>
      </c>
      <c r="B14" s="152">
        <f>'Données projet'!D17</f>
        <v>3</v>
      </c>
      <c r="C14" s="145">
        <f ca="1">IF(OR('Données projet'!B17="",'Données projet'!C17="",'Données projet'!C17=0%),0,Calculateur!GE3)</f>
        <v>312.64506496298173</v>
      </c>
      <c r="D14" s="145">
        <f>IF(OR('Données projet'!B17="",'Données projet'!C17="",'Données projet'!C17=0%),0,Calculateur!GF3)</f>
        <v>259.97532509897508</v>
      </c>
      <c r="E14" s="145">
        <f t="shared" ca="1" si="0"/>
        <v>259.97532509897508</v>
      </c>
      <c r="F14" s="145">
        <f t="shared" ca="1" si="1"/>
        <v>779.92597529692523</v>
      </c>
      <c r="G14" s="145">
        <f ca="1">F14*(100%-'Données projet'!$C$24)*(100%-'Données projet'!$C$25)*(100%-'Données projet'!$C$26)*(100%-'Données projet'!$C$27)</f>
        <v>701.93337776723274</v>
      </c>
      <c r="H14" s="153">
        <f>IF(OR('Données projet'!B17="",'Données projet'!C17="",'Données projet'!C17=0%),0,AVERAGE(Calculateur!$GO$3:$GO$33)*B14)</f>
        <v>8.1923397708377053</v>
      </c>
      <c r="I14" s="147">
        <f>H14*(100%-'Données projet'!$C$24)*(100%-'Données projet'!$C$25)*(100%-'Données projet'!$C$26)*(100%-'Données projet'!$C$27)</f>
        <v>7.3731057937539353</v>
      </c>
      <c r="J14" s="148">
        <f>IF(OR('Données projet'!B17="",'Données projet'!C17="",'Données projet'!C17=0%),0,SUM(Calculateur!$GH$3:$GH$33)*VLOOKUP('Données projet'!$B$17,Paramètres!$A$1:$I$89,9,0)*B14)</f>
        <v>123.84</v>
      </c>
      <c r="K14" s="149">
        <f>J14*(100%-'Données projet'!$C$24)*(100%-'Données projet'!$C$25)*(100%-'Données projet'!$C$26)*(100%-'Données projet'!$C$27)</f>
        <v>111.456</v>
      </c>
      <c r="L14" s="150">
        <f t="shared" ca="1" si="2"/>
        <v>820.76248356098665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Chêne pubescent</v>
      </c>
      <c r="B15" s="155">
        <f>'Données projet'!D18</f>
        <v>0.4</v>
      </c>
      <c r="C15" s="156">
        <f ca="1">IF(OR('Données projet'!B18="",'Données projet'!C18="",'Données projet'!C18=0%),0,Calculateur!GZ3)</f>
        <v>308.80022073574963</v>
      </c>
      <c r="D15" s="156">
        <f>IF(OR('Données projet'!B18="",'Données projet'!C18="",'Données projet'!C18=0%),0,Calculateur!HA3)</f>
        <v>183.96267407004115</v>
      </c>
      <c r="E15" s="156">
        <f t="shared" ca="1" si="0"/>
        <v>183.96267407004115</v>
      </c>
      <c r="F15" s="157">
        <f t="shared" ca="1" si="1"/>
        <v>73.585069628016456</v>
      </c>
      <c r="G15" s="157">
        <f ca="1">F15*(100%-'Données projet'!$C$24)*(100%-'Données projet'!$C$25)*(100%-'Données projet'!$C$26)*(100%-'Données projet'!$C$27)</f>
        <v>66.226562665214814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2.9000000000000004</v>
      </c>
      <c r="K15" s="161">
        <f>J15*(100%-'Données projet'!$C$24)*(100%-'Données projet'!$C$25)*(100%-'Données projet'!$C$26)*(100%-'Données projet'!$C$27)</f>
        <v>2.6100000000000003</v>
      </c>
      <c r="L15" s="162">
        <f t="shared" ca="1" si="2"/>
        <v>68.836562665214814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8465.440019366346</v>
      </c>
      <c r="G16" s="164">
        <f t="shared" ca="1" si="3"/>
        <v>7618.8960174297117</v>
      </c>
      <c r="H16" s="165">
        <f t="shared" si="3"/>
        <v>98.373666706277405</v>
      </c>
      <c r="I16" s="165">
        <f t="shared" si="3"/>
        <v>88.536300035649674</v>
      </c>
      <c r="J16" s="166">
        <f t="shared" si="3"/>
        <v>1393.0240000000001</v>
      </c>
      <c r="K16" s="166">
        <f t="shared" si="3"/>
        <v>1253.7215999999999</v>
      </c>
      <c r="L16" s="167">
        <f t="shared" ca="1" si="3"/>
        <v>8961.153917465359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plane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Séquoia géant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Sapin méditerranéen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Chêne pubescent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3" zoomScale="70" zoomScaleNormal="7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-3898.0052855107151</v>
      </c>
      <c r="U10" s="176">
        <f>'Données projet'!D9</f>
        <v>2.7</v>
      </c>
      <c r="V10" s="175">
        <f>U10*T10</f>
        <v>-10524.614270878932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-4200.43</v>
      </c>
      <c r="U11" s="176">
        <f>'Données projet'!D10</f>
        <v>3</v>
      </c>
      <c r="V11" s="175">
        <f t="shared" ref="V11" si="0">U11*T11</f>
        <v>-12601.29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plane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-4257.9781149569344</v>
      </c>
      <c r="U12" s="176">
        <f>'Données projet'!D11</f>
        <v>1.8</v>
      </c>
      <c r="V12" s="175">
        <f t="shared" ref="V12:V19" si="1">U12*T12</f>
        <v>-7664.3606069224825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-3186.5210422937544</v>
      </c>
      <c r="U13" s="176">
        <f>'Données projet'!D12</f>
        <v>1.6</v>
      </c>
      <c r="V13" s="175">
        <f t="shared" si="1"/>
        <v>-5098.4336676700077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Cormier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-4761.6323563611022</v>
      </c>
      <c r="U14" s="176">
        <f>'Données projet'!D13</f>
        <v>2</v>
      </c>
      <c r="V14" s="175">
        <f t="shared" si="1"/>
        <v>-9523.2647127222044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7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Cèdre de l'Atlas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-4166.9597110670202</v>
      </c>
      <c r="U15" s="176">
        <f>'Données projet'!D14</f>
        <v>12.2</v>
      </c>
      <c r="V15" s="175">
        <f t="shared" si="1"/>
        <v>-50836.908475017641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7"/>
      <c r="H16" s="188"/>
      <c r="I16" s="189"/>
      <c r="J16" s="200"/>
      <c r="K16" s="206"/>
      <c r="L16" s="294" t="s">
        <v>254</v>
      </c>
      <c r="M16" s="295"/>
      <c r="N16" s="2">
        <v>55</v>
      </c>
      <c r="O16" s="23"/>
      <c r="P16" s="23"/>
      <c r="Q16" s="232"/>
      <c r="R16" s="23"/>
      <c r="S16" s="36" t="str">
        <f>B200</f>
        <v>Pin laricio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-1921.6379277323099</v>
      </c>
      <c r="U16" s="176">
        <f>'Données projet'!D15</f>
        <v>4.6000000000000005</v>
      </c>
      <c r="V16" s="175">
        <f t="shared" si="1"/>
        <v>-8839.5344675686265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4187.21</v>
      </c>
      <c r="F17" s="228"/>
      <c r="G17" s="297"/>
      <c r="J17" s="200"/>
      <c r="K17" s="206"/>
      <c r="L17" s="267" t="s">
        <v>289</v>
      </c>
      <c r="M17" s="269"/>
      <c r="N17" s="173">
        <f>VLOOKUP(N16,Calculateur!$A$2:$H$153,3,0)/VLOOKUP('Scénario référence'!$G$15,Paramètres!A1:I89,3,0)/VLOOKUP('Scénario référence'!$G$15,Paramètres!A1:I89,5,0)</f>
        <v>55.000000000000064</v>
      </c>
      <c r="O17" s="23"/>
      <c r="P17" s="23"/>
      <c r="Q17" s="232"/>
      <c r="R17" s="23"/>
      <c r="S17" s="36" t="str">
        <f>B231</f>
        <v>Séquoia géant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-4263.6389269187248</v>
      </c>
      <c r="U17" s="176">
        <f>'Données projet'!D16</f>
        <v>4.6000000000000005</v>
      </c>
      <c r="V17" s="175">
        <f t="shared" si="1"/>
        <v>-19612.739063826135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7"/>
      <c r="J18" s="200"/>
      <c r="K18" s="206"/>
      <c r="L18" s="267" t="s">
        <v>255</v>
      </c>
      <c r="M18" s="269"/>
      <c r="N18" s="190">
        <v>15</v>
      </c>
      <c r="O18" s="23"/>
      <c r="P18" s="23"/>
      <c r="Q18" s="232"/>
      <c r="R18" s="23"/>
      <c r="S18" s="36" t="str">
        <f>B262</f>
        <v>Sapin méditerranéen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-2550.0116289673588</v>
      </c>
      <c r="U18" s="176">
        <f>'Données projet'!D17</f>
        <v>3</v>
      </c>
      <c r="V18" s="175">
        <f t="shared" si="1"/>
        <v>-7650.0348869020763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7"/>
      <c r="H19" s="210" t="s">
        <v>178</v>
      </c>
      <c r="I19" s="210" t="s">
        <v>287</v>
      </c>
      <c r="J19" s="91"/>
      <c r="K19" s="171"/>
      <c r="L19" s="294" t="s">
        <v>288</v>
      </c>
      <c r="M19" s="295"/>
      <c r="N19" s="177">
        <f>N17*N18</f>
        <v>825.00000000000091</v>
      </c>
      <c r="O19" s="23"/>
      <c r="P19" s="4"/>
      <c r="Q19" s="233"/>
      <c r="R19" s="4"/>
      <c r="S19" s="36" t="str">
        <f>B293</f>
        <v>Chêne pubescent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0.4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7"/>
      <c r="H20" s="188">
        <v>0</v>
      </c>
      <c r="I20" s="189">
        <v>7173.14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/>
      <c r="K23" s="206"/>
      <c r="L23" s="296" t="s">
        <v>260</v>
      </c>
      <c r="M23" s="296"/>
      <c r="N23" s="296"/>
      <c r="O23" s="23"/>
      <c r="P23" s="23"/>
      <c r="Q23" s="232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-389866.9061515081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2631.1912881940693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28</v>
      </c>
      <c r="C25" s="191">
        <v>15</v>
      </c>
      <c r="D25" s="180">
        <f t="shared" si="2"/>
        <v>420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1">
        <f ca="1">T23-T24</f>
        <v>-392498.09743970219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8" t="s">
        <v>258</v>
      </c>
      <c r="M26" s="299"/>
      <c r="N26" s="299"/>
      <c r="O26" s="299"/>
      <c r="P26" s="300"/>
      <c r="Q26" s="232"/>
      <c r="R26" s="23"/>
      <c r="S26" s="184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1"/>
      <c r="M27" s="302"/>
      <c r="N27" s="302"/>
      <c r="O27" s="302"/>
      <c r="P27" s="303"/>
      <c r="Q27" s="232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4200.43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25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30</v>
      </c>
      <c r="B55" s="179">
        <f>'Données projet'!D63</f>
        <v>0</v>
      </c>
      <c r="C55" s="189">
        <v>15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35</v>
      </c>
      <c r="B56" s="179">
        <f>'Données projet'!D64</f>
        <v>13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40</v>
      </c>
      <c r="B57" s="179">
        <f>'Données projet'!D65</f>
        <v>14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45</v>
      </c>
      <c r="B58" s="179">
        <f>'Données projet'!D66</f>
        <v>14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50</v>
      </c>
      <c r="B59" s="179">
        <f>'Données projet'!D67</f>
        <v>14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55</v>
      </c>
      <c r="B60" s="179">
        <f>'Données projet'!D68</f>
        <v>14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60</v>
      </c>
      <c r="B61" s="179">
        <f>'Données projet'!D69</f>
        <v>14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65</v>
      </c>
      <c r="B62" s="179">
        <f>'Données projet'!D70</f>
        <v>14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70</v>
      </c>
      <c r="B63" s="179">
        <f>'Données projet'!D71</f>
        <v>14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75</v>
      </c>
      <c r="B64" s="179">
        <f>'Données projet'!D72</f>
        <v>14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80</v>
      </c>
      <c r="B65" s="179">
        <f>'Données projet'!D73</f>
        <v>14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85</v>
      </c>
      <c r="B66" s="179">
        <f>'Données projet'!D74</f>
        <v>14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90</v>
      </c>
      <c r="B67" s="179">
        <f>'Données projet'!D75</f>
        <v>14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95</v>
      </c>
      <c r="B68" s="179">
        <f>'Données projet'!D76</f>
        <v>14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100</v>
      </c>
      <c r="B69" s="179">
        <f>'Données projet'!D77</f>
        <v>14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105</v>
      </c>
      <c r="B70" s="179">
        <f>'Données projet'!D78</f>
        <v>14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110</v>
      </c>
      <c r="B71" s="179">
        <f>'Données projet'!D79</f>
        <v>13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115</v>
      </c>
      <c r="B72" s="179">
        <f>'Données projet'!D80</f>
        <v>13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120</v>
      </c>
      <c r="B73" s="179">
        <f>'Données projet'!D81</f>
        <v>12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plane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5038.55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>
        <v>15</v>
      </c>
      <c r="D89" s="177">
        <f t="shared" si="6"/>
        <v>525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3728.82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15</v>
      </c>
      <c r="D116" s="177">
        <f>B116*C116</f>
        <v>225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15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15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15</v>
      </c>
      <c r="D119" s="177">
        <f t="shared" si="8"/>
        <v>420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Cormier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5081.16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21</v>
      </c>
      <c r="C148" s="189">
        <v>15</v>
      </c>
      <c r="D148" s="180">
        <f t="shared" ref="D148:D166" si="10">B148*C148</f>
        <v>315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21</v>
      </c>
      <c r="C149" s="189">
        <v>15</v>
      </c>
      <c r="D149" s="180">
        <f t="shared" si="10"/>
        <v>315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21</v>
      </c>
      <c r="C150" s="189">
        <v>15</v>
      </c>
      <c r="D150" s="180">
        <f t="shared" si="10"/>
        <v>315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21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21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18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13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11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9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8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8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7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6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Cèdre de l'Atlas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4600.8599999999997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42</v>
      </c>
      <c r="C180" s="191">
        <v>15</v>
      </c>
      <c r="D180" s="177">
        <f t="shared" si="11"/>
        <v>630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30</v>
      </c>
      <c r="B181" s="179">
        <f>'Données projet'!D169</f>
        <v>56</v>
      </c>
      <c r="C181" s="191">
        <v>15</v>
      </c>
      <c r="D181" s="177">
        <f t="shared" si="11"/>
        <v>840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35</v>
      </c>
      <c r="B182" s="179">
        <f>'Données projet'!D170</f>
        <v>56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40</v>
      </c>
      <c r="B183" s="179">
        <f>'Données projet'!D171</f>
        <v>56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45</v>
      </c>
      <c r="B184" s="179">
        <f>'Données projet'!D172</f>
        <v>56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50</v>
      </c>
      <c r="B185" s="179">
        <f>'Données projet'!D173</f>
        <v>56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55</v>
      </c>
      <c r="B186" s="179">
        <f>'Données projet'!D174</f>
        <v>56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60</v>
      </c>
      <c r="B187" s="179">
        <f>'Données projet'!D175</f>
        <v>50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65</v>
      </c>
      <c r="B188" s="179">
        <f>'Données projet'!D176</f>
        <v>44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70</v>
      </c>
      <c r="B189" s="179">
        <f>'Données projet'!D177</f>
        <v>41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75</v>
      </c>
      <c r="B190" s="179">
        <f>'Données projet'!D178</f>
        <v>39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80</v>
      </c>
      <c r="B191" s="179">
        <f>'Données projet'!D179</f>
        <v>37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Pin laricio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2442.52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23</v>
      </c>
      <c r="C210" s="191">
        <v>15</v>
      </c>
      <c r="D210" s="177">
        <f t="shared" ref="D210:D228" si="12">B210*C210</f>
        <v>345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42</v>
      </c>
      <c r="C211" s="191">
        <v>15</v>
      </c>
      <c r="D211" s="177">
        <f t="shared" si="12"/>
        <v>630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42</v>
      </c>
      <c r="C212" s="191">
        <v>15</v>
      </c>
      <c r="D212" s="177">
        <f t="shared" si="12"/>
        <v>630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42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42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42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40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34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30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26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24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22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22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Séquoia géant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5173.24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15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20</v>
      </c>
      <c r="B241" s="179">
        <f>'Données projet'!D219</f>
        <v>45</v>
      </c>
      <c r="C241" s="191">
        <v>15</v>
      </c>
      <c r="D241" s="177">
        <f t="shared" ref="D241:D259" si="13">B241*C241</f>
        <v>675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25</v>
      </c>
      <c r="B242" s="179">
        <f>'Données projet'!D220</f>
        <v>70</v>
      </c>
      <c r="C242" s="191">
        <v>15</v>
      </c>
      <c r="D242" s="177">
        <f t="shared" si="13"/>
        <v>1050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30</v>
      </c>
      <c r="B243" s="179">
        <f>'Données projet'!D221</f>
        <v>70</v>
      </c>
      <c r="C243" s="191">
        <v>15</v>
      </c>
      <c r="D243" s="177">
        <f t="shared" si="13"/>
        <v>1050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35</v>
      </c>
      <c r="B244" s="179">
        <f>'Données projet'!D222</f>
        <v>70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40</v>
      </c>
      <c r="B245" s="179">
        <f>'Données projet'!D223</f>
        <v>70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45</v>
      </c>
      <c r="B246" s="179">
        <f>'Données projet'!D224</f>
        <v>60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50</v>
      </c>
      <c r="B247" s="179">
        <f>'Données projet'!D225</f>
        <v>51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55</v>
      </c>
      <c r="B248" s="179">
        <f>'Données projet'!D226</f>
        <v>44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60</v>
      </c>
      <c r="B249" s="179">
        <f>'Données projet'!D227</f>
        <v>39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65</v>
      </c>
      <c r="B250" s="179">
        <f>'Données projet'!D228</f>
        <v>34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70</v>
      </c>
      <c r="B251" s="179">
        <f>'Données projet'!D229</f>
        <v>29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75</v>
      </c>
      <c r="B252" s="179">
        <f>'Données projet'!D230</f>
        <v>25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80</v>
      </c>
      <c r="B253" s="179">
        <f>'Données projet'!D231</f>
        <v>21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Sapin méditerranéen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2973.93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20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25</v>
      </c>
      <c r="B272" s="179">
        <f>'Données projet'!D245</f>
        <v>40</v>
      </c>
      <c r="C272" s="191">
        <v>15</v>
      </c>
      <c r="D272" s="177">
        <f t="shared" ref="D272:D290" si="14">B272*C272</f>
        <v>600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30</v>
      </c>
      <c r="B273" s="179">
        <f>'Données projet'!D246</f>
        <v>56</v>
      </c>
      <c r="C273" s="191">
        <v>15</v>
      </c>
      <c r="D273" s="177">
        <f t="shared" si="14"/>
        <v>840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35</v>
      </c>
      <c r="B274" s="179">
        <f>'Données projet'!D247</f>
        <v>56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40</v>
      </c>
      <c r="B275" s="179">
        <f>'Données projet'!D248</f>
        <v>56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45</v>
      </c>
      <c r="B276" s="179">
        <f>'Données projet'!D249</f>
        <v>56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50</v>
      </c>
      <c r="B277" s="179">
        <f>'Données projet'!D250</f>
        <v>56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55</v>
      </c>
      <c r="B278" s="179">
        <f>'Données projet'!D251</f>
        <v>56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60</v>
      </c>
      <c r="B279" s="179">
        <f>'Données projet'!D252</f>
        <v>50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65</v>
      </c>
      <c r="B280" s="179">
        <f>'Données projet'!D253</f>
        <v>45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70</v>
      </c>
      <c r="B281" s="179">
        <f>'Données projet'!D254</f>
        <v>43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75</v>
      </c>
      <c r="B282" s="179">
        <f>'Données projet'!D255</f>
        <v>42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80</v>
      </c>
      <c r="B283" s="179">
        <f>'Données projet'!D256</f>
        <v>41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Chêne pubescent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20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25</v>
      </c>
      <c r="B303" s="179">
        <f>'Données projet'!D271</f>
        <v>8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30</v>
      </c>
      <c r="B304" s="179">
        <f>'Données projet'!D272</f>
        <v>21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35</v>
      </c>
      <c r="B305" s="179">
        <f>'Données projet'!D273</f>
        <v>21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40</v>
      </c>
      <c r="B306" s="179">
        <f>'Données projet'!D274</f>
        <v>21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45</v>
      </c>
      <c r="B307" s="179">
        <f>'Données projet'!D275</f>
        <v>21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50</v>
      </c>
      <c r="B308" s="179">
        <f>'Données projet'!D276</f>
        <v>21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55</v>
      </c>
      <c r="B309" s="179">
        <f>'Données projet'!D277</f>
        <v>21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60</v>
      </c>
      <c r="B310" s="179">
        <f>'Données projet'!D278</f>
        <v>21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65</v>
      </c>
      <c r="B311" s="179">
        <f>'Données projet'!D279</f>
        <v>21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70</v>
      </c>
      <c r="B312" s="179">
        <f>'Données projet'!D280</f>
        <v>21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75</v>
      </c>
      <c r="B313" s="179">
        <f>'Données projet'!D281</f>
        <v>21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80</v>
      </c>
      <c r="B314" s="179">
        <f>'Données projet'!D282</f>
        <v>21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85</v>
      </c>
      <c r="B315" s="179">
        <f>'Données projet'!D283</f>
        <v>21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90</v>
      </c>
      <c r="B316" s="179">
        <f>'Données projet'!D284</f>
        <v>21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95</v>
      </c>
      <c r="B317" s="179">
        <f>'Données projet'!D285</f>
        <v>21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100</v>
      </c>
      <c r="B318" s="179">
        <f>'Données projet'!D286</f>
        <v>21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105</v>
      </c>
      <c r="B319" s="179">
        <f>'Données projet'!D287</f>
        <v>20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110</v>
      </c>
      <c r="B320" s="179">
        <f>'Données projet'!D288</f>
        <v>19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115</v>
      </c>
      <c r="B321" s="179">
        <f>'Données projet'!D289</f>
        <v>18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2023-12-27T13:19:37Z</dcterms:modified>
</cp:coreProperties>
</file>