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codeName="ThisWorkbook"/>
  <mc:AlternateContent xmlns:mc="http://schemas.openxmlformats.org/markup-compatibility/2006">
    <mc:Choice Requires="x15">
      <x15ac:absPath xmlns:x15ac="http://schemas.microsoft.com/office/spreadsheetml/2010/11/ac" url="T:\FINANCEMENT PROJETS FORESTIERS\PROJETS\34_GF TOUR MATAGRIN 2 - LACROIX\Document LBC\"/>
    </mc:Choice>
  </mc:AlternateContent>
  <xr:revisionPtr revIDLastSave="0" documentId="13_ncr:1_{FBDE804C-F8EF-4AB1-A53D-B5F5587CE84F}" xr6:coauthVersionLast="36" xr6:coauthVersionMax="36" xr10:uidLastSave="{00000000-0000-0000-0000-000000000000}"/>
  <bookViews>
    <workbookView xWindow="0" yWindow="0" windowWidth="23040" windowHeight="9390" tabRatio="866" activeTab="5" xr2:uid="{00000000-000D-0000-FFFF-FFFF00000000}"/>
  </bookViews>
  <sheets>
    <sheet name="Accueil" sheetId="5" r:id="rId1"/>
    <sheet name="Données projet" sheetId="1" r:id="rId2"/>
    <sheet name="Calculateur" sheetId="2" state="hidden" r:id="rId3"/>
    <sheet name="Paramètres" sheetId="3" state="hidden" r:id="rId4"/>
    <sheet name="Scénario référence" sheetId="7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BR4" i="2"/>
  <c r="GL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FR5" i="2" l="1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X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HG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C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GI22" i="2"/>
  <c r="GJ22" i="2"/>
  <c r="ET22" i="2"/>
  <c r="EW22" i="2" s="1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EA22" i="2"/>
  <c r="EB22" i="2"/>
  <c r="HH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G24" i="2" l="1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EC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HG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EW38" i="2"/>
  <c r="EX38" i="2"/>
  <c r="HI38" i="2"/>
  <c r="EA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HI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HI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EB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EV85" i="2"/>
  <c r="EW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FQ95" i="2" s="1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B107" i="2"/>
  <c r="HG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EX113" i="2"/>
  <c r="HI113" i="2"/>
  <c r="EB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EA121" i="2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HH122" i="2"/>
  <c r="FS122" i="2"/>
  <c r="EC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FS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HH130" i="2"/>
  <c r="HG130" i="2"/>
  <c r="FS130" i="2"/>
  <c r="EB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EC138" i="2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FR140" i="2" s="1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B140" i="2" l="1"/>
  <c r="HH140" i="2"/>
  <c r="HG140" i="2"/>
  <c r="FS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X145" i="2"/>
  <c r="EB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HG146" i="2"/>
  <c r="FS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H149" i="2" l="1"/>
  <c r="EC149" i="2"/>
  <c r="EX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H158" i="2" l="1"/>
  <c r="EV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DG160" i="2"/>
  <c r="EC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EA161" i="2"/>
  <c r="AB161" i="2"/>
  <c r="FS161" i="2"/>
  <c r="E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V163" i="2"/>
  <c r="HH163" i="2"/>
  <c r="EA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FS164" i="2" l="1"/>
  <c r="EX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X167" i="2" l="1"/>
  <c r="EC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EB169" i="2"/>
  <c r="FS169" i="2"/>
  <c r="EA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EW175" i="2" l="1"/>
  <c r="FS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S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EB179" i="2"/>
  <c r="HH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B185" i="2" l="1"/>
  <c r="EA185" i="2"/>
  <c r="HI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EW186" i="2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G187" i="2" l="1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V192" i="2" l="1"/>
  <c r="EA192" i="2"/>
  <c r="EB192" i="2"/>
  <c r="HI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EA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HG195" i="2"/>
  <c r="EB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HH199" i="2"/>
  <c r="HG199" i="2"/>
  <c r="EW199" i="2"/>
  <c r="FS199" i="2"/>
  <c r="EB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EI4" i="2" a="1"/>
  <c r="EI4" i="2" s="1"/>
  <c r="EJ4" i="2" s="1"/>
  <c r="AX198" i="2"/>
  <c r="EY200" i="2"/>
  <c r="ED200" i="2"/>
  <c r="DI200" i="2"/>
  <c r="HH201" i="2" l="1"/>
  <c r="EB201" i="2"/>
  <c r="HG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CS66" i="2" a="1"/>
  <c r="CS66" i="2" s="1"/>
  <c r="CS52" i="2" a="1"/>
  <c r="CS52" i="2" s="1"/>
  <c r="CS129" i="2" a="1"/>
  <c r="CS129" i="2" s="1"/>
  <c r="DN152" i="2" a="1"/>
  <c r="DN152" i="2" s="1"/>
  <c r="DN170" i="2" a="1"/>
  <c r="DN170" i="2" s="1"/>
  <c r="DN66" i="2" a="1"/>
  <c r="DN66" i="2" s="1"/>
  <c r="CS116" i="2" a="1"/>
  <c r="CS116" i="2" s="1"/>
  <c r="EI195" i="2" a="1"/>
  <c r="EI195" i="2" s="1"/>
  <c r="CS137" i="2" a="1"/>
  <c r="CS137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CS56" i="2" a="1"/>
  <c r="CS56" i="2" s="1"/>
  <c r="CS114" i="2" a="1"/>
  <c r="CS114" i="2" s="1"/>
  <c r="DN135" i="2" a="1"/>
  <c r="DN135" i="2" s="1"/>
  <c r="DN31" i="2" a="1"/>
  <c r="DN31" i="2" s="1"/>
  <c r="DN190" i="2" a="1"/>
  <c r="DN190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DN187" i="2" a="1"/>
  <c r="DN187" i="2" s="1"/>
  <c r="HJ202" i="2"/>
  <c r="EY202" i="2"/>
  <c r="AX200" i="2"/>
  <c r="BC84" i="2" l="1" a="1"/>
  <c r="BC84" i="2" s="1"/>
  <c r="BC65" i="2" a="1"/>
  <c r="BC65" i="2" s="1"/>
  <c r="BX107" i="2" a="1"/>
  <c r="BX107" i="2" s="1"/>
  <c r="BC143" i="2" a="1"/>
  <c r="BC143" i="2" s="1"/>
  <c r="BC38" i="2" a="1"/>
  <c r="BC38" i="2" s="1"/>
  <c r="BC18" i="2" a="1"/>
  <c r="BC18" i="2" s="1"/>
  <c r="BC31" i="2" a="1"/>
  <c r="BC31" i="2" s="1"/>
  <c r="BC114" i="2" a="1"/>
  <c r="BC114" i="2" s="1"/>
  <c r="BC83" i="2" a="1"/>
  <c r="BC83" i="2" s="1"/>
  <c r="BC32" i="2" a="1"/>
  <c r="BC32" i="2" s="1"/>
  <c r="BC151" i="2" a="1"/>
  <c r="BC151" i="2" s="1"/>
  <c r="BC164" i="2" a="1"/>
  <c r="BC164" i="2" s="1"/>
  <c r="BC7" i="2" a="1"/>
  <c r="BC7" i="2" s="1"/>
  <c r="BD7" i="2" s="1"/>
  <c r="BC55" i="2" a="1"/>
  <c r="BC55" i="2" s="1"/>
  <c r="BC181" i="2" a="1"/>
  <c r="BC181" i="2" s="1"/>
  <c r="BC68" i="2" a="1"/>
  <c r="BC68" i="2" s="1"/>
  <c r="BC58" i="2" a="1"/>
  <c r="BC58" i="2" s="1"/>
  <c r="BC185" i="2" a="1"/>
  <c r="BC185" i="2" s="1"/>
  <c r="BC192" i="2" a="1"/>
  <c r="BC192" i="2" s="1"/>
  <c r="BC126" i="2" a="1"/>
  <c r="BC126" i="2" s="1"/>
  <c r="BC82" i="2" a="1"/>
  <c r="BC82" i="2" s="1"/>
  <c r="BC130" i="2" a="1"/>
  <c r="BC130" i="2" s="1"/>
  <c r="BC117" i="2" a="1"/>
  <c r="BC117" i="2" s="1"/>
  <c r="BC47" i="2" a="1"/>
  <c r="BC47" i="2" s="1"/>
  <c r="AH151" i="2" a="1"/>
  <c r="AH151" i="2" s="1"/>
  <c r="AH199" i="2" a="1"/>
  <c r="AH199" i="2" s="1"/>
  <c r="AH19" i="2" a="1"/>
  <c r="AH19" i="2" s="1"/>
  <c r="AH163" i="2" a="1"/>
  <c r="AH163" i="2" s="1"/>
  <c r="AH62" i="2" a="1"/>
  <c r="AH62" i="2" s="1"/>
  <c r="AH90" i="2" a="1"/>
  <c r="AH90" i="2" s="1"/>
  <c r="AH166" i="2" a="1"/>
  <c r="AH166" i="2" s="1"/>
  <c r="DN132" i="2" a="1"/>
  <c r="DN132" i="2" s="1"/>
  <c r="DN133" i="2" a="1"/>
  <c r="DN133" i="2" s="1"/>
  <c r="DN167" i="2" a="1"/>
  <c r="DN167" i="2" s="1"/>
  <c r="DN38" i="2" a="1"/>
  <c r="DN38" i="2" s="1"/>
  <c r="DN123" i="2" a="1"/>
  <c r="DN123" i="2" s="1"/>
  <c r="DN188" i="2" a="1"/>
  <c r="DN188" i="2" s="1"/>
  <c r="DN129" i="2" a="1"/>
  <c r="DN129" i="2" s="1"/>
  <c r="DN29" i="2" a="1"/>
  <c r="DN29" i="2" s="1"/>
  <c r="DN65" i="2" a="1"/>
  <c r="DN65" i="2" s="1"/>
  <c r="DN86" i="2" a="1"/>
  <c r="DN86" i="2" s="1"/>
  <c r="DN50" i="2" a="1"/>
  <c r="DN50" i="2" s="1"/>
  <c r="DN41" i="2" a="1"/>
  <c r="DN41" i="2" s="1"/>
  <c r="DN124" i="2" a="1"/>
  <c r="DN124" i="2" s="1"/>
  <c r="DN30" i="2" a="1"/>
  <c r="DN30" i="2" s="1"/>
  <c r="DN16" i="2" a="1"/>
  <c r="DN16" i="2" s="1"/>
  <c r="DN46" i="2" a="1"/>
  <c r="DN46" i="2" s="1"/>
  <c r="DN70" i="2" a="1"/>
  <c r="DN70" i="2" s="1"/>
  <c r="DN162" i="2" a="1"/>
  <c r="DN162" i="2" s="1"/>
  <c r="DN63" i="2" a="1"/>
  <c r="DN63" i="2" s="1"/>
  <c r="DN114" i="2" a="1"/>
  <c r="DN114" i="2" s="1"/>
  <c r="DN177" i="2" a="1"/>
  <c r="DN177" i="2" s="1"/>
  <c r="DN113" i="2" a="1"/>
  <c r="DN113" i="2" s="1"/>
  <c r="DN43" i="2" a="1"/>
  <c r="DN43" i="2" s="1"/>
  <c r="DN45" i="2" a="1"/>
  <c r="DN45" i="2" s="1"/>
  <c r="DN55" i="2" a="1"/>
  <c r="DN55" i="2" s="1"/>
  <c r="DN49" i="2" a="1"/>
  <c r="DN49" i="2" s="1"/>
  <c r="DN80" i="2" a="1"/>
  <c r="DN80" i="2" s="1"/>
  <c r="DN103" i="2" a="1"/>
  <c r="DN103" i="2" s="1"/>
  <c r="DN150" i="2" a="1"/>
  <c r="DN150" i="2" s="1"/>
  <c r="DN115" i="2" a="1"/>
  <c r="DN115" i="2" s="1"/>
  <c r="DN25" i="2" a="1"/>
  <c r="DN25" i="2" s="1"/>
  <c r="DN186" i="2" a="1"/>
  <c r="DN186" i="2" s="1"/>
  <c r="DN155" i="2" a="1"/>
  <c r="DN155" i="2" s="1"/>
  <c r="DN56" i="2" a="1"/>
  <c r="DN56" i="2" s="1"/>
  <c r="BP203" i="2"/>
  <c r="HH203" i="2"/>
  <c r="DN176" i="2" a="1"/>
  <c r="DN176" i="2" s="1"/>
  <c r="DN110" i="2" a="1"/>
  <c r="DN110" i="2" s="1"/>
  <c r="DN164" i="2" a="1"/>
  <c r="DN164" i="2" s="1"/>
  <c r="DN192" i="2" a="1"/>
  <c r="DN192" i="2" s="1"/>
  <c r="DN153" i="2" a="1"/>
  <c r="DN153" i="2" s="1"/>
  <c r="DN184" i="2" a="1"/>
  <c r="DN184" i="2" s="1"/>
  <c r="DN137" i="2" a="1"/>
  <c r="DN13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<sst xmlns="http://schemas.openxmlformats.org/spreadsheetml/2006/main" count="1173" uniqueCount="324">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</sst>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900528"/>
        <c:axId val="1927903248"/>
      </c:scatterChart>
      <c:valAx>
        <c:axId val="19279005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3248"/>
        <c:crosses val="autoZero"/>
        <c:crossBetween val="midCat"/>
      </c:valAx>
      <c:valAx>
        <c:axId val="1927903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9005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3504"/>
        <c:axId val="27528480"/>
      </c:scatterChart>
      <c:valAx>
        <c:axId val="2755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8480"/>
        <c:crosses val="autoZero"/>
        <c:crossBetween val="midCat"/>
      </c:valAx>
      <c:valAx>
        <c:axId val="2752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2.5701199751485899</c:v>
                </c:pt>
                <c:pt idx="2">
                  <c:v>3.1761950482551646</c:v>
                </c:pt>
                <c:pt idx="3">
                  <c:v>3.9257411783807914</c:v>
                </c:pt>
                <c:pt idx="4">
                  <c:v>4.8528436316164436</c:v>
                </c:pt>
                <c:pt idx="5">
                  <c:v>5.9997127748970547</c:v>
                </c:pt>
                <c:pt idx="6">
                  <c:v>7.4186269452783291</c:v>
                </c:pt>
                <c:pt idx="7">
                  <c:v>9.1743412316125035</c:v>
                </c:pt>
                <c:pt idx="8">
                  <c:v>11.347074191266621</c:v>
                </c:pt>
                <c:pt idx="9">
                  <c:v>14.036211523459508</c:v>
                </c:pt>
                <c:pt idx="10">
                  <c:v>17.364899240955943</c:v>
                </c:pt>
                <c:pt idx="11">
                  <c:v>32.173716703656488</c:v>
                </c:pt>
                <c:pt idx="12">
                  <c:v>46.787802861560664</c:v>
                </c:pt>
                <c:pt idx="13">
                  <c:v>61.278573178119878</c:v>
                </c:pt>
                <c:pt idx="14">
                  <c:v>75.679710498558791</c:v>
                </c:pt>
                <c:pt idx="15">
                  <c:v>90.010799689565431</c:v>
                </c:pt>
                <c:pt idx="16">
                  <c:v>107.84522593798255</c:v>
                </c:pt>
                <c:pt idx="17">
                  <c:v>125.60688557852342</c:v>
                </c:pt>
                <c:pt idx="18">
                  <c:v>143.30754256422119</c:v>
                </c:pt>
                <c:pt idx="19">
                  <c:v>160.95580359158967</c:v>
                </c:pt>
                <c:pt idx="20">
                  <c:v>178.55822760704453</c:v>
                </c:pt>
                <c:pt idx="21">
                  <c:v>193.6636125351082</c:v>
                </c:pt>
                <c:pt idx="22">
                  <c:v>208.74160315550134</c:v>
                </c:pt>
                <c:pt idx="23">
                  <c:v>223.79445748130726</c:v>
                </c:pt>
                <c:pt idx="24">
                  <c:v>238.82410470699168</c:v>
                </c:pt>
                <c:pt idx="25">
                  <c:v>253.8322112206821</c:v>
                </c:pt>
                <c:pt idx="26">
                  <c:v>213.29502298328649</c:v>
                </c:pt>
                <c:pt idx="27">
                  <c:v>242.66537688186312</c:v>
                </c:pt>
                <c:pt idx="28">
                  <c:v>271.95483714859</c:v>
                </c:pt>
                <c:pt idx="29">
                  <c:v>301.17333821716494</c:v>
                </c:pt>
                <c:pt idx="30">
                  <c:v>330.32872765301573</c:v>
                </c:pt>
                <c:pt idx="31">
                  <c:v>290.05031041971256</c:v>
                </c:pt>
                <c:pt idx="32">
                  <c:v>319.22892257024961</c:v>
                </c:pt>
                <c:pt idx="33">
                  <c:v>348.34850202775442</c:v>
                </c:pt>
                <c:pt idx="34">
                  <c:v>377.41467255842122</c:v>
                </c:pt>
                <c:pt idx="35">
                  <c:v>406.43212123270104</c:v>
                </c:pt>
                <c:pt idx="36">
                  <c:v>258.71417149720077</c:v>
                </c:pt>
                <c:pt idx="37">
                  <c:v>312.28722219962475</c:v>
                </c:pt>
                <c:pt idx="38">
                  <c:v>365.65590942342169</c:v>
                </c:pt>
                <c:pt idx="39">
                  <c:v>418.85425962601249</c:v>
                </c:pt>
                <c:pt idx="40">
                  <c:v>471.90692830623652</c:v>
                </c:pt>
                <c:pt idx="41">
                  <c:v>324.77987334309233</c:v>
                </c:pt>
                <c:pt idx="42">
                  <c:v>378.10611340956399</c:v>
                </c:pt>
                <c:pt idx="43">
                  <c:v>431.26846210424105</c:v>
                </c:pt>
                <c:pt idx="44">
                  <c:v>484.28993976135007</c:v>
                </c:pt>
                <c:pt idx="45">
                  <c:v>537.18811127897311</c:v>
                </c:pt>
                <c:pt idx="46">
                  <c:v>390.54739612748972</c:v>
                </c:pt>
                <c:pt idx="47">
                  <c:v>443.67498930140295</c:v>
                </c:pt>
                <c:pt idx="48">
                  <c:v>496.66622870931604</c:v>
                </c:pt>
                <c:pt idx="49">
                  <c:v>549.53768144295793</c:v>
                </c:pt>
                <c:pt idx="50">
                  <c:v>602.30246796675499</c:v>
                </c:pt>
                <c:pt idx="51">
                  <c:v>4.8152955147902165E-12</c:v>
                </c:pt>
                <c:pt idx="52">
                  <c:v>4.8152955147902165E-12</c:v>
                </c:pt>
                <c:pt idx="53">
                  <c:v>4.8152955147902165E-12</c:v>
                </c:pt>
                <c:pt idx="54">
                  <c:v>4.8152955147902165E-12</c:v>
                </c:pt>
                <c:pt idx="55">
                  <c:v>4.8152955147902165E-12</c:v>
                </c:pt>
                <c:pt idx="56">
                  <c:v>4.8152955147902165E-12</c:v>
                </c:pt>
                <c:pt idx="57">
                  <c:v>4.8152955147902165E-12</c:v>
                </c:pt>
                <c:pt idx="58">
                  <c:v>4.8152955147902165E-12</c:v>
                </c:pt>
                <c:pt idx="59">
                  <c:v>4.8152955147902165E-12</c:v>
                </c:pt>
                <c:pt idx="60">
                  <c:v>4.8152955147902165E-12</c:v>
                </c:pt>
                <c:pt idx="61">
                  <c:v>4.8152955147902165E-12</c:v>
                </c:pt>
                <c:pt idx="62">
                  <c:v>4.8152955147902165E-12</c:v>
                </c:pt>
                <c:pt idx="63">
                  <c:v>4.8152955147902165E-12</c:v>
                </c:pt>
                <c:pt idx="64">
                  <c:v>4.8152955147902165E-12</c:v>
                </c:pt>
                <c:pt idx="65">
                  <c:v>4.8152955147902165E-12</c:v>
                </c:pt>
                <c:pt idx="66">
                  <c:v>4.8152955147902165E-12</c:v>
                </c:pt>
                <c:pt idx="67">
                  <c:v>4.8152955147902165E-12</c:v>
                </c:pt>
                <c:pt idx="68">
                  <c:v>4.8152955147902165E-12</c:v>
                </c:pt>
                <c:pt idx="69">
                  <c:v>4.8152955147902165E-12</c:v>
                </c:pt>
                <c:pt idx="70">
                  <c:v>4.8152955147902165E-12</c:v>
                </c:pt>
                <c:pt idx="71">
                  <c:v>4.8152955147902165E-12</c:v>
                </c:pt>
                <c:pt idx="72">
                  <c:v>4.8152955147902165E-12</c:v>
                </c:pt>
                <c:pt idx="73">
                  <c:v>4.8152955147902165E-12</c:v>
                </c:pt>
                <c:pt idx="74">
                  <c:v>4.8152955147902165E-12</c:v>
                </c:pt>
                <c:pt idx="75">
                  <c:v>4.8152955147902165E-12</c:v>
                </c:pt>
                <c:pt idx="76">
                  <c:v>4.8152955147902165E-12</c:v>
                </c:pt>
                <c:pt idx="77">
                  <c:v>4.8152955147902165E-12</c:v>
                </c:pt>
                <c:pt idx="78">
                  <c:v>4.8152955147902165E-12</c:v>
                </c:pt>
                <c:pt idx="79">
                  <c:v>4.8152955147902165E-12</c:v>
                </c:pt>
                <c:pt idx="80">
                  <c:v>4.8152955147902165E-12</c:v>
                </c:pt>
                <c:pt idx="81">
                  <c:v>4.8152955147902165E-12</c:v>
                </c:pt>
                <c:pt idx="82">
                  <c:v>4.8152955147902165E-12</c:v>
                </c:pt>
                <c:pt idx="83">
                  <c:v>4.8152955147902165E-12</c:v>
                </c:pt>
                <c:pt idx="84">
                  <c:v>4.8152955147902165E-12</c:v>
                </c:pt>
                <c:pt idx="85">
                  <c:v>4.8152955147902165E-12</c:v>
                </c:pt>
                <c:pt idx="86">
                  <c:v>4.8152955147902165E-12</c:v>
                </c:pt>
                <c:pt idx="87">
                  <c:v>4.8152955147902165E-12</c:v>
                </c:pt>
                <c:pt idx="88">
                  <c:v>4.8152955147902165E-12</c:v>
                </c:pt>
                <c:pt idx="89">
                  <c:v>4.8152955147902165E-12</c:v>
                </c:pt>
                <c:pt idx="90">
                  <c:v>4.8152955147902165E-12</c:v>
                </c:pt>
                <c:pt idx="91">
                  <c:v>4.8152955147902165E-12</c:v>
                </c:pt>
                <c:pt idx="92">
                  <c:v>4.8152955147902165E-12</c:v>
                </c:pt>
                <c:pt idx="93">
                  <c:v>4.8152955147902165E-12</c:v>
                </c:pt>
                <c:pt idx="94">
                  <c:v>4.8152955147902165E-12</c:v>
                </c:pt>
                <c:pt idx="95">
                  <c:v>4.8152955147902165E-12</c:v>
                </c:pt>
                <c:pt idx="96">
                  <c:v>4.8152955147902165E-12</c:v>
                </c:pt>
                <c:pt idx="97">
                  <c:v>4.8152955147902165E-12</c:v>
                </c:pt>
                <c:pt idx="98">
                  <c:v>4.8152955147902165E-12</c:v>
                </c:pt>
                <c:pt idx="99">
                  <c:v>4.8152955147902165E-12</c:v>
                </c:pt>
                <c:pt idx="100">
                  <c:v>4.8152955147902165E-12</c:v>
                </c:pt>
                <c:pt idx="101">
                  <c:v>4.8152955147902165E-12</c:v>
                </c:pt>
                <c:pt idx="102">
                  <c:v>4.8152955147902165E-12</c:v>
                </c:pt>
                <c:pt idx="103">
                  <c:v>4.8152955147902165E-12</c:v>
                </c:pt>
                <c:pt idx="104">
                  <c:v>4.8152955147902165E-12</c:v>
                </c:pt>
                <c:pt idx="105">
                  <c:v>4.8152955147902165E-12</c:v>
                </c:pt>
                <c:pt idx="106">
                  <c:v>4.8152955147902165E-12</c:v>
                </c:pt>
                <c:pt idx="107">
                  <c:v>4.8152955147902165E-12</c:v>
                </c:pt>
                <c:pt idx="108">
                  <c:v>4.8152955147902165E-12</c:v>
                </c:pt>
                <c:pt idx="109">
                  <c:v>4.8152955147902165E-12</c:v>
                </c:pt>
                <c:pt idx="110">
                  <c:v>4.8152955147902165E-12</c:v>
                </c:pt>
                <c:pt idx="111">
                  <c:v>4.8152955147902165E-12</c:v>
                </c:pt>
                <c:pt idx="112">
                  <c:v>4.8152955147902165E-12</c:v>
                </c:pt>
                <c:pt idx="113">
                  <c:v>4.8152955147902165E-12</c:v>
                </c:pt>
                <c:pt idx="114">
                  <c:v>4.8152955147902165E-12</c:v>
                </c:pt>
                <c:pt idx="115">
                  <c:v>4.8152955147902165E-12</c:v>
                </c:pt>
                <c:pt idx="116">
                  <c:v>4.8152955147902165E-12</c:v>
                </c:pt>
                <c:pt idx="117">
                  <c:v>4.8152955147902165E-12</c:v>
                </c:pt>
                <c:pt idx="118">
                  <c:v>4.8152955147902165E-12</c:v>
                </c:pt>
                <c:pt idx="119">
                  <c:v>4.8152955147902165E-12</c:v>
                </c:pt>
                <c:pt idx="120">
                  <c:v>4.8152955147902165E-12</c:v>
                </c:pt>
                <c:pt idx="121">
                  <c:v>4.8152955147902165E-12</c:v>
                </c:pt>
                <c:pt idx="122">
                  <c:v>4.8152955147902165E-12</c:v>
                </c:pt>
                <c:pt idx="123">
                  <c:v>4.8152955147902165E-12</c:v>
                </c:pt>
                <c:pt idx="124">
                  <c:v>4.8152955147902165E-12</c:v>
                </c:pt>
                <c:pt idx="125">
                  <c:v>4.8152955147902165E-12</c:v>
                </c:pt>
                <c:pt idx="126">
                  <c:v>4.8152955147902165E-12</c:v>
                </c:pt>
                <c:pt idx="127">
                  <c:v>4.8152955147902165E-12</c:v>
                </c:pt>
                <c:pt idx="128">
                  <c:v>4.8152955147902165E-12</c:v>
                </c:pt>
                <c:pt idx="129">
                  <c:v>4.8152955147902165E-12</c:v>
                </c:pt>
                <c:pt idx="130">
                  <c:v>4.8152955147902165E-12</c:v>
                </c:pt>
                <c:pt idx="131">
                  <c:v>4.8152955147902165E-12</c:v>
                </c:pt>
                <c:pt idx="132">
                  <c:v>4.8152955147902165E-12</c:v>
                </c:pt>
                <c:pt idx="133">
                  <c:v>4.8152955147902165E-12</c:v>
                </c:pt>
                <c:pt idx="134">
                  <c:v>4.8152955147902165E-12</c:v>
                </c:pt>
                <c:pt idx="135">
                  <c:v>4.8152955147902165E-12</c:v>
                </c:pt>
                <c:pt idx="136">
                  <c:v>4.8152955147902165E-12</c:v>
                </c:pt>
                <c:pt idx="137">
                  <c:v>4.8152955147902165E-12</c:v>
                </c:pt>
                <c:pt idx="138">
                  <c:v>4.8152955147902165E-12</c:v>
                </c:pt>
                <c:pt idx="139">
                  <c:v>4.8152955147902165E-12</c:v>
                </c:pt>
                <c:pt idx="140">
                  <c:v>4.8152955147902165E-12</c:v>
                </c:pt>
                <c:pt idx="141">
                  <c:v>4.8152955147902165E-12</c:v>
                </c:pt>
                <c:pt idx="142">
                  <c:v>4.8152955147902165E-12</c:v>
                </c:pt>
                <c:pt idx="143">
                  <c:v>4.8152955147902165E-12</c:v>
                </c:pt>
                <c:pt idx="144">
                  <c:v>4.8152955147902165E-12</c:v>
                </c:pt>
                <c:pt idx="145">
                  <c:v>4.8152955147902165E-12</c:v>
                </c:pt>
                <c:pt idx="146">
                  <c:v>4.8152955147902165E-12</c:v>
                </c:pt>
                <c:pt idx="147">
                  <c:v>4.8152955147902165E-12</c:v>
                </c:pt>
                <c:pt idx="148">
                  <c:v>4.8152955147902165E-12</c:v>
                </c:pt>
                <c:pt idx="149">
                  <c:v>4.8152955147902165E-12</c:v>
                </c:pt>
                <c:pt idx="150">
                  <c:v>4.8152955147902165E-12</c:v>
                </c:pt>
                <c:pt idx="151">
                  <c:v>4.8152955147902165E-12</c:v>
                </c:pt>
                <c:pt idx="152">
                  <c:v>4.8152955147902165E-12</c:v>
                </c:pt>
                <c:pt idx="153">
                  <c:v>4.8152955147902165E-12</c:v>
                </c:pt>
                <c:pt idx="154">
                  <c:v>4.8152955147902165E-12</c:v>
                </c:pt>
                <c:pt idx="155">
                  <c:v>4.8152955147902165E-12</c:v>
                </c:pt>
                <c:pt idx="156">
                  <c:v>4.8152955147902165E-12</c:v>
                </c:pt>
                <c:pt idx="157">
                  <c:v>4.8152955147902165E-12</c:v>
                </c:pt>
                <c:pt idx="158">
                  <c:v>4.8152955147902165E-12</c:v>
                </c:pt>
                <c:pt idx="159">
                  <c:v>4.8152955147902165E-12</c:v>
                </c:pt>
                <c:pt idx="160">
                  <c:v>4.8152955147902165E-12</c:v>
                </c:pt>
                <c:pt idx="161">
                  <c:v>4.8152955147902165E-12</c:v>
                </c:pt>
                <c:pt idx="162">
                  <c:v>4.8152955147902165E-12</c:v>
                </c:pt>
                <c:pt idx="163">
                  <c:v>4.8152955147902165E-12</c:v>
                </c:pt>
                <c:pt idx="164">
                  <c:v>4.8152955147902165E-12</c:v>
                </c:pt>
                <c:pt idx="165">
                  <c:v>4.8152955147902165E-12</c:v>
                </c:pt>
                <c:pt idx="166">
                  <c:v>4.8152955147902165E-12</c:v>
                </c:pt>
                <c:pt idx="167">
                  <c:v>4.8152955147902165E-12</c:v>
                </c:pt>
                <c:pt idx="168">
                  <c:v>4.8152955147902165E-12</c:v>
                </c:pt>
                <c:pt idx="169">
                  <c:v>4.8152955147902165E-12</c:v>
                </c:pt>
                <c:pt idx="170">
                  <c:v>4.8152955147902165E-12</c:v>
                </c:pt>
                <c:pt idx="171">
                  <c:v>4.8152955147902165E-12</c:v>
                </c:pt>
                <c:pt idx="172">
                  <c:v>4.8152955147902165E-12</c:v>
                </c:pt>
                <c:pt idx="173">
                  <c:v>4.8152955147902165E-12</c:v>
                </c:pt>
                <c:pt idx="174">
                  <c:v>4.8152955147902165E-12</c:v>
                </c:pt>
                <c:pt idx="175">
                  <c:v>4.8152955147902165E-12</c:v>
                </c:pt>
                <c:pt idx="176">
                  <c:v>4.8152955147902165E-12</c:v>
                </c:pt>
                <c:pt idx="177">
                  <c:v>4.8152955147902165E-12</c:v>
                </c:pt>
                <c:pt idx="178">
                  <c:v>4.8152955147902165E-12</c:v>
                </c:pt>
                <c:pt idx="179">
                  <c:v>4.8152955147902165E-12</c:v>
                </c:pt>
                <c:pt idx="180">
                  <c:v>4.8152955147902165E-12</c:v>
                </c:pt>
                <c:pt idx="181">
                  <c:v>4.8152955147902165E-12</c:v>
                </c:pt>
                <c:pt idx="182">
                  <c:v>4.8152955147902165E-12</c:v>
                </c:pt>
                <c:pt idx="183">
                  <c:v>4.8152955147902165E-12</c:v>
                </c:pt>
                <c:pt idx="184">
                  <c:v>4.8152955147902165E-12</c:v>
                </c:pt>
                <c:pt idx="185">
                  <c:v>4.8152955147902165E-12</c:v>
                </c:pt>
                <c:pt idx="186">
                  <c:v>4.8152955147902165E-12</c:v>
                </c:pt>
                <c:pt idx="187">
                  <c:v>4.8152955147902165E-12</c:v>
                </c:pt>
                <c:pt idx="188">
                  <c:v>4.8152955147902165E-12</c:v>
                </c:pt>
                <c:pt idx="189">
                  <c:v>4.8152955147902165E-12</c:v>
                </c:pt>
                <c:pt idx="190">
                  <c:v>4.8152955147902165E-12</c:v>
                </c:pt>
                <c:pt idx="191">
                  <c:v>4.8152955147902165E-12</c:v>
                </c:pt>
                <c:pt idx="192">
                  <c:v>4.8152955147902165E-12</c:v>
                </c:pt>
                <c:pt idx="193">
                  <c:v>4.8152955147902165E-12</c:v>
                </c:pt>
                <c:pt idx="194">
                  <c:v>4.8152955147902165E-12</c:v>
                </c:pt>
                <c:pt idx="195">
                  <c:v>4.8152955147902165E-12</c:v>
                </c:pt>
                <c:pt idx="196">
                  <c:v>4.8152955147902165E-12</c:v>
                </c:pt>
                <c:pt idx="197">
                  <c:v>4.8152955147902165E-12</c:v>
                </c:pt>
                <c:pt idx="198">
                  <c:v>4.8152955147902165E-12</c:v>
                </c:pt>
                <c:pt idx="199">
                  <c:v>4.8152955147902165E-12</c:v>
                </c:pt>
                <c:pt idx="200">
                  <c:v>4.8152955147902165E-12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1280"/>
        <c:axId val="1927892912"/>
      </c:scatterChart>
      <c:valAx>
        <c:axId val="19278912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2912"/>
        <c:crosses val="autoZero"/>
        <c:crossBetween val="midCat"/>
      </c:valAx>
      <c:valAx>
        <c:axId val="19278929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12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132.86417787910921</c:v>
                </c:pt>
                <c:pt idx="22">
                  <c:v>146.84115213350648</c:v>
                </c:pt>
                <c:pt idx="23">
                  <c:v>160.78633625957769</c:v>
                </c:pt>
                <c:pt idx="24">
                  <c:v>174.70287788564951</c:v>
                </c:pt>
                <c:pt idx="25">
                  <c:v>188.59338138830171</c:v>
                </c:pt>
                <c:pt idx="26">
                  <c:v>202.46003565824302</c:v>
                </c:pt>
                <c:pt idx="27">
                  <c:v>216.30470493187804</c:v>
                </c:pt>
                <c:pt idx="28">
                  <c:v>230.12899509674557</c:v>
                </c:pt>
                <c:pt idx="29">
                  <c:v>243.93430319999126</c:v>
                </c:pt>
                <c:pt idx="30">
                  <c:v>257.72185514470976</c:v>
                </c:pt>
                <c:pt idx="31">
                  <c:v>217.92024306476185</c:v>
                </c:pt>
                <c:pt idx="32">
                  <c:v>233.55685058738541</c:v>
                </c:pt>
                <c:pt idx="33">
                  <c:v>249.16956379358484</c:v>
                </c:pt>
                <c:pt idx="34">
                  <c:v>264.76009082333871</c:v>
                </c:pt>
                <c:pt idx="35">
                  <c:v>280.32992213500478</c:v>
                </c:pt>
                <c:pt idx="36">
                  <c:v>295.88036905328909</c:v>
                </c:pt>
                <c:pt idx="37">
                  <c:v>311.41259378150136</c:v>
                </c:pt>
                <c:pt idx="38">
                  <c:v>326.9276331083118</c:v>
                </c:pt>
                <c:pt idx="39">
                  <c:v>342.42641737622438</c:v>
                </c:pt>
                <c:pt idx="40">
                  <c:v>357.90978583474572</c:v>
                </c:pt>
                <c:pt idx="41">
                  <c:v>315.41808104045464</c:v>
                </c:pt>
                <c:pt idx="42">
                  <c:v>332.92904287941258</c:v>
                </c:pt>
                <c:pt idx="43">
                  <c:v>350.41970861300121</c:v>
                </c:pt>
                <c:pt idx="44">
                  <c:v>367.89123357271274</c:v>
                </c:pt>
                <c:pt idx="45">
                  <c:v>385.34465442006109</c:v>
                </c:pt>
                <c:pt idx="46">
                  <c:v>402.78090627015814</c:v>
                </c:pt>
                <c:pt idx="47">
                  <c:v>420.20083669504339</c:v>
                </c:pt>
                <c:pt idx="48">
                  <c:v>437.60521728369696</c:v>
                </c:pt>
                <c:pt idx="49">
                  <c:v>454.99475326719266</c:v>
                </c:pt>
                <c:pt idx="50">
                  <c:v>472.37009159588234</c:v>
                </c:pt>
                <c:pt idx="51">
                  <c:v>432.13690074430724</c:v>
                </c:pt>
                <c:pt idx="52">
                  <c:v>451.51800180438863</c:v>
                </c:pt>
                <c:pt idx="53">
                  <c:v>470.88131798414497</c:v>
                </c:pt>
                <c:pt idx="54">
                  <c:v>490.22768306866232</c:v>
                </c:pt>
                <c:pt idx="55">
                  <c:v>509.5578597084272</c:v>
                </c:pt>
                <c:pt idx="56">
                  <c:v>528.87254801147856</c:v>
                </c:pt>
                <c:pt idx="57">
                  <c:v>548.1723928155817</c:v>
                </c:pt>
                <c:pt idx="58">
                  <c:v>567.45798988344654</c:v>
                </c:pt>
                <c:pt idx="59">
                  <c:v>586.72989121237822</c:v>
                </c:pt>
                <c:pt idx="60">
                  <c:v>605.98860961044397</c:v>
                </c:pt>
                <c:pt idx="61">
                  <c:v>563.50310399555315</c:v>
                </c:pt>
                <c:pt idx="62">
                  <c:v>585.24791160737163</c:v>
                </c:pt>
                <c:pt idx="63">
                  <c:v>606.97588978345141</c:v>
                </c:pt>
                <c:pt idx="64">
                  <c:v>628.68772513366355</c:v>
                </c:pt>
                <c:pt idx="65">
                  <c:v>650.38405302597027</c:v>
                </c:pt>
                <c:pt idx="66">
                  <c:v>672.06546302674599</c:v>
                </c:pt>
                <c:pt idx="67">
                  <c:v>693.73250360317058</c:v>
                </c:pt>
                <c:pt idx="68">
                  <c:v>715.38568620815522</c:v>
                </c:pt>
                <c:pt idx="69">
                  <c:v>737.0254888454773</c:v>
                </c:pt>
                <c:pt idx="70">
                  <c:v>758.65235919487759</c:v>
                </c:pt>
                <c:pt idx="71">
                  <c:v>536.79219379540189</c:v>
                </c:pt>
                <c:pt idx="72">
                  <c:v>536.79219379540189</c:v>
                </c:pt>
                <c:pt idx="73">
                  <c:v>536.79219379540189</c:v>
                </c:pt>
                <c:pt idx="74">
                  <c:v>536.79219379540189</c:v>
                </c:pt>
                <c:pt idx="75">
                  <c:v>536.79219379540189</c:v>
                </c:pt>
                <c:pt idx="76">
                  <c:v>536.79219379540189</c:v>
                </c:pt>
                <c:pt idx="77">
                  <c:v>536.79219379540189</c:v>
                </c:pt>
                <c:pt idx="78">
                  <c:v>536.79219379540189</c:v>
                </c:pt>
                <c:pt idx="79">
                  <c:v>536.79219379540189</c:v>
                </c:pt>
                <c:pt idx="80">
                  <c:v>536.79219379540189</c:v>
                </c:pt>
                <c:pt idx="81">
                  <c:v>536.79219379540189</c:v>
                </c:pt>
                <c:pt idx="82">
                  <c:v>536.79219379540189</c:v>
                </c:pt>
                <c:pt idx="83">
                  <c:v>536.79219379540189</c:v>
                </c:pt>
                <c:pt idx="84">
                  <c:v>536.79219379540189</c:v>
                </c:pt>
                <c:pt idx="85">
                  <c:v>536.79219379540189</c:v>
                </c:pt>
                <c:pt idx="86">
                  <c:v>536.79219379540189</c:v>
                </c:pt>
                <c:pt idx="87">
                  <c:v>536.79219379540189</c:v>
                </c:pt>
                <c:pt idx="88">
                  <c:v>536.79219379540189</c:v>
                </c:pt>
                <c:pt idx="89">
                  <c:v>536.79219379540189</c:v>
                </c:pt>
                <c:pt idx="90">
                  <c:v>536.79219379540189</c:v>
                </c:pt>
                <c:pt idx="91">
                  <c:v>536.79219379540189</c:v>
                </c:pt>
                <c:pt idx="92">
                  <c:v>536.79219379540189</c:v>
                </c:pt>
                <c:pt idx="93">
                  <c:v>536.79219379540189</c:v>
                </c:pt>
                <c:pt idx="94">
                  <c:v>536.79219379540189</c:v>
                </c:pt>
                <c:pt idx="95">
                  <c:v>536.79219379540189</c:v>
                </c:pt>
                <c:pt idx="96">
                  <c:v>536.79219379540189</c:v>
                </c:pt>
                <c:pt idx="97">
                  <c:v>536.79219379540189</c:v>
                </c:pt>
                <c:pt idx="98">
                  <c:v>536.79219379540189</c:v>
                </c:pt>
                <c:pt idx="99">
                  <c:v>536.79219379540189</c:v>
                </c:pt>
                <c:pt idx="100">
                  <c:v>536.79219379540189</c:v>
                </c:pt>
                <c:pt idx="101">
                  <c:v>536.79219379540189</c:v>
                </c:pt>
                <c:pt idx="102">
                  <c:v>536.79219379540189</c:v>
                </c:pt>
                <c:pt idx="103">
                  <c:v>536.79219379540189</c:v>
                </c:pt>
                <c:pt idx="104">
                  <c:v>536.79219379540189</c:v>
                </c:pt>
                <c:pt idx="105">
                  <c:v>536.79219379540189</c:v>
                </c:pt>
                <c:pt idx="106">
                  <c:v>536.79219379540189</c:v>
                </c:pt>
                <c:pt idx="107">
                  <c:v>536.79219379540189</c:v>
                </c:pt>
                <c:pt idx="108">
                  <c:v>536.79219379540189</c:v>
                </c:pt>
                <c:pt idx="109">
                  <c:v>536.79219379540189</c:v>
                </c:pt>
                <c:pt idx="110">
                  <c:v>536.79219379540189</c:v>
                </c:pt>
                <c:pt idx="111">
                  <c:v>536.79219379540189</c:v>
                </c:pt>
                <c:pt idx="112">
                  <c:v>536.79219379540189</c:v>
                </c:pt>
                <c:pt idx="113">
                  <c:v>536.79219379540189</c:v>
                </c:pt>
                <c:pt idx="114">
                  <c:v>536.79219379540189</c:v>
                </c:pt>
                <c:pt idx="115">
                  <c:v>536.79219379540189</c:v>
                </c:pt>
                <c:pt idx="116">
                  <c:v>536.79219379540189</c:v>
                </c:pt>
                <c:pt idx="117">
                  <c:v>536.79219379540189</c:v>
                </c:pt>
                <c:pt idx="118">
                  <c:v>536.79219379540189</c:v>
                </c:pt>
                <c:pt idx="119">
                  <c:v>536.79219379540189</c:v>
                </c:pt>
                <c:pt idx="120">
                  <c:v>536.79219379540189</c:v>
                </c:pt>
                <c:pt idx="121">
                  <c:v>536.79219379540189</c:v>
                </c:pt>
                <c:pt idx="122">
                  <c:v>536.79219379540189</c:v>
                </c:pt>
                <c:pt idx="123">
                  <c:v>536.79219379540189</c:v>
                </c:pt>
                <c:pt idx="124">
                  <c:v>536.79219379540189</c:v>
                </c:pt>
                <c:pt idx="125">
                  <c:v>536.79219379540189</c:v>
                </c:pt>
                <c:pt idx="126">
                  <c:v>536.79219379540189</c:v>
                </c:pt>
                <c:pt idx="127">
                  <c:v>536.79219379540189</c:v>
                </c:pt>
                <c:pt idx="128">
                  <c:v>536.79219379540189</c:v>
                </c:pt>
                <c:pt idx="129">
                  <c:v>536.79219379540189</c:v>
                </c:pt>
                <c:pt idx="130">
                  <c:v>536.79219379540189</c:v>
                </c:pt>
                <c:pt idx="131">
                  <c:v>536.79219379540189</c:v>
                </c:pt>
                <c:pt idx="132">
                  <c:v>536.79219379540189</c:v>
                </c:pt>
                <c:pt idx="133">
                  <c:v>536.79219379540189</c:v>
                </c:pt>
                <c:pt idx="134">
                  <c:v>536.79219379540189</c:v>
                </c:pt>
                <c:pt idx="135">
                  <c:v>536.79219379540189</c:v>
                </c:pt>
                <c:pt idx="136">
                  <c:v>536.79219379540189</c:v>
                </c:pt>
                <c:pt idx="137">
                  <c:v>536.79219379540189</c:v>
                </c:pt>
                <c:pt idx="138">
                  <c:v>536.79219379540189</c:v>
                </c:pt>
                <c:pt idx="139">
                  <c:v>536.79219379540189</c:v>
                </c:pt>
                <c:pt idx="140">
                  <c:v>536.79219379540189</c:v>
                </c:pt>
                <c:pt idx="141">
                  <c:v>536.79219379540189</c:v>
                </c:pt>
                <c:pt idx="142">
                  <c:v>536.79219379540189</c:v>
                </c:pt>
                <c:pt idx="143">
                  <c:v>536.79219379540189</c:v>
                </c:pt>
                <c:pt idx="144">
                  <c:v>536.79219379540189</c:v>
                </c:pt>
                <c:pt idx="145">
                  <c:v>536.79219379540189</c:v>
                </c:pt>
                <c:pt idx="146">
                  <c:v>536.79219379540189</c:v>
                </c:pt>
                <c:pt idx="147">
                  <c:v>536.79219379540189</c:v>
                </c:pt>
                <c:pt idx="148">
                  <c:v>536.79219379540189</c:v>
                </c:pt>
                <c:pt idx="149">
                  <c:v>536.79219379540189</c:v>
                </c:pt>
                <c:pt idx="150">
                  <c:v>536.79219379540189</c:v>
                </c:pt>
                <c:pt idx="151">
                  <c:v>536.79219379540189</c:v>
                </c:pt>
                <c:pt idx="152">
                  <c:v>536.79219379540189</c:v>
                </c:pt>
                <c:pt idx="153">
                  <c:v>536.79219379540189</c:v>
                </c:pt>
                <c:pt idx="154">
                  <c:v>536.79219379540189</c:v>
                </c:pt>
                <c:pt idx="155">
                  <c:v>536.79219379540189</c:v>
                </c:pt>
                <c:pt idx="156">
                  <c:v>536.79219379540189</c:v>
                </c:pt>
                <c:pt idx="157">
                  <c:v>536.79219379540189</c:v>
                </c:pt>
                <c:pt idx="158">
                  <c:v>536.79219379540189</c:v>
                </c:pt>
                <c:pt idx="159">
                  <c:v>536.79219379540189</c:v>
                </c:pt>
                <c:pt idx="160">
                  <c:v>536.79219379540189</c:v>
                </c:pt>
                <c:pt idx="161">
                  <c:v>536.79219379540189</c:v>
                </c:pt>
                <c:pt idx="162">
                  <c:v>536.79219379540189</c:v>
                </c:pt>
                <c:pt idx="163">
                  <c:v>536.79219379540189</c:v>
                </c:pt>
                <c:pt idx="164">
                  <c:v>536.79219379540189</c:v>
                </c:pt>
                <c:pt idx="165">
                  <c:v>536.79219379540189</c:v>
                </c:pt>
                <c:pt idx="166">
                  <c:v>536.79219379540189</c:v>
                </c:pt>
                <c:pt idx="167">
                  <c:v>536.79219379540189</c:v>
                </c:pt>
                <c:pt idx="168">
                  <c:v>536.79219379540189</c:v>
                </c:pt>
                <c:pt idx="169">
                  <c:v>536.79219379540189</c:v>
                </c:pt>
                <c:pt idx="170">
                  <c:v>536.79219379540189</c:v>
                </c:pt>
                <c:pt idx="171">
                  <c:v>536.79219379540189</c:v>
                </c:pt>
                <c:pt idx="172">
                  <c:v>536.79219379540189</c:v>
                </c:pt>
                <c:pt idx="173">
                  <c:v>536.79219379540189</c:v>
                </c:pt>
                <c:pt idx="174">
                  <c:v>536.79219379540189</c:v>
                </c:pt>
                <c:pt idx="175">
                  <c:v>536.79219379540189</c:v>
                </c:pt>
                <c:pt idx="176">
                  <c:v>536.79219379540189</c:v>
                </c:pt>
                <c:pt idx="177">
                  <c:v>536.79219379540189</c:v>
                </c:pt>
                <c:pt idx="178">
                  <c:v>536.79219379540189</c:v>
                </c:pt>
                <c:pt idx="179">
                  <c:v>536.79219379540189</c:v>
                </c:pt>
                <c:pt idx="180">
                  <c:v>536.79219379540189</c:v>
                </c:pt>
                <c:pt idx="181">
                  <c:v>536.79219379540189</c:v>
                </c:pt>
                <c:pt idx="182">
                  <c:v>536.79219379540189</c:v>
                </c:pt>
                <c:pt idx="183">
                  <c:v>536.79219379540189</c:v>
                </c:pt>
                <c:pt idx="184">
                  <c:v>536.79219379540189</c:v>
                </c:pt>
                <c:pt idx="185">
                  <c:v>536.79219379540189</c:v>
                </c:pt>
                <c:pt idx="186">
                  <c:v>536.79219379540189</c:v>
                </c:pt>
                <c:pt idx="187">
                  <c:v>536.79219379540189</c:v>
                </c:pt>
                <c:pt idx="188">
                  <c:v>536.79219379540189</c:v>
                </c:pt>
                <c:pt idx="189">
                  <c:v>536.79219379540189</c:v>
                </c:pt>
                <c:pt idx="190">
                  <c:v>536.79219379540189</c:v>
                </c:pt>
                <c:pt idx="191">
                  <c:v>536.79219379540189</c:v>
                </c:pt>
                <c:pt idx="192">
                  <c:v>536.79219379540189</c:v>
                </c:pt>
                <c:pt idx="193">
                  <c:v>536.79219379540189</c:v>
                </c:pt>
                <c:pt idx="194">
                  <c:v>536.79219379540189</c:v>
                </c:pt>
                <c:pt idx="195">
                  <c:v>536.79219379540189</c:v>
                </c:pt>
                <c:pt idx="196">
                  <c:v>536.79219379540189</c:v>
                </c:pt>
                <c:pt idx="197">
                  <c:v>536.79219379540189</c:v>
                </c:pt>
                <c:pt idx="198">
                  <c:v>536.79219379540189</c:v>
                </c:pt>
                <c:pt idx="199">
                  <c:v>536.79219379540189</c:v>
                </c:pt>
                <c:pt idx="200">
                  <c:v>536.79219379540189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7896720"/>
        <c:axId val="1927897264"/>
      </c:scatterChart>
      <c:valAx>
        <c:axId val="19278967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7264"/>
        <c:crosses val="autoZero"/>
        <c:crossBetween val="midCat"/>
      </c:valAx>
      <c:valAx>
        <c:axId val="19278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78967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2.031907402748768</c:v>
                </c:pt>
                <c:pt idx="2">
                  <c:v>2.6623840980288702</c:v>
                </c:pt>
                <c:pt idx="3">
                  <c:v>3.4892924617433518</c:v>
                </c:pt>
                <c:pt idx="4">
                  <c:v>4.5740685657030165</c:v>
                </c:pt>
                <c:pt idx="5">
                  <c:v>5.9974322325810041</c:v>
                </c:pt>
                <c:pt idx="6">
                  <c:v>7.8654599863275783</c:v>
                </c:pt>
                <c:pt idx="7">
                  <c:v>10.317576370738935</c:v>
                </c:pt>
                <c:pt idx="8">
                  <c:v>13.53707131484501</c:v>
                </c:pt>
                <c:pt idx="9">
                  <c:v>17.764944205134721</c:v>
                </c:pt>
                <c:pt idx="10">
                  <c:v>23.318129731757608</c:v>
                </c:pt>
                <c:pt idx="11">
                  <c:v>30.613496000795752</c:v>
                </c:pt>
                <c:pt idx="12">
                  <c:v>40.19944770009392</c:v>
                </c:pt>
                <c:pt idx="13">
                  <c:v>52.797550388930141</c:v>
                </c:pt>
                <c:pt idx="14">
                  <c:v>69.357361279449364</c:v>
                </c:pt>
                <c:pt idx="15">
                  <c:v>91.128666622788032</c:v>
                </c:pt>
                <c:pt idx="16">
                  <c:v>119.75666445822681</c:v>
                </c:pt>
                <c:pt idx="17">
                  <c:v>157.40739759934175</c:v>
                </c:pt>
                <c:pt idx="18">
                  <c:v>152.63928887769075</c:v>
                </c:pt>
                <c:pt idx="19">
                  <c:v>167.36613849703656</c:v>
                </c:pt>
                <c:pt idx="20">
                  <c:v>182.06242044637693</c:v>
                </c:pt>
                <c:pt idx="21">
                  <c:v>183.8758659829856</c:v>
                </c:pt>
                <c:pt idx="22">
                  <c:v>205.0891292024188</c:v>
                </c:pt>
                <c:pt idx="23">
                  <c:v>226.25164550125564</c:v>
                </c:pt>
                <c:pt idx="24">
                  <c:v>247.36882925179307</c:v>
                </c:pt>
                <c:pt idx="25">
                  <c:v>268.44509403501723</c:v>
                </c:pt>
                <c:pt idx="26">
                  <c:v>244.79583422246174</c:v>
                </c:pt>
                <c:pt idx="27">
                  <c:v>267.41787510049454</c:v>
                </c:pt>
                <c:pt idx="28">
                  <c:v>289.99681160231404</c:v>
                </c:pt>
                <c:pt idx="29">
                  <c:v>312.53647021104257</c:v>
                </c:pt>
                <c:pt idx="30">
                  <c:v>335.04008037896625</c:v>
                </c:pt>
                <c:pt idx="31">
                  <c:v>289.99681160231404</c:v>
                </c:pt>
                <c:pt idx="32">
                  <c:v>314.07191886152782</c:v>
                </c:pt>
                <c:pt idx="33">
                  <c:v>338.10611860508033</c:v>
                </c:pt>
                <c:pt idx="34">
                  <c:v>362.10272554390014</c:v>
                </c:pt>
                <c:pt idx="35">
                  <c:v>386.06457932909711</c:v>
                </c:pt>
                <c:pt idx="36">
                  <c:v>342.1932186321871</c:v>
                </c:pt>
                <c:pt idx="37">
                  <c:v>364.6534648608133</c:v>
                </c:pt>
                <c:pt idx="38">
                  <c:v>387.08350012671559</c:v>
                </c:pt>
                <c:pt idx="39">
                  <c:v>409.48531996489623</c:v>
                </c:pt>
                <c:pt idx="40">
                  <c:v>431.86068387305687</c:v>
                </c:pt>
                <c:pt idx="41">
                  <c:v>396.25118655434966</c:v>
                </c:pt>
                <c:pt idx="42">
                  <c:v>421.69323961894696</c:v>
                </c:pt>
                <c:pt idx="43">
                  <c:v>447.10225323882656</c:v>
                </c:pt>
                <c:pt idx="44">
                  <c:v>472.48036714392646</c:v>
                </c:pt>
                <c:pt idx="45">
                  <c:v>497.8294726490094</c:v>
                </c:pt>
                <c:pt idx="46">
                  <c:v>447.61011165255627</c:v>
                </c:pt>
                <c:pt idx="47">
                  <c:v>469.69022691951341</c:v>
                </c:pt>
                <c:pt idx="48">
                  <c:v>491.74823970258649</c:v>
                </c:pt>
                <c:pt idx="49">
                  <c:v>513.78528004261909</c:v>
                </c:pt>
                <c:pt idx="50">
                  <c:v>535.80237321728112</c:v>
                </c:pt>
                <c:pt idx="51">
                  <c:v>500.61617734977295</c:v>
                </c:pt>
                <c:pt idx="52">
                  <c:v>524.92279412001812</c:v>
                </c:pt>
                <c:pt idx="53">
                  <c:v>549.20570960219959</c:v>
                </c:pt>
                <c:pt idx="54">
                  <c:v>573.46611798533252</c:v>
                </c:pt>
                <c:pt idx="55">
                  <c:v>597.7051042871891</c:v>
                </c:pt>
                <c:pt idx="56">
                  <c:v>558.55867937490257</c:v>
                </c:pt>
                <c:pt idx="57">
                  <c:v>580.03291566489895</c:v>
                </c:pt>
                <c:pt idx="58">
                  <c:v>601.49057626451452</c:v>
                </c:pt>
                <c:pt idx="59">
                  <c:v>622.93233512534789</c:v>
                </c:pt>
                <c:pt idx="60">
                  <c:v>644.35881606732414</c:v>
                </c:pt>
                <c:pt idx="61">
                  <c:v>625.95816246292009</c:v>
                </c:pt>
                <c:pt idx="62">
                  <c:v>647.88645878177363</c:v>
                </c:pt>
                <c:pt idx="63">
                  <c:v>669.79945190168917</c:v>
                </c:pt>
                <c:pt idx="64">
                  <c:v>691.69771238133637</c:v>
                </c:pt>
                <c:pt idx="65">
                  <c:v>713.58177174919854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34853200"/>
        <c:axId val="1934856464"/>
      </c:scatterChart>
      <c:valAx>
        <c:axId val="1934853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6464"/>
        <c:crosses val="autoZero"/>
        <c:crossBetween val="midCat"/>
      </c:valAx>
      <c:valAx>
        <c:axId val="1934856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34853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5893504"/>
        <c:axId val="1926197264"/>
      </c:scatterChart>
      <c:valAx>
        <c:axId val="16458935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26197264"/>
        <c:crosses val="autoZero"/>
        <c:crossBetween val="midCat"/>
      </c:valAx>
      <c:valAx>
        <c:axId val="1926197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58935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50240"/>
        <c:axId val="27547520"/>
      </c:scatterChart>
      <c:valAx>
        <c:axId val="27550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7520"/>
        <c:crosses val="autoZero"/>
        <c:crossBetween val="midCat"/>
      </c:valAx>
      <c:valAx>
        <c:axId val="2754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0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8272"/>
        <c:axId val="27529024"/>
      </c:scatterChart>
      <c:valAx>
        <c:axId val="2753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29024"/>
        <c:crosses val="autoZero"/>
        <c:crossBetween val="midCat"/>
      </c:valAx>
      <c:valAx>
        <c:axId val="27529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36096"/>
        <c:axId val="27554592"/>
      </c:scatterChart>
      <c:valAx>
        <c:axId val="275360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54592"/>
        <c:crosses val="autoZero"/>
        <c:crossBetween val="midCat"/>
      </c:valAx>
      <c:valAx>
        <c:axId val="27554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36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7542080"/>
        <c:axId val="27548064"/>
      </c:scatterChart>
      <c:valAx>
        <c:axId val="2754208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8064"/>
        <c:crosses val="autoZero"/>
        <c:crossBetween val="midCat"/>
      </c:valAx>
      <c:valAx>
        <c:axId val="27548064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754208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80" zoomScaleNormal="80" workbookViewId="0">
      <selection activeCell="E17" sqref="E17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18</v>
      </c>
      <c r="C9" s="35">
        <v>0.17</v>
      </c>
      <c r="D9" s="36">
        <f t="shared" ref="D9:D18" si="0">C9*$C$5</f>
        <v>0.51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</v>
      </c>
      <c r="C10" s="35">
        <v>0.08</v>
      </c>
      <c r="D10" s="36">
        <f t="shared" si="0"/>
        <v>0.24</v>
      </c>
      <c r="E10" s="37">
        <v>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164</v>
      </c>
      <c r="C11" s="35">
        <v>0.11</v>
      </c>
      <c r="D11" s="36">
        <f t="shared" si="0"/>
        <v>0.33</v>
      </c>
      <c r="E11" s="37">
        <v>70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35</v>
      </c>
      <c r="C12" s="35">
        <v>0.64</v>
      </c>
      <c r="D12" s="36">
        <f t="shared" si="0"/>
        <v>1.92</v>
      </c>
      <c r="E12" s="37">
        <v>65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Douglas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19</v>
      </c>
      <c r="B36" s="63">
        <v>162</v>
      </c>
      <c r="C36" s="63">
        <v>1</v>
      </c>
      <c r="D36" s="63"/>
      <c r="E36" s="54"/>
      <c r="F36" s="54"/>
      <c r="G36" s="54"/>
      <c r="H36" s="93"/>
      <c r="I36" s="52">
        <f>IFERROR(B36/A36,"")</f>
        <v>8.526315789473685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335</v>
      </c>
      <c r="C37" s="63">
        <v>2</v>
      </c>
      <c r="D37" s="63">
        <v>54</v>
      </c>
      <c r="E37" s="54">
        <v>0.05</v>
      </c>
      <c r="F37" s="54"/>
      <c r="G37" s="54">
        <v>0.95</v>
      </c>
      <c r="H37" s="93"/>
      <c r="I37" s="56">
        <f t="shared" ref="I37:I55" si="1">IF(A37&lt;&gt;0,(B37-(B36-D36))/(A37-A36),"")</f>
        <v>28.833333333333332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421</v>
      </c>
      <c r="C38" s="63">
        <v>3</v>
      </c>
      <c r="D38" s="63">
        <v>54</v>
      </c>
      <c r="E38" s="93">
        <v>0.2</v>
      </c>
      <c r="F38" s="93"/>
      <c r="G38" s="93">
        <v>0.8</v>
      </c>
      <c r="H38" s="93"/>
      <c r="I38" s="56">
        <f t="shared" si="1"/>
        <v>28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505</v>
      </c>
      <c r="C39" s="63">
        <v>4</v>
      </c>
      <c r="D39" s="63">
        <v>69</v>
      </c>
      <c r="E39" s="93">
        <v>0.4</v>
      </c>
      <c r="F39" s="93"/>
      <c r="G39" s="93">
        <v>0.6</v>
      </c>
      <c r="H39" s="93"/>
      <c r="I39" s="52">
        <f t="shared" si="1"/>
        <v>27.6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564</v>
      </c>
      <c r="C40" s="63">
        <v>5</v>
      </c>
      <c r="D40" s="63">
        <v>72</v>
      </c>
      <c r="E40" s="93">
        <v>0.7</v>
      </c>
      <c r="F40" s="93"/>
      <c r="G40" s="93">
        <v>0.3</v>
      </c>
      <c r="H40" s="93"/>
      <c r="I40" s="52">
        <f t="shared" si="1"/>
        <v>25.6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606</v>
      </c>
      <c r="C41" s="63">
        <v>6</v>
      </c>
      <c r="D41" s="63">
        <v>66</v>
      </c>
      <c r="E41" s="93">
        <v>0.7</v>
      </c>
      <c r="F41" s="93"/>
      <c r="G41" s="93">
        <v>0.3</v>
      </c>
      <c r="H41" s="93"/>
      <c r="I41" s="56">
        <f t="shared" si="1"/>
        <v>22.8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629</v>
      </c>
      <c r="C42" s="63">
        <v>7</v>
      </c>
      <c r="D42" s="63">
        <v>48</v>
      </c>
      <c r="E42" s="93">
        <v>0.8</v>
      </c>
      <c r="F42" s="93"/>
      <c r="G42" s="93">
        <v>0.2</v>
      </c>
      <c r="H42" s="93"/>
      <c r="I42" s="56">
        <f t="shared" si="1"/>
        <v>17.8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63">
        <v>55</v>
      </c>
      <c r="B43" s="63">
        <v>650</v>
      </c>
      <c r="C43" s="63">
        <v>8</v>
      </c>
      <c r="D43" s="63">
        <v>35</v>
      </c>
      <c r="E43" s="93">
        <v>0.8</v>
      </c>
      <c r="F43" s="93"/>
      <c r="G43" s="93">
        <v>0.2</v>
      </c>
      <c r="H43" s="93"/>
      <c r="I43" s="52">
        <f t="shared" si="1"/>
        <v>13.8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63">
        <v>60</v>
      </c>
      <c r="B44" s="63">
        <v>666</v>
      </c>
      <c r="C44" s="63"/>
      <c r="D44" s="63">
        <v>666</v>
      </c>
      <c r="E44" s="93">
        <v>0.9</v>
      </c>
      <c r="F44" s="93"/>
      <c r="G44" s="93">
        <v>0.1</v>
      </c>
      <c r="H44" s="54"/>
      <c r="I44" s="52">
        <f t="shared" si="1"/>
        <v>10.199999999999999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5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5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5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Bouleau verruqueux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10</v>
      </c>
      <c r="B62" s="63">
        <v>9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0.9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15</v>
      </c>
      <c r="B63" s="63">
        <v>49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20</v>
      </c>
      <c r="B64" s="63">
        <v>99</v>
      </c>
      <c r="C64" s="63">
        <v>3</v>
      </c>
      <c r="D64" s="63">
        <v>0</v>
      </c>
      <c r="E64" s="54"/>
      <c r="F64" s="54"/>
      <c r="G64" s="54"/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25</v>
      </c>
      <c r="B65" s="63">
        <v>142</v>
      </c>
      <c r="C65" s="63">
        <v>4</v>
      </c>
      <c r="D65" s="63">
        <v>40</v>
      </c>
      <c r="E65" s="54"/>
      <c r="F65" s="54"/>
      <c r="G65" s="54"/>
      <c r="H65" s="54">
        <v>1</v>
      </c>
      <c r="I65" s="52">
        <f>IF(A65&lt;&gt;0,(B65-(B64-D64))/(A65-A64),"")</f>
        <v>8.6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30</v>
      </c>
      <c r="B66" s="63">
        <v>186</v>
      </c>
      <c r="C66" s="63">
        <v>5</v>
      </c>
      <c r="D66" s="63">
        <v>40</v>
      </c>
      <c r="E66" s="54"/>
      <c r="F66" s="54"/>
      <c r="G66" s="54"/>
      <c r="H66" s="54">
        <v>1</v>
      </c>
      <c r="I66" s="52">
        <f t="shared" ref="I66:I81" si="2">IF(A66&lt;&gt;0,(B66-(B65-D65))/(A66-A65),"")</f>
        <v>16.8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35</v>
      </c>
      <c r="B67" s="63">
        <v>230</v>
      </c>
      <c r="C67" s="63">
        <v>6</v>
      </c>
      <c r="D67" s="63">
        <v>116</v>
      </c>
      <c r="E67" s="54">
        <v>0.1</v>
      </c>
      <c r="F67" s="54"/>
      <c r="G67" s="54"/>
      <c r="H67" s="54">
        <v>0.9</v>
      </c>
      <c r="I67" s="52">
        <f t="shared" si="2"/>
        <v>16.8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40</v>
      </c>
      <c r="B68" s="63">
        <v>268</v>
      </c>
      <c r="C68" s="63">
        <v>7</v>
      </c>
      <c r="D68" s="63">
        <v>116</v>
      </c>
      <c r="E68" s="54">
        <v>0.1</v>
      </c>
      <c r="F68" s="54"/>
      <c r="G68" s="54"/>
      <c r="H68" s="54">
        <v>0.9</v>
      </c>
      <c r="I68" s="52">
        <f t="shared" si="2"/>
        <v>30.8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45</v>
      </c>
      <c r="B69" s="63">
        <v>306</v>
      </c>
      <c r="C69" s="63">
        <v>8</v>
      </c>
      <c r="D69" s="63">
        <v>116</v>
      </c>
      <c r="E69" s="54">
        <v>0.2</v>
      </c>
      <c r="F69" s="54"/>
      <c r="G69" s="54"/>
      <c r="H69" s="54">
        <v>0.8</v>
      </c>
      <c r="I69" s="52">
        <f t="shared" si="2"/>
        <v>30.8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50</v>
      </c>
      <c r="B70" s="63">
        <v>344</v>
      </c>
      <c r="C70" s="63"/>
      <c r="D70" s="63">
        <v>344</v>
      </c>
      <c r="E70" s="54">
        <v>0.65</v>
      </c>
      <c r="F70" s="54"/>
      <c r="G70" s="54"/>
      <c r="H70" s="54">
        <v>0.35</v>
      </c>
      <c r="I70" s="52">
        <f t="shared" si="2"/>
        <v>30.8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Cèdre de l'Atlas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158</v>
      </c>
      <c r="C88" s="63">
        <v>1</v>
      </c>
      <c r="D88" s="63">
        <v>45</v>
      </c>
      <c r="E88" s="54"/>
      <c r="F88" s="54"/>
      <c r="G88" s="54"/>
      <c r="H88" s="54">
        <v>1</v>
      </c>
      <c r="I88" s="56">
        <f>IFERROR(B88/A88,"")</f>
        <v>7.9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250</v>
      </c>
      <c r="C89" s="63">
        <v>2</v>
      </c>
      <c r="D89" s="63">
        <v>55</v>
      </c>
      <c r="E89" s="54">
        <v>0.15</v>
      </c>
      <c r="F89" s="54"/>
      <c r="G89" s="54"/>
      <c r="H89" s="54">
        <v>0.85</v>
      </c>
      <c r="I89" s="56">
        <f t="shared" ref="I89:I107" si="3">IF(A89&lt;&gt;0,(B89-(B88-D88))/(A89-A88),"")</f>
        <v>13.7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40</v>
      </c>
      <c r="B90" s="63">
        <v>350</v>
      </c>
      <c r="C90" s="63">
        <v>3</v>
      </c>
      <c r="D90" s="63">
        <v>60</v>
      </c>
      <c r="E90" s="54">
        <v>0.25</v>
      </c>
      <c r="F90" s="54"/>
      <c r="G90" s="54"/>
      <c r="H90" s="54">
        <v>0.75</v>
      </c>
      <c r="I90" s="56">
        <f t="shared" si="3"/>
        <v>15.5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50</v>
      </c>
      <c r="B91" s="63">
        <v>465</v>
      </c>
      <c r="C91" s="63">
        <v>4</v>
      </c>
      <c r="D91" s="63">
        <v>60</v>
      </c>
      <c r="E91" s="54">
        <v>0.35</v>
      </c>
      <c r="F91" s="54"/>
      <c r="G91" s="54"/>
      <c r="H91" s="54">
        <v>0.65</v>
      </c>
      <c r="I91" s="56">
        <f t="shared" si="3"/>
        <v>17.5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60</v>
      </c>
      <c r="B92" s="63">
        <v>600</v>
      </c>
      <c r="C92" s="63">
        <v>5</v>
      </c>
      <c r="D92" s="63">
        <v>65</v>
      </c>
      <c r="E92" s="54">
        <v>0.35</v>
      </c>
      <c r="F92" s="54"/>
      <c r="G92" s="54"/>
      <c r="H92" s="54">
        <v>0.65</v>
      </c>
      <c r="I92" s="56">
        <f t="shared" si="3"/>
        <v>19.5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70</v>
      </c>
      <c r="B93" s="63">
        <v>755</v>
      </c>
      <c r="C93" s="63"/>
      <c r="D93" s="63">
        <v>225</v>
      </c>
      <c r="E93" s="54">
        <v>0.8</v>
      </c>
      <c r="F93" s="54"/>
      <c r="G93" s="54"/>
      <c r="H93" s="54">
        <v>0.2</v>
      </c>
      <c r="I93" s="56">
        <f t="shared" si="3"/>
        <v>22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Pin laricio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17</v>
      </c>
      <c r="B114" s="63">
        <v>118</v>
      </c>
      <c r="C114" s="53">
        <v>1</v>
      </c>
      <c r="D114" s="63">
        <v>15</v>
      </c>
      <c r="E114" s="54">
        <v>0.1</v>
      </c>
      <c r="F114" s="54"/>
      <c r="G114" s="54">
        <v>0.9</v>
      </c>
      <c r="H114" s="93"/>
      <c r="I114" s="56">
        <f>IFERROR(B114/A114,"")</f>
        <v>6.9411764705882355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v>137</v>
      </c>
      <c r="C115" s="53">
        <v>2</v>
      </c>
      <c r="D115" s="63">
        <v>15</v>
      </c>
      <c r="E115" s="54">
        <v>0.1</v>
      </c>
      <c r="F115" s="54"/>
      <c r="G115" s="54">
        <v>0.9</v>
      </c>
      <c r="H115" s="93"/>
      <c r="I115" s="56">
        <f t="shared" ref="I115:I133" si="4">IF(A115&lt;&gt;0,(B115-(B114-D114))/(A115-A114),"")</f>
        <v>11.333333333333334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v>204</v>
      </c>
      <c r="C116" s="53">
        <v>3</v>
      </c>
      <c r="D116" s="63">
        <v>36</v>
      </c>
      <c r="E116" s="54">
        <v>0.1</v>
      </c>
      <c r="F116" s="54"/>
      <c r="G116" s="54">
        <v>0.9</v>
      </c>
      <c r="H116" s="93"/>
      <c r="I116" s="56">
        <f t="shared" si="4"/>
        <v>16.399999999999999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v>256</v>
      </c>
      <c r="C117" s="53">
        <v>4</v>
      </c>
      <c r="D117" s="63">
        <v>54</v>
      </c>
      <c r="E117" s="54">
        <v>0.2</v>
      </c>
      <c r="F117" s="54"/>
      <c r="G117" s="54">
        <v>0.8</v>
      </c>
      <c r="H117" s="93"/>
      <c r="I117" s="56">
        <f t="shared" si="4"/>
        <v>17.600000000000001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v>296</v>
      </c>
      <c r="C118" s="53">
        <v>5</v>
      </c>
      <c r="D118" s="63">
        <v>52</v>
      </c>
      <c r="E118" s="54">
        <v>0.2</v>
      </c>
      <c r="F118" s="54"/>
      <c r="G118" s="54">
        <v>0.8</v>
      </c>
      <c r="H118" s="93"/>
      <c r="I118" s="56">
        <f t="shared" si="4"/>
        <v>18.8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v>332</v>
      </c>
      <c r="C119" s="53">
        <v>6</v>
      </c>
      <c r="D119" s="63">
        <v>48</v>
      </c>
      <c r="E119" s="54">
        <v>0.25</v>
      </c>
      <c r="F119" s="54"/>
      <c r="G119" s="54">
        <v>0.75</v>
      </c>
      <c r="H119" s="93"/>
      <c r="I119" s="56">
        <f t="shared" si="4"/>
        <v>17.600000000000001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53">
        <v>45</v>
      </c>
      <c r="B120" s="63">
        <v>384</v>
      </c>
      <c r="C120" s="53">
        <v>7</v>
      </c>
      <c r="D120" s="63">
        <v>57</v>
      </c>
      <c r="E120" s="54">
        <v>0.25</v>
      </c>
      <c r="F120" s="54"/>
      <c r="G120" s="54">
        <v>0.75</v>
      </c>
      <c r="H120" s="93"/>
      <c r="I120" s="56">
        <f t="shared" si="4"/>
        <v>20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53">
        <v>50</v>
      </c>
      <c r="B121" s="63">
        <v>414</v>
      </c>
      <c r="C121" s="53">
        <v>8</v>
      </c>
      <c r="D121" s="63">
        <v>47</v>
      </c>
      <c r="E121" s="93">
        <v>0.3</v>
      </c>
      <c r="F121" s="93"/>
      <c r="G121" s="93">
        <v>0.7</v>
      </c>
      <c r="H121" s="93"/>
      <c r="I121" s="56">
        <f t="shared" si="4"/>
        <v>17.399999999999999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v>463</v>
      </c>
      <c r="C122" s="53">
        <v>9</v>
      </c>
      <c r="D122" s="63">
        <v>48</v>
      </c>
      <c r="E122" s="93">
        <v>0.3</v>
      </c>
      <c r="F122" s="93"/>
      <c r="G122" s="93">
        <v>0.7</v>
      </c>
      <c r="H122" s="93"/>
      <c r="I122" s="56">
        <f t="shared" si="4"/>
        <v>19.2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v>500</v>
      </c>
      <c r="C123" s="53">
        <v>10</v>
      </c>
      <c r="D123" s="63">
        <v>32</v>
      </c>
      <c r="E123" s="93">
        <v>0.3</v>
      </c>
      <c r="F123" s="93"/>
      <c r="G123" s="93">
        <v>0.7</v>
      </c>
      <c r="H123" s="93"/>
      <c r="I123" s="56">
        <f t="shared" si="4"/>
        <v>17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v>555</v>
      </c>
      <c r="C124" s="63"/>
      <c r="D124" s="63">
        <v>555</v>
      </c>
      <c r="E124" s="93">
        <v>0.8</v>
      </c>
      <c r="F124" s="93"/>
      <c r="G124" s="93">
        <v>0.2</v>
      </c>
      <c r="H124" s="93"/>
      <c r="I124" s="56">
        <f t="shared" si="4"/>
        <v>17.399999999999999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0" t="s">
        <v>176</v>
      </c>
      <c r="C1" s="311"/>
      <c r="D1" s="311"/>
      <c r="E1" s="311"/>
      <c r="F1" s="311"/>
      <c r="G1" s="311"/>
      <c r="H1" s="312"/>
      <c r="I1" s="307" t="str">
        <f>IF('Données projet'!$B$9="","",'Données projet'!$B$9)</f>
        <v>Douglas</v>
      </c>
      <c r="J1" s="308"/>
      <c r="K1" s="308"/>
      <c r="L1" s="308"/>
      <c r="M1" s="308"/>
      <c r="N1" s="308"/>
      <c r="O1" s="308"/>
      <c r="P1" s="308"/>
      <c r="Q1" s="308"/>
      <c r="R1" s="308"/>
      <c r="S1" s="308"/>
      <c r="T1" s="308"/>
      <c r="U1" s="308"/>
      <c r="V1" s="308"/>
      <c r="W1" s="308"/>
      <c r="X1" s="308"/>
      <c r="Y1" s="308"/>
      <c r="Z1" s="308"/>
      <c r="AA1" s="308"/>
      <c r="AB1" s="308"/>
      <c r="AC1" s="309"/>
      <c r="AD1" s="308" t="str">
        <f>IF('Données projet'!$B$10="","",'Données projet'!$B$10)</f>
        <v>Bouleau verruqueux</v>
      </c>
      <c r="AE1" s="308"/>
      <c r="AF1" s="308"/>
      <c r="AG1" s="308"/>
      <c r="AH1" s="308"/>
      <c r="AI1" s="308"/>
      <c r="AJ1" s="308"/>
      <c r="AK1" s="308"/>
      <c r="AL1" s="308"/>
      <c r="AM1" s="308"/>
      <c r="AN1" s="308"/>
      <c r="AO1" s="308"/>
      <c r="AP1" s="308"/>
      <c r="AQ1" s="308"/>
      <c r="AR1" s="308"/>
      <c r="AS1" s="308"/>
      <c r="AT1" s="308"/>
      <c r="AU1" s="308"/>
      <c r="AV1" s="308"/>
      <c r="AW1" s="308"/>
      <c r="AX1" s="309"/>
      <c r="AY1" s="307" t="str">
        <f>IF('Données projet'!$B$11="","",'Données projet'!$B$11)</f>
        <v>Cèdre de l'Atlas</v>
      </c>
      <c r="AZ1" s="308"/>
      <c r="BA1" s="308"/>
      <c r="BB1" s="308"/>
      <c r="BC1" s="308"/>
      <c r="BD1" s="308"/>
      <c r="BE1" s="308"/>
      <c r="BF1" s="308"/>
      <c r="BG1" s="308"/>
      <c r="BH1" s="308"/>
      <c r="BI1" s="308"/>
      <c r="BJ1" s="308"/>
      <c r="BK1" s="308"/>
      <c r="BL1" s="308"/>
      <c r="BM1" s="308"/>
      <c r="BN1" s="308"/>
      <c r="BO1" s="308"/>
      <c r="BP1" s="308"/>
      <c r="BQ1" s="308"/>
      <c r="BR1" s="308"/>
      <c r="BS1" s="309"/>
      <c r="BT1" s="307" t="str">
        <f>IF('Données projet'!$B$12="","",'Données projet'!$B$12)</f>
        <v>Pin laricio</v>
      </c>
      <c r="BU1" s="308"/>
      <c r="BV1" s="308"/>
      <c r="BW1" s="308"/>
      <c r="BX1" s="308"/>
      <c r="BY1" s="308"/>
      <c r="BZ1" s="308"/>
      <c r="CA1" s="308"/>
      <c r="CB1" s="308"/>
      <c r="CC1" s="308"/>
      <c r="CD1" s="308"/>
      <c r="CE1" s="308"/>
      <c r="CF1" s="308"/>
      <c r="CG1" s="308"/>
      <c r="CH1" s="308"/>
      <c r="CI1" s="308"/>
      <c r="CJ1" s="308"/>
      <c r="CK1" s="308"/>
      <c r="CL1" s="308"/>
      <c r="CM1" s="308"/>
      <c r="CN1" s="309"/>
      <c r="CO1" s="307" t="str">
        <f>IF('Données projet'!$B$13="","",'Données projet'!$B$13)</f>
        <v/>
      </c>
      <c r="CP1" s="308"/>
      <c r="CQ1" s="308"/>
      <c r="CR1" s="308"/>
      <c r="CS1" s="308"/>
      <c r="CT1" s="308"/>
      <c r="CU1" s="308"/>
      <c r="CV1" s="308"/>
      <c r="CW1" s="308"/>
      <c r="CX1" s="308"/>
      <c r="CY1" s="308"/>
      <c r="CZ1" s="308"/>
      <c r="DA1" s="308"/>
      <c r="DB1" s="308"/>
      <c r="DC1" s="308"/>
      <c r="DD1" s="308"/>
      <c r="DE1" s="308"/>
      <c r="DF1" s="308"/>
      <c r="DG1" s="308"/>
      <c r="DH1" s="308"/>
      <c r="DI1" s="309"/>
      <c r="DJ1" s="307" t="str">
        <f>IF('Données projet'!$B$14="","",'Données projet'!$B$14)</f>
        <v/>
      </c>
      <c r="DK1" s="308"/>
      <c r="DL1" s="308"/>
      <c r="DM1" s="308"/>
      <c r="DN1" s="308"/>
      <c r="DO1" s="308"/>
      <c r="DP1" s="308"/>
      <c r="DQ1" s="308"/>
      <c r="DR1" s="308"/>
      <c r="DS1" s="308"/>
      <c r="DT1" s="308"/>
      <c r="DU1" s="308"/>
      <c r="DV1" s="308"/>
      <c r="DW1" s="308"/>
      <c r="DX1" s="308"/>
      <c r="DY1" s="308"/>
      <c r="DZ1" s="308"/>
      <c r="EA1" s="308"/>
      <c r="EB1" s="308"/>
      <c r="EC1" s="308"/>
      <c r="ED1" s="309"/>
      <c r="EE1" s="307" t="str">
        <f>IF('Données projet'!$B$15="","",'Données projet'!$B$15)</f>
        <v/>
      </c>
      <c r="EF1" s="308"/>
      <c r="EG1" s="308"/>
      <c r="EH1" s="308"/>
      <c r="EI1" s="308"/>
      <c r="EJ1" s="308"/>
      <c r="EK1" s="308"/>
      <c r="EL1" s="308"/>
      <c r="EM1" s="308"/>
      <c r="EN1" s="308"/>
      <c r="EO1" s="308"/>
      <c r="EP1" s="308"/>
      <c r="EQ1" s="308"/>
      <c r="ER1" s="308"/>
      <c r="ES1" s="308"/>
      <c r="ET1" s="308"/>
      <c r="EU1" s="308"/>
      <c r="EV1" s="308"/>
      <c r="EW1" s="308"/>
      <c r="EX1" s="308"/>
      <c r="EY1" s="309"/>
      <c r="EZ1" s="307" t="str">
        <f>IF('Données projet'!$B$16="","",'Données projet'!$B$16)</f>
        <v/>
      </c>
      <c r="FA1" s="308"/>
      <c r="FB1" s="308"/>
      <c r="FC1" s="308"/>
      <c r="FD1" s="308"/>
      <c r="FE1" s="308"/>
      <c r="FF1" s="308"/>
      <c r="FG1" s="308"/>
      <c r="FH1" s="308"/>
      <c r="FI1" s="308"/>
      <c r="FJ1" s="308"/>
      <c r="FK1" s="308"/>
      <c r="FL1" s="308"/>
      <c r="FM1" s="308"/>
      <c r="FN1" s="308"/>
      <c r="FO1" s="308"/>
      <c r="FP1" s="308"/>
      <c r="FQ1" s="308"/>
      <c r="FR1" s="308"/>
      <c r="FS1" s="308"/>
      <c r="FT1" s="309"/>
      <c r="FU1" s="307" t="str">
        <f>IF('Données projet'!$B$17="","",'Données projet'!$B$17)</f>
        <v/>
      </c>
      <c r="FV1" s="308"/>
      <c r="FW1" s="308"/>
      <c r="FX1" s="308"/>
      <c r="FY1" s="308"/>
      <c r="FZ1" s="308"/>
      <c r="GA1" s="308"/>
      <c r="GB1" s="308"/>
      <c r="GC1" s="308"/>
      <c r="GD1" s="308"/>
      <c r="GE1" s="308"/>
      <c r="GF1" s="308"/>
      <c r="GG1" s="308"/>
      <c r="GH1" s="308"/>
      <c r="GI1" s="308"/>
      <c r="GJ1" s="308"/>
      <c r="GK1" s="308"/>
      <c r="GL1" s="308"/>
      <c r="GM1" s="308"/>
      <c r="GN1" s="308"/>
      <c r="GO1" s="309"/>
      <c r="GP1" s="307" t="str">
        <f>IF('Données projet'!$B$18="","",'Données projet'!$B$18)</f>
        <v/>
      </c>
      <c r="GQ1" s="308"/>
      <c r="GR1" s="308"/>
      <c r="GS1" s="308"/>
      <c r="GT1" s="308"/>
      <c r="GU1" s="308"/>
      <c r="GV1" s="308"/>
      <c r="GW1" s="308"/>
      <c r="GX1" s="308"/>
      <c r="GY1" s="308"/>
      <c r="GZ1" s="308"/>
      <c r="HA1" s="308"/>
      <c r="HB1" s="308"/>
      <c r="HC1" s="308"/>
      <c r="HD1" s="308"/>
      <c r="HE1" s="308"/>
      <c r="HF1" s="308"/>
      <c r="HG1" s="308"/>
      <c r="HH1" s="308"/>
      <c r="HI1" s="308"/>
      <c r="HJ1" s="309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378.17323480030268</v>
      </c>
      <c r="T3" s="62">
        <f>IF('Données projet'!E9&gt;30,$R$33-$H$33,LOOKUP('Données projet'!$E$9,$A$3:$A$203,R3:R203)-LOOKUP('Données projet'!$E$9,$A$3:$A$203,$H$3:$H$203))</f>
        <v>471.89239871617241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199.44889029107367</v>
      </c>
      <c r="AO3" s="62">
        <f>IF('Données projet'!E10&gt;30,$AM$33-$H$33,LOOKUP('Données projet'!$E$10,$A$3:$A$203,AM3:AM203)-LOOKUP('Données projet'!$E$10,$A$3:$A$203,$H$3:$H$203))</f>
        <v>292.30544856287457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256.45505140629194</v>
      </c>
      <c r="BJ3" s="62">
        <f>IF('Données projet'!E11&gt;30,$BH$33-$H$33,LOOKUP('Données projet'!$E$11,$A$3:$A$203,BH3:BH203)-LOOKUP('Données projet'!$E$11,$A$3:$A$203,$H$3:$H$203))</f>
        <v>219.6985760545686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279.69031306919914</v>
      </c>
      <c r="CE3" s="62">
        <f>IF('Données projet'!E12&gt;30,$CC$33-$H$33,LOOKUP('Données projet'!$E$12,$A$3:$A$203,CC3:CC203)-LOOKUP('Données projet'!$E$12,$A$3:$A$203,$H$3:$H$203))</f>
        <v>297.01680128882509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2">
        <f>IFERROR(EXP(-1.0587+0.8836*LN(C4)+0.284),0)</f>
        <v>0.26998241883213048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70">
        <f t="shared" ref="H4:H67" si="1">(B4+E4+F4)*44/12+(C4+D4)*0.475*44/12</f>
        <v>294.75450271279925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8.526315789473685</v>
      </c>
      <c r="N4" s="14">
        <f>IF('Données projet'!$A$36&gt;35,N3+M4-V3,IF(A4&lt;'Données projet'!$A$36,$K$205^A4,IF(A4='Données projet'!$A$36,'Données projet'!$B$36,N3+M4-V3)))</f>
        <v>1.3070441688874561</v>
      </c>
      <c r="O4" s="14">
        <f>N4*VLOOKUP('Données projet'!$B$9,Paramètres!$A$1:$I$89,3,0)*VLOOKUP('Données projet'!$B$9,Paramètres!$A$1:$I$89,5,0)</f>
        <v>0.73063769040808801</v>
      </c>
      <c r="P4" s="14">
        <f>EXP(-1.0587+0.8836*LN(O4)+0.284)</f>
        <v>0.34923616900555043</v>
      </c>
      <c r="Q4" s="22">
        <f t="shared" ref="Q4:Q34" si="2">(O4+P4)*0.475*44/12</f>
        <v>1.8807803051454206</v>
      </c>
      <c r="R4" s="62">
        <f t="shared" si="0"/>
        <v>295.21411363847875</v>
      </c>
      <c r="S4" s="62">
        <f ca="1">AVERAGE(OFFSET($R$3,0,0,'Données projet'!$E$9+1,1))-AVERAGE(OFFSET($H$3,0,0,'Données projet'!$E$9+1,1))</f>
        <v>378.17323480030268</v>
      </c>
      <c r="T4" s="62">
        <f>$T$3</f>
        <v>471.89239871617241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0.9</v>
      </c>
      <c r="AI4" s="14">
        <f>IF('Données projet'!$A$62&gt;35,AI3+AH4-AQ3,IF(A4&lt;'Données projet'!$A$62,$AF$205^A4,IF(A4='Données projet'!$A$62,'Données projet'!$B$62,AI3+AH4-AQ3)))</f>
        <v>1.2457309396155174</v>
      </c>
      <c r="AJ4" s="14">
        <f>AI4*VLOOKUP('Données projet'!$B$10,Paramètres!$A$1:$I$89,3,0)*VLOOKUP('Données projet'!$B$10,Paramètres!$A$1:$I$89,5,0)</f>
        <v>1.0105369382161078</v>
      </c>
      <c r="AK4" s="14">
        <f>EXP(-1.0587+0.8836*LN(AJ4)+0.284)</f>
        <v>0.46513003316107315</v>
      </c>
      <c r="AL4" s="22">
        <f t="shared" ref="AL4:AL67" si="4">(AJ4+AK4)*0.475*44/12</f>
        <v>2.5701199751485899</v>
      </c>
      <c r="AM4" s="62">
        <f t="shared" ref="AM4:AM67" si="5">AL4+(AD4+AE4)*44/12</f>
        <v>295.90345330848191</v>
      </c>
      <c r="AN4" s="62">
        <f ca="1">AVERAGE(OFFSET($AM$3,0,0,'Données projet'!$E$10+1,1))-AVERAGE(OFFSET($H$3,0,0,'Données projet'!$E$10+1,1))</f>
        <v>199.44889029107367</v>
      </c>
      <c r="AO4" s="62">
        <f>$AO$3</f>
        <v>292.30544856287457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7.9</v>
      </c>
      <c r="BD4" s="13">
        <f>IF('Données projet'!$A$88&gt;35,BD3+BC4-BL3,IF(A4&lt;'Données projet'!$A$88,$BA$205^A4,IF(A4='Données projet'!$A$88,'Données projet'!$B$88,BD3+BC4-BL3)))</f>
        <v>1.2880503926580862</v>
      </c>
      <c r="BE4" s="14">
        <f>BD4*VLOOKUP('Données projet'!$B$11,Paramètres!$A$1:$I$89,3,0)*VLOOKUP('Données projet'!$B$11,Paramètres!$A$1:$I$89,5,0)</f>
        <v>0.60280758376398436</v>
      </c>
      <c r="BF4" s="14">
        <f>EXP(-1.0587+0.8836*LN(BE4)+0.284)</f>
        <v>0.29465781953181042</v>
      </c>
      <c r="BG4" s="22">
        <f t="shared" ref="BG4:BG67" si="7">(BE4+BF4)*0.475*44/12</f>
        <v>1.5630855774068424</v>
      </c>
      <c r="BH4" s="62">
        <f t="shared" ref="BH4:BH67" si="8">BG4+(AY4+AZ4)*44/12</f>
        <v>294.89641891074018</v>
      </c>
      <c r="BI4" s="62">
        <f ca="1">AVERAGE(OFFSET($BH$3,0,0,'Données projet'!$E$11+1,1))-AVERAGE(OFFSET($H$3,0,0,'Données projet'!$E$11+1,1))</f>
        <v>256.45505140629194</v>
      </c>
      <c r="BJ4" s="62">
        <f>$BJ$3</f>
        <v>219.6985760545686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6.9411764705882355</v>
      </c>
      <c r="BY4" s="13">
        <f>IF('Données projet'!$A$114&gt;35,BY3+BX4-CG3,IF(A4&lt;'Données projet'!$A$114,$BV$205^A4,IF(A4='Données projet'!$A$114,'Données projet'!$B$114,BY3+BX4-CG3)))</f>
        <v>1.3239616704988877</v>
      </c>
      <c r="BZ4" s="14">
        <f>BY4*VLOOKUP('Données projet'!$B$12,Paramètres!$A$1:$I$89,3,0)*VLOOKUP('Données projet'!$B$12,Paramètres!$A$1:$I$89,5,0)</f>
        <v>0.79172907895833489</v>
      </c>
      <c r="CA4" s="14">
        <f>EXP(-1.0587+0.8836*LN(BZ4)+0.284)</f>
        <v>0.37491631974909195</v>
      </c>
      <c r="CB4" s="22">
        <f t="shared" ref="CB4:CB67" si="10">(BZ4+CA4)*0.475*44/12</f>
        <v>2.031907402748768</v>
      </c>
      <c r="CC4" s="62">
        <f t="shared" ref="CC4:CC67" si="11">CB4+(BT4+BU4)*44/12</f>
        <v>295.36524073608206</v>
      </c>
      <c r="CD4" s="62">
        <f ca="1">AVERAGE(OFFSET($CC$3,0,0,'Données projet'!$E$12+1,1))-AVERAGE(OFFSET($H$3,0,0,'Données projet'!$E$12+1,1))</f>
        <v>279.69031306919914</v>
      </c>
      <c r="CE4" s="62">
        <f>$CE$3</f>
        <v>297.01680128882509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2">
        <f t="shared" ref="D5:D68" si="32">IFERROR(EXP(-1.0587+0.8836*LN(C5)+0.284),0)</f>
        <v>0.49811037558348636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70">
        <f t="shared" si="1"/>
        <v>296.10277557080786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8.526315789473685</v>
      </c>
      <c r="N5" s="14">
        <f>IF('Données projet'!$A$36&gt;35,N4+M5-V4,IF(A5&lt;'Données projet'!$A$36,$K$205^A5,IF(A5='Données projet'!$A$36,'Données projet'!$B$36,N4+M5-V4)))</f>
        <v>1.708364459422701</v>
      </c>
      <c r="O5" s="14">
        <f>N5*VLOOKUP('Données projet'!$B$9,Paramètres!$A$1:$I$89,3,0)*VLOOKUP('Données projet'!$B$9,Paramètres!$A$1:$I$89,5,0)</f>
        <v>0.95497573281728976</v>
      </c>
      <c r="P5" s="14">
        <f t="shared" ref="P5:P68" si="33">EXP(-1.0587+0.8836*LN(O5)+0.284)</f>
        <v>0.44245926414263009</v>
      </c>
      <c r="Q5" s="22">
        <f t="shared" si="2"/>
        <v>2.4338659530385267</v>
      </c>
      <c r="R5" s="62">
        <f t="shared" si="0"/>
        <v>295.76719928637186</v>
      </c>
      <c r="S5" s="62">
        <f ca="1">AVERAGE(OFFSET($R$3,0,0,'Données projet'!$E$9+1,1))-AVERAGE(OFFSET($H$3,0,0,'Données projet'!$E$9+1,1))</f>
        <v>378.17323480030268</v>
      </c>
      <c r="T5" s="62">
        <f t="shared" ref="T5:T68" si="34">$T$3</f>
        <v>471.89239871617241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0.9</v>
      </c>
      <c r="AI5" s="14">
        <f>IF('Données projet'!$A$62&gt;35,AI4+AH5-AQ4,IF(A5&lt;'Données projet'!$A$62,$AF$205^A5,IF(A5='Données projet'!$A$62,'Données projet'!$B$62,AI4+AH5-AQ4)))</f>
        <v>1.5518455739153598</v>
      </c>
      <c r="AJ5" s="14">
        <f>AI5*VLOOKUP('Données projet'!$B$10,Paramètres!$A$1:$I$89,3,0)*VLOOKUP('Données projet'!$B$10,Paramètres!$A$1:$I$89,5,0)</f>
        <v>1.2588571295601401</v>
      </c>
      <c r="AK5" s="14">
        <f t="shared" ref="AK5:AK68" si="35">EXP(-1.0587+0.8836*LN(AJ5)+0.284)</f>
        <v>0.56479552972512193</v>
      </c>
      <c r="AL5" s="22">
        <f t="shared" si="4"/>
        <v>3.1761950482551646</v>
      </c>
      <c r="AM5" s="62">
        <f t="shared" si="5"/>
        <v>296.5095283815885</v>
      </c>
      <c r="AN5" s="62">
        <f ca="1">AVERAGE(OFFSET($AM$3,0,0,'Données projet'!$E$10+1,1))-AVERAGE(OFFSET($H$3,0,0,'Données projet'!$E$10+1,1))</f>
        <v>199.44889029107367</v>
      </c>
      <c r="AO5" s="62">
        <f t="shared" ref="AO5:AO68" si="36">$AO$3</f>
        <v>292.30544856287457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7.9</v>
      </c>
      <c r="BD5" s="13">
        <f>IF('Données projet'!$A$88&gt;35,BD4+BC5-BL4,IF(A5&lt;'Données projet'!$A$88,$BA$205^A5,IF(A5='Données projet'!$A$88,'Données projet'!$B$88,BD4+BC5-BL4)))</f>
        <v>1.6590738140266501</v>
      </c>
      <c r="BE5" s="14">
        <f>BD5*VLOOKUP('Données projet'!$B$11,Paramètres!$A$1:$I$89,3,0)*VLOOKUP('Données projet'!$B$11,Paramètres!$A$1:$I$89,5,0)</f>
        <v>0.77644654496447219</v>
      </c>
      <c r="BF5" s="14">
        <f t="shared" ref="BF5:BF68" si="37">EXP(-1.0587+0.8836*LN(BE5)+0.284)</f>
        <v>0.36851455096495994</v>
      </c>
      <c r="BG5" s="22">
        <f t="shared" si="7"/>
        <v>1.9941405754104276</v>
      </c>
      <c r="BH5" s="62">
        <f t="shared" si="8"/>
        <v>295.32747390874374</v>
      </c>
      <c r="BI5" s="62">
        <f ca="1">AVERAGE(OFFSET($BH$3,0,0,'Données projet'!$E$11+1,1))-AVERAGE(OFFSET($H$3,0,0,'Données projet'!$E$11+1,1))</f>
        <v>256.45505140629194</v>
      </c>
      <c r="BJ5" s="62">
        <f t="shared" ref="BJ5:BJ68" si="38">$BJ$3</f>
        <v>219.6985760545686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6.9411764705882355</v>
      </c>
      <c r="BY5" s="13">
        <f>IF('Données projet'!$A$114&gt;35,BY4+BX5-CG4,IF(A5&lt;'Données projet'!$A$114,$BV$205^A5,IF(A5='Données projet'!$A$114,'Données projet'!$B$114,BY4+BX5-CG4)))</f>
        <v>1.7528745049502052</v>
      </c>
      <c r="BZ5" s="14">
        <f>BY5*VLOOKUP('Données projet'!$B$12,Paramètres!$A$1:$I$89,3,0)*VLOOKUP('Données projet'!$B$12,Paramètres!$A$1:$I$89,5,0)</f>
        <v>1.0482189539602227</v>
      </c>
      <c r="CA5" s="14">
        <f t="shared" ref="CA5:CA68" si="39">EXP(-1.0587+0.8836*LN(BZ5)+0.284)</f>
        <v>0.48042263342477459</v>
      </c>
      <c r="CB5" s="22">
        <f t="shared" si="10"/>
        <v>2.6623840980288702</v>
      </c>
      <c r="CC5" s="62">
        <f t="shared" si="11"/>
        <v>295.99571743136221</v>
      </c>
      <c r="CD5" s="62">
        <f ca="1">AVERAGE(OFFSET($CC$3,0,0,'Données projet'!$E$12+1,1))-AVERAGE(OFFSET($H$3,0,0,'Données projet'!$E$12+1,1))</f>
        <v>279.69031306919914</v>
      </c>
      <c r="CE5" s="62">
        <f t="shared" ref="CE5:CE68" si="40">$CE$3</f>
        <v>297.01680128882509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2">
        <f t="shared" si="32"/>
        <v>0.71272144204532062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70">
        <f t="shared" si="1"/>
        <v>297.42750651156223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8.526315789473685</v>
      </c>
      <c r="N6" s="14">
        <f>IF('Données projet'!$A$36&gt;35,N5+M6-V5,IF(A6&lt;'Données projet'!$A$36,$K$205^A6,IF(A6='Données projet'!$A$36,'Données projet'!$B$36,N5+M6-V5)))</f>
        <v>2.2329078050230127</v>
      </c>
      <c r="O6" s="14">
        <f>N6*VLOOKUP('Données projet'!$B$9,Paramètres!$A$1:$I$89,3,0)*VLOOKUP('Données projet'!$B$9,Paramètres!$A$1:$I$89,5,0)</f>
        <v>1.248195463007864</v>
      </c>
      <c r="P6" s="14">
        <f t="shared" si="33"/>
        <v>0.56056679634040518</v>
      </c>
      <c r="Q6" s="22">
        <f t="shared" si="2"/>
        <v>3.1502609350315693</v>
      </c>
      <c r="R6" s="62">
        <f t="shared" si="0"/>
        <v>296.48359426836487</v>
      </c>
      <c r="S6" s="62">
        <f ca="1">AVERAGE(OFFSET($R$3,0,0,'Données projet'!$E$9+1,1))-AVERAGE(OFFSET($H$3,0,0,'Données projet'!$E$9+1,1))</f>
        <v>378.17323480030268</v>
      </c>
      <c r="T6" s="62">
        <f t="shared" si="34"/>
        <v>471.89239871617241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0.9</v>
      </c>
      <c r="AI6" s="14">
        <f>IF('Données projet'!$A$62&gt;35,AI5+AH6-AQ5,IF(A6&lt;'Données projet'!$A$62,$AF$205^A6,IF(A6='Données projet'!$A$62,'Données projet'!$B$62,AI5+AH6-AQ5)))</f>
        <v>1.9331820449317632</v>
      </c>
      <c r="AJ6" s="14">
        <f>AI6*VLOOKUP('Données projet'!$B$10,Paramètres!$A$1:$I$89,3,0)*VLOOKUP('Données projet'!$B$10,Paramètres!$A$1:$I$89,5,0)</f>
        <v>1.5681972748486466</v>
      </c>
      <c r="AK6" s="14">
        <f t="shared" si="35"/>
        <v>0.68581679886281277</v>
      </c>
      <c r="AL6" s="22">
        <f t="shared" si="4"/>
        <v>3.9257411783807914</v>
      </c>
      <c r="AM6" s="62">
        <f t="shared" si="5"/>
        <v>297.25907451171412</v>
      </c>
      <c r="AN6" s="62">
        <f ca="1">AVERAGE(OFFSET($AM$3,0,0,'Données projet'!$E$10+1,1))-AVERAGE(OFFSET($H$3,0,0,'Données projet'!$E$10+1,1))</f>
        <v>199.44889029107367</v>
      </c>
      <c r="AO6" s="62">
        <f t="shared" si="36"/>
        <v>292.30544856287457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7.9</v>
      </c>
      <c r="BD6" s="13">
        <f>IF('Données projet'!$A$88&gt;35,BD5+BC6-BL5,IF(A6&lt;'Données projet'!$A$88,$BA$205^A6,IF(A6='Données projet'!$A$88,'Données projet'!$B$88,BD5+BC6-BL5)))</f>
        <v>2.1369706776057753</v>
      </c>
      <c r="BE6" s="14">
        <f>BD6*VLOOKUP('Données projet'!$B$11,Paramètres!$A$1:$I$89,3,0)*VLOOKUP('Données projet'!$B$11,Paramètres!$A$1:$I$89,5,0)</f>
        <v>1.0001022771195029</v>
      </c>
      <c r="BF6" s="14">
        <f t="shared" si="37"/>
        <v>0.46088365986243646</v>
      </c>
      <c r="BG6" s="22">
        <f t="shared" si="7"/>
        <v>2.5445505069102112</v>
      </c>
      <c r="BH6" s="62">
        <f t="shared" si="8"/>
        <v>295.8778838402435</v>
      </c>
      <c r="BI6" s="62">
        <f ca="1">AVERAGE(OFFSET($BH$3,0,0,'Données projet'!$E$11+1,1))-AVERAGE(OFFSET($H$3,0,0,'Données projet'!$E$11+1,1))</f>
        <v>256.45505140629194</v>
      </c>
      <c r="BJ6" s="62">
        <f t="shared" si="38"/>
        <v>219.6985760545686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6.9411764705882355</v>
      </c>
      <c r="BY6" s="13">
        <f>IF('Données projet'!$A$114&gt;35,BY5+BX6-CG5,IF(A6&lt;'Données projet'!$A$114,$BV$205^A6,IF(A6='Données projet'!$A$114,'Données projet'!$B$114,BY5+BX6-CG5)))</f>
        <v>2.3207386577487843</v>
      </c>
      <c r="BZ6" s="14">
        <f>BY6*VLOOKUP('Données projet'!$B$12,Paramètres!$A$1:$I$89,3,0)*VLOOKUP('Données projet'!$B$12,Paramètres!$A$1:$I$89,5,0)</f>
        <v>1.3878017173337731</v>
      </c>
      <c r="CA6" s="14">
        <f t="shared" si="39"/>
        <v>0.61561979180116611</v>
      </c>
      <c r="CB6" s="22">
        <f t="shared" si="10"/>
        <v>3.4892924617433518</v>
      </c>
      <c r="CC6" s="62">
        <f t="shared" si="11"/>
        <v>296.82262579507665</v>
      </c>
      <c r="CD6" s="62">
        <f ca="1">AVERAGE(OFFSET($CC$3,0,0,'Données projet'!$E$12+1,1))-AVERAGE(OFFSET($H$3,0,0,'Données projet'!$E$12+1,1))</f>
        <v>279.69031306919914</v>
      </c>
      <c r="CE6" s="62">
        <f t="shared" si="40"/>
        <v>297.01680128882509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2">
        <f t="shared" si="32"/>
        <v>0.91900038282935004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70">
        <f t="shared" si="1"/>
        <v>298.73772566676109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8.526315789473685</v>
      </c>
      <c r="N7" s="14">
        <f>IF('Données projet'!$A$36&gt;35,N6+M7-V6,IF(A7&lt;'Données projet'!$A$36,$K$205^A7,IF(A7='Données projet'!$A$36,'Données projet'!$B$36,N6+M7-V6)))</f>
        <v>2.9185091262186176</v>
      </c>
      <c r="O7" s="14">
        <f>N7*VLOOKUP('Données projet'!$B$9,Paramètres!$A$1:$I$89,3,0)*VLOOKUP('Données projet'!$B$9,Paramètres!$A$1:$I$89,5,0)</f>
        <v>1.6314466015562072</v>
      </c>
      <c r="P7" s="14">
        <f t="shared" si="33"/>
        <v>0.71020127416305878</v>
      </c>
      <c r="Q7" s="22">
        <f t="shared" si="2"/>
        <v>4.0783700502110554</v>
      </c>
      <c r="R7" s="62">
        <f t="shared" si="0"/>
        <v>297.41170338354436</v>
      </c>
      <c r="S7" s="62">
        <f ca="1">AVERAGE(OFFSET($R$3,0,0,'Données projet'!$E$9+1,1))-AVERAGE(OFFSET($H$3,0,0,'Données projet'!$E$9+1,1))</f>
        <v>378.17323480030268</v>
      </c>
      <c r="T7" s="62">
        <f t="shared" si="34"/>
        <v>471.89239871617241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0.9</v>
      </c>
      <c r="AI7" s="14">
        <f>IF('Données projet'!$A$62&gt;35,AI6+AH7-AQ6,IF(A7&lt;'Données projet'!$A$62,$AF$205^A7,IF(A7='Données projet'!$A$62,'Données projet'!$B$62,AI6+AH7-AQ6)))</f>
        <v>2.4082246852806923</v>
      </c>
      <c r="AJ7" s="14">
        <f>AI7*VLOOKUP('Données projet'!$B$10,Paramètres!$A$1:$I$89,3,0)*VLOOKUP('Données projet'!$B$10,Paramètres!$A$1:$I$89,5,0)</f>
        <v>1.9535518646996977</v>
      </c>
      <c r="AK7" s="14">
        <f t="shared" si="35"/>
        <v>0.83276983766381052</v>
      </c>
      <c r="AL7" s="22">
        <f t="shared" si="4"/>
        <v>4.8528436316164436</v>
      </c>
      <c r="AM7" s="62">
        <f t="shared" si="5"/>
        <v>298.18617696494977</v>
      </c>
      <c r="AN7" s="62">
        <f ca="1">AVERAGE(OFFSET($AM$3,0,0,'Données projet'!$E$10+1,1))-AVERAGE(OFFSET($H$3,0,0,'Données projet'!$E$10+1,1))</f>
        <v>199.44889029107367</v>
      </c>
      <c r="AO7" s="62">
        <f t="shared" si="36"/>
        <v>292.30544856287457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7.9</v>
      </c>
      <c r="BD7" s="13">
        <f>IF('Données projet'!$A$88&gt;35,BD6+BC7-BL6,IF(A7&lt;'Données projet'!$A$88,$BA$205^A7,IF(A7='Données projet'!$A$88,'Données projet'!$B$88,BD6+BC7-BL6)))</f>
        <v>2.7525259203889356</v>
      </c>
      <c r="BE7" s="14">
        <f>BD7*VLOOKUP('Données projet'!$B$11,Paramètres!$A$1:$I$89,3,0)*VLOOKUP('Données projet'!$B$11,Paramètres!$A$1:$I$89,5,0)</f>
        <v>1.2881821307420218</v>
      </c>
      <c r="BF7" s="14">
        <f t="shared" si="37"/>
        <v>0.57640532069082717</v>
      </c>
      <c r="BG7" s="22">
        <f t="shared" si="7"/>
        <v>3.2474898112455457</v>
      </c>
      <c r="BH7" s="62">
        <f t="shared" si="8"/>
        <v>296.58082314457886</v>
      </c>
      <c r="BI7" s="62">
        <f ca="1">AVERAGE(OFFSET($BH$3,0,0,'Données projet'!$E$11+1,1))-AVERAGE(OFFSET($H$3,0,0,'Données projet'!$E$11+1,1))</f>
        <v>256.45505140629194</v>
      </c>
      <c r="BJ7" s="62">
        <f t="shared" si="38"/>
        <v>219.6985760545686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6.9411764705882355</v>
      </c>
      <c r="BY7" s="13">
        <f>IF('Données projet'!$A$114&gt;35,BY6+BX7-CG6,IF(A7&lt;'Données projet'!$A$114,$BV$205^A7,IF(A7='Données projet'!$A$114,'Données projet'!$B$114,BY6+BX7-CG6)))</f>
        <v>3.0725690301044271</v>
      </c>
      <c r="BZ7" s="14">
        <f>BY7*VLOOKUP('Données projet'!$B$12,Paramètres!$A$1:$I$89,3,0)*VLOOKUP('Données projet'!$B$12,Paramètres!$A$1:$I$89,5,0)</f>
        <v>1.8373962800024475</v>
      </c>
      <c r="CA7" s="14">
        <f t="shared" si="39"/>
        <v>0.78886318355909346</v>
      </c>
      <c r="CB7" s="22">
        <f t="shared" si="10"/>
        <v>4.5740685657030165</v>
      </c>
      <c r="CC7" s="62">
        <f t="shared" si="11"/>
        <v>297.90740189903636</v>
      </c>
      <c r="CD7" s="62">
        <f ca="1">AVERAGE(OFFSET($CC$3,0,0,'Données projet'!$E$12+1,1))-AVERAGE(OFFSET($H$3,0,0,'Données projet'!$E$12+1,1))</f>
        <v>279.69031306919914</v>
      </c>
      <c r="CE7" s="62">
        <f t="shared" si="40"/>
        <v>297.01680128882509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2">
        <f t="shared" si="32"/>
        <v>1.1192971032254277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70">
        <f t="shared" si="1"/>
        <v>300.03752578811759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8.526315789473685</v>
      </c>
      <c r="N8" s="14">
        <f>IF('Données projet'!$A$36&gt;35,N7+M8-V7,IF(A8&lt;'Données projet'!$A$36,$K$205^A8,IF(A8='Données projet'!$A$36,'Données projet'!$B$36,N7+M8-V7)))</f>
        <v>3.8146203352688688</v>
      </c>
      <c r="O8" s="14">
        <f>N8*VLOOKUP('Données projet'!$B$9,Paramètres!$A$1:$I$89,3,0)*VLOOKUP('Données projet'!$B$9,Paramètres!$A$1:$I$89,5,0)</f>
        <v>2.1323727674152977</v>
      </c>
      <c r="P8" s="14">
        <f t="shared" si="33"/>
        <v>0.89977831922200224</v>
      </c>
      <c r="Q8" s="22">
        <f t="shared" si="2"/>
        <v>5.2809964758932972</v>
      </c>
      <c r="R8" s="62">
        <f t="shared" si="0"/>
        <v>298.6143298092266</v>
      </c>
      <c r="S8" s="62">
        <f ca="1">AVERAGE(OFFSET($R$3,0,0,'Données projet'!$E$9+1,1))-AVERAGE(OFFSET($H$3,0,0,'Données projet'!$E$9+1,1))</f>
        <v>378.17323480030268</v>
      </c>
      <c r="T8" s="62">
        <f t="shared" si="34"/>
        <v>471.89239871617241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0.9</v>
      </c>
      <c r="AI8" s="14">
        <f>IF('Données projet'!$A$62&gt;35,AI7+AH8-AQ7,IF(A8&lt;'Données projet'!$A$62,$AF$205^A8,IF(A8='Données projet'!$A$62,'Données projet'!$B$62,AI7+AH8-AQ7)))</f>
        <v>3.0000000000000004</v>
      </c>
      <c r="AJ8" s="14">
        <f>AI8*VLOOKUP('Données projet'!$B$10,Paramètres!$A$1:$I$89,3,0)*VLOOKUP('Données projet'!$B$10,Paramètres!$A$1:$I$89,5,0)</f>
        <v>2.4336000000000007</v>
      </c>
      <c r="AK8" s="14">
        <f t="shared" si="35"/>
        <v>1.0112111626203177</v>
      </c>
      <c r="AL8" s="22">
        <f t="shared" si="4"/>
        <v>5.9997127748970547</v>
      </c>
      <c r="AM8" s="62">
        <f t="shared" si="5"/>
        <v>299.33304610823035</v>
      </c>
      <c r="AN8" s="62">
        <f ca="1">AVERAGE(OFFSET($AM$3,0,0,'Données projet'!$E$10+1,1))-AVERAGE(OFFSET($H$3,0,0,'Données projet'!$E$10+1,1))</f>
        <v>199.44889029107367</v>
      </c>
      <c r="AO8" s="62">
        <f t="shared" si="36"/>
        <v>292.30544856287457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7.9</v>
      </c>
      <c r="BD8" s="13">
        <f>IF('Données projet'!$A$88&gt;35,BD7+BC8-BL7,IF(A8&lt;'Données projet'!$A$88,$BA$205^A8,IF(A8='Données projet'!$A$88,'Données projet'!$B$88,BD7+BC8-BL7)))</f>
        <v>3.5453920925585285</v>
      </c>
      <c r="BE8" s="14">
        <f>BD8*VLOOKUP('Données projet'!$B$11,Paramètres!$A$1:$I$89,3,0)*VLOOKUP('Données projet'!$B$11,Paramètres!$A$1:$I$89,5,0)</f>
        <v>1.6592434993173915</v>
      </c>
      <c r="BF8" s="14">
        <f t="shared" si="37"/>
        <v>0.72088277944126433</v>
      </c>
      <c r="BG8" s="22">
        <f t="shared" si="7"/>
        <v>4.1453866021713255</v>
      </c>
      <c r="BH8" s="62">
        <f t="shared" si="8"/>
        <v>297.47871993550461</v>
      </c>
      <c r="BI8" s="62">
        <f ca="1">AVERAGE(OFFSET($BH$3,0,0,'Données projet'!$E$11+1,1))-AVERAGE(OFFSET($H$3,0,0,'Données projet'!$E$11+1,1))</f>
        <v>256.45505140629194</v>
      </c>
      <c r="BJ8" s="62">
        <f t="shared" si="38"/>
        <v>219.6985760545686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6.9411764705882355</v>
      </c>
      <c r="BY8" s="13">
        <f>IF('Données projet'!$A$114&gt;35,BY7+BX8-CG7,IF(A8&lt;'Données projet'!$A$114,$BV$205^A8,IF(A8='Données projet'!$A$114,'Données projet'!$B$114,BY7+BX8-CG7)))</f>
        <v>4.0679636258202043</v>
      </c>
      <c r="BZ8" s="14">
        <f>BY8*VLOOKUP('Données projet'!$B$12,Paramètres!$A$1:$I$89,3,0)*VLOOKUP('Données projet'!$B$12,Paramètres!$A$1:$I$89,5,0)</f>
        <v>2.4326422482404824</v>
      </c>
      <c r="CA8" s="14">
        <f t="shared" si="39"/>
        <v>1.0108595120931088</v>
      </c>
      <c r="CB8" s="22">
        <f t="shared" si="10"/>
        <v>5.9974322325810041</v>
      </c>
      <c r="CC8" s="62">
        <f t="shared" si="11"/>
        <v>299.33076556591431</v>
      </c>
      <c r="CD8" s="62">
        <f ca="1">AVERAGE(OFFSET($CC$3,0,0,'Données projet'!$E$12+1,1))-AVERAGE(OFFSET($H$3,0,0,'Données projet'!$E$12+1,1))</f>
        <v>279.69031306919914</v>
      </c>
      <c r="CE8" s="62">
        <f t="shared" si="40"/>
        <v>297.01680128882509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2">
        <f t="shared" si="32"/>
        <v>1.3149520873221716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70">
        <f t="shared" si="1"/>
        <v>301.3292415520861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8.526315789473685</v>
      </c>
      <c r="N9" s="14">
        <f>IF('Données projet'!$A$36&gt;35,N8+M9-V8,IF(A9&lt;'Données projet'!$A$36,$K$205^A9,IF(A9='Données projet'!$A$36,'Données projet'!$B$36,N8+M9-V8)))</f>
        <v>4.9858772657326877</v>
      </c>
      <c r="O9" s="14">
        <f>N9*VLOOKUP('Données projet'!$B$9,Paramètres!$A$1:$I$89,3,0)*VLOOKUP('Données projet'!$B$9,Paramètres!$A$1:$I$89,5,0)</f>
        <v>2.7871053915445723</v>
      </c>
      <c r="P9" s="14">
        <f t="shared" si="33"/>
        <v>1.1399599707787778</v>
      </c>
      <c r="Q9" s="22">
        <f t="shared" si="2"/>
        <v>6.839638839379834</v>
      </c>
      <c r="R9" s="62">
        <f t="shared" si="0"/>
        <v>300.17297217271317</v>
      </c>
      <c r="S9" s="62">
        <f ca="1">AVERAGE(OFFSET($R$3,0,0,'Données projet'!$E$9+1,1))-AVERAGE(OFFSET($H$3,0,0,'Données projet'!$E$9+1,1))</f>
        <v>378.17323480030268</v>
      </c>
      <c r="T9" s="62">
        <f t="shared" si="34"/>
        <v>471.89239871617241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0.9</v>
      </c>
      <c r="AI9" s="14">
        <f>IF('Données projet'!$A$62&gt;35,AI8+AH9-AQ8,IF(A9&lt;'Données projet'!$A$62,$AF$205^A9,IF(A9='Données projet'!$A$62,'Données projet'!$B$62,AI8+AH9-AQ8)))</f>
        <v>3.7371928188465526</v>
      </c>
      <c r="AJ9" s="14">
        <f>AI9*VLOOKUP('Données projet'!$B$10,Paramètres!$A$1:$I$89,3,0)*VLOOKUP('Données projet'!$B$10,Paramètres!$A$1:$I$89,5,0)</f>
        <v>3.0316108146483236</v>
      </c>
      <c r="AK9" s="14">
        <f t="shared" si="35"/>
        <v>1.2278879099133964</v>
      </c>
      <c r="AL9" s="22">
        <f t="shared" si="4"/>
        <v>7.4186269452783291</v>
      </c>
      <c r="AM9" s="62">
        <f t="shared" si="5"/>
        <v>300.75196027861165</v>
      </c>
      <c r="AN9" s="62">
        <f ca="1">AVERAGE(OFFSET($AM$3,0,0,'Données projet'!$E$10+1,1))-AVERAGE(OFFSET($H$3,0,0,'Données projet'!$E$10+1,1))</f>
        <v>199.44889029107367</v>
      </c>
      <c r="AO9" s="62">
        <f t="shared" si="36"/>
        <v>292.30544856287457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7.9</v>
      </c>
      <c r="BD9" s="13">
        <f>IF('Données projet'!$A$88&gt;35,BD8+BC9-BL8,IF(A9&lt;'Données projet'!$A$88,$BA$205^A9,IF(A9='Données projet'!$A$88,'Données projet'!$B$88,BD8+BC9-BL8)))</f>
        <v>4.566643676946887</v>
      </c>
      <c r="BE9" s="14">
        <f>BD9*VLOOKUP('Données projet'!$B$11,Paramètres!$A$1:$I$89,3,0)*VLOOKUP('Données projet'!$B$11,Paramètres!$A$1:$I$89,5,0)</f>
        <v>2.1371892408111433</v>
      </c>
      <c r="BF9" s="14">
        <f t="shared" si="37"/>
        <v>0.9015738804633705</v>
      </c>
      <c r="BG9" s="22">
        <f t="shared" si="7"/>
        <v>5.292512436219778</v>
      </c>
      <c r="BH9" s="62">
        <f t="shared" si="8"/>
        <v>298.62584576955311</v>
      </c>
      <c r="BI9" s="62">
        <f ca="1">AVERAGE(OFFSET($BH$3,0,0,'Données projet'!$E$11+1,1))-AVERAGE(OFFSET($H$3,0,0,'Données projet'!$E$11+1,1))</f>
        <v>256.45505140629194</v>
      </c>
      <c r="BJ9" s="62">
        <f t="shared" si="38"/>
        <v>219.6985760545686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6.9411764705882355</v>
      </c>
      <c r="BY9" s="13">
        <f>IF('Données projet'!$A$114&gt;35,BY8+BX9-CG8,IF(A9&lt;'Données projet'!$A$114,$BV$205^A9,IF(A9='Données projet'!$A$114,'Données projet'!$B$114,BY8+BX9-CG8)))</f>
        <v>5.38582791756963</v>
      </c>
      <c r="BZ9" s="14">
        <f>BY9*VLOOKUP('Données projet'!$B$12,Paramètres!$A$1:$I$89,3,0)*VLOOKUP('Données projet'!$B$12,Paramètres!$A$1:$I$89,5,0)</f>
        <v>3.2207250947066388</v>
      </c>
      <c r="CA9" s="14">
        <f t="shared" si="39"/>
        <v>1.2953284859599137</v>
      </c>
      <c r="CB9" s="22">
        <f t="shared" si="10"/>
        <v>7.8654599863275783</v>
      </c>
      <c r="CC9" s="62">
        <f t="shared" si="11"/>
        <v>301.19879331966087</v>
      </c>
      <c r="CD9" s="62">
        <f ca="1">AVERAGE(OFFSET($CC$3,0,0,'Données projet'!$E$12+1,1))-AVERAGE(OFFSET($H$3,0,0,'Données projet'!$E$12+1,1))</f>
        <v>279.69031306919914</v>
      </c>
      <c r="CE9" s="62">
        <f t="shared" si="40"/>
        <v>297.01680128882509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2">
        <f t="shared" si="32"/>
        <v>1.5068294933809407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70">
        <f t="shared" si="1"/>
        <v>302.6143780343051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8.526315789473685</v>
      </c>
      <c r="N10" s="14">
        <f>IF('Données projet'!$A$36&gt;35,N9+M10-V9,IF(A10&lt;'Données projet'!$A$36,$K$205^A10,IF(A10='Données projet'!$A$36,'Données projet'!$B$36,N9+M10-V9)))</f>
        <v>6.5167618069644444</v>
      </c>
      <c r="O10" s="14">
        <f>N10*VLOOKUP('Données projet'!$B$9,Paramètres!$A$1:$I$89,3,0)*VLOOKUP('Données projet'!$B$9,Paramètres!$A$1:$I$89,5,0)</f>
        <v>3.6428698500931249</v>
      </c>
      <c r="P10" s="14">
        <f t="shared" si="33"/>
        <v>1.4442543315575544</v>
      </c>
      <c r="Q10" s="22">
        <f t="shared" si="2"/>
        <v>8.8600746163749324</v>
      </c>
      <c r="R10" s="62">
        <f t="shared" si="0"/>
        <v>302.19340794970827</v>
      </c>
      <c r="S10" s="62">
        <f ca="1">AVERAGE(OFFSET($R$3,0,0,'Données projet'!$E$9+1,1))-AVERAGE(OFFSET($H$3,0,0,'Données projet'!$E$9+1,1))</f>
        <v>378.17323480030268</v>
      </c>
      <c r="T10" s="62">
        <f t="shared" si="34"/>
        <v>471.89239871617241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0.9</v>
      </c>
      <c r="AI10" s="14">
        <f>IF('Données projet'!$A$62&gt;35,AI9+AH10-AQ9,IF(A10&lt;'Données projet'!$A$62,$AF$205^A10,IF(A10='Données projet'!$A$62,'Données projet'!$B$62,AI9+AH10-AQ9)))</f>
        <v>4.6555367217460804</v>
      </c>
      <c r="AJ10" s="14">
        <f>AI10*VLOOKUP('Données projet'!$B$10,Paramètres!$A$1:$I$89,3,0)*VLOOKUP('Données projet'!$B$10,Paramètres!$A$1:$I$89,5,0)</f>
        <v>3.7765713886804204</v>
      </c>
      <c r="AK10" s="14">
        <f t="shared" si="35"/>
        <v>1.490992954829151</v>
      </c>
      <c r="AL10" s="22">
        <f t="shared" si="4"/>
        <v>9.1743412316125035</v>
      </c>
      <c r="AM10" s="62">
        <f t="shared" si="5"/>
        <v>302.50767456494583</v>
      </c>
      <c r="AN10" s="62">
        <f ca="1">AVERAGE(OFFSET($AM$3,0,0,'Données projet'!$E$10+1,1))-AVERAGE(OFFSET($H$3,0,0,'Données projet'!$E$10+1,1))</f>
        <v>199.44889029107367</v>
      </c>
      <c r="AO10" s="62">
        <f t="shared" si="36"/>
        <v>292.30544856287457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7.9</v>
      </c>
      <c r="BD10" s="13">
        <f>IF('Données projet'!$A$88&gt;35,BD9+BC10-BL9,IF(A10&lt;'Données projet'!$A$88,$BA$205^A10,IF(A10='Données projet'!$A$88,'Données projet'!$B$88,BD9+BC10-BL9)))</f>
        <v>5.8820671812210037</v>
      </c>
      <c r="BE10" s="14">
        <f>BD10*VLOOKUP('Données projet'!$B$11,Paramètres!$A$1:$I$89,3,0)*VLOOKUP('Données projet'!$B$11,Paramètres!$A$1:$I$89,5,0)</f>
        <v>2.7528074408114294</v>
      </c>
      <c r="BF10" s="14">
        <f t="shared" si="37"/>
        <v>1.1275556652411438</v>
      </c>
      <c r="BG10" s="22">
        <f t="shared" si="7"/>
        <v>6.7582990763748976</v>
      </c>
      <c r="BH10" s="62">
        <f t="shared" si="8"/>
        <v>300.09163240970821</v>
      </c>
      <c r="BI10" s="62">
        <f ca="1">AVERAGE(OFFSET($BH$3,0,0,'Données projet'!$E$11+1,1))-AVERAGE(OFFSET($H$3,0,0,'Données projet'!$E$11+1,1))</f>
        <v>256.45505140629194</v>
      </c>
      <c r="BJ10" s="62">
        <f t="shared" si="38"/>
        <v>219.6985760545686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6.9411764705882355</v>
      </c>
      <c r="BY10" s="13">
        <f>IF('Données projet'!$A$114&gt;35,BY9+BX10-CG9,IF(A10&lt;'Données projet'!$A$114,$BV$205^A10,IF(A10='Données projet'!$A$114,'Données projet'!$B$114,BY9+BX10-CG9)))</f>
        <v>7.130629726765032</v>
      </c>
      <c r="BZ10" s="14">
        <f>BY10*VLOOKUP('Données projet'!$B$12,Paramètres!$A$1:$I$89,3,0)*VLOOKUP('Données projet'!$B$12,Paramètres!$A$1:$I$89,5,0)</f>
        <v>4.26411657660549</v>
      </c>
      <c r="CA10" s="14">
        <f t="shared" si="39"/>
        <v>1.6598507175986843</v>
      </c>
      <c r="CB10" s="22">
        <f t="shared" si="10"/>
        <v>10.317576370738935</v>
      </c>
      <c r="CC10" s="62">
        <f t="shared" si="11"/>
        <v>303.65090970407226</v>
      </c>
      <c r="CD10" s="62">
        <f ca="1">AVERAGE(OFFSET($CC$3,0,0,'Données projet'!$E$12+1,1))-AVERAGE(OFFSET($H$3,0,0,'Données projet'!$E$12+1,1))</f>
        <v>279.69031306919914</v>
      </c>
      <c r="CE10" s="62">
        <f t="shared" si="40"/>
        <v>297.01680128882509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2">
        <f t="shared" si="32"/>
        <v>1.6955312417477209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70">
        <f t="shared" si="1"/>
        <v>303.89398357937728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8.526315789473685</v>
      </c>
      <c r="N11" s="14">
        <f>IF('Données projet'!$A$36&gt;35,N10+M11-V10,IF(A11&lt;'Données projet'!$A$36,$K$205^A11,IF(A11='Données projet'!$A$36,'Données projet'!$B$36,N10+M11-V10)))</f>
        <v>8.5176955198213591</v>
      </c>
      <c r="O11" s="14">
        <f>N11*VLOOKUP('Données projet'!$B$9,Paramètres!$A$1:$I$89,3,0)*VLOOKUP('Données projet'!$B$9,Paramètres!$A$1:$I$89,5,0)</f>
        <v>4.7613917955801393</v>
      </c>
      <c r="P11" s="14">
        <f t="shared" si="33"/>
        <v>1.8297752795633417</v>
      </c>
      <c r="Q11" s="22">
        <f t="shared" si="2"/>
        <v>11.479615989208229</v>
      </c>
      <c r="R11" s="62">
        <f t="shared" si="0"/>
        <v>304.81294932254156</v>
      </c>
      <c r="S11" s="62">
        <f ca="1">AVERAGE(OFFSET($R$3,0,0,'Données projet'!$E$9+1,1))-AVERAGE(OFFSET($H$3,0,0,'Données projet'!$E$9+1,1))</f>
        <v>378.17323480030268</v>
      </c>
      <c r="T11" s="62">
        <f t="shared" si="34"/>
        <v>471.89239871617241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0.9</v>
      </c>
      <c r="AI11" s="14">
        <f>IF('Données projet'!$A$62&gt;35,AI10+AH11-AQ10,IF(A11&lt;'Données projet'!$A$62,$AF$205^A11,IF(A11='Données projet'!$A$62,'Données projet'!$B$62,AI10+AH11-AQ10)))</f>
        <v>5.7995461347952899</v>
      </c>
      <c r="AJ11" s="14">
        <f>AI11*VLOOKUP('Données projet'!$B$10,Paramètres!$A$1:$I$89,3,0)*VLOOKUP('Données projet'!$B$10,Paramètres!$A$1:$I$89,5,0)</f>
        <v>4.7045918245459397</v>
      </c>
      <c r="AK11" s="14">
        <f t="shared" si="35"/>
        <v>1.8104746967554695</v>
      </c>
      <c r="AL11" s="22">
        <f t="shared" si="4"/>
        <v>11.347074191266621</v>
      </c>
      <c r="AM11" s="62">
        <f t="shared" si="5"/>
        <v>304.68040752459996</v>
      </c>
      <c r="AN11" s="62">
        <f ca="1">AVERAGE(OFFSET($AM$3,0,0,'Données projet'!$E$10+1,1))-AVERAGE(OFFSET($H$3,0,0,'Données projet'!$E$10+1,1))</f>
        <v>199.44889029107367</v>
      </c>
      <c r="AO11" s="62">
        <f t="shared" si="36"/>
        <v>292.30544856287457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7.9</v>
      </c>
      <c r="BD11" s="13">
        <f>IF('Données projet'!$A$88&gt;35,BD10+BC11-BL10,IF(A11&lt;'Données projet'!$A$88,$BA$205^A11,IF(A11='Données projet'!$A$88,'Données projet'!$B$88,BD10+BC11-BL10)))</f>
        <v>7.5763989424129567</v>
      </c>
      <c r="BE11" s="14">
        <f>BD11*VLOOKUP('Données projet'!$B$11,Paramètres!$A$1:$I$89,3,0)*VLOOKUP('Données projet'!$B$11,Paramètres!$A$1:$I$89,5,0)</f>
        <v>3.5457547050492639</v>
      </c>
      <c r="BF11" s="14">
        <f t="shared" si="37"/>
        <v>1.4101803587787649</v>
      </c>
      <c r="BG11" s="22">
        <f t="shared" si="7"/>
        <v>8.631586902833817</v>
      </c>
      <c r="BH11" s="62">
        <f t="shared" si="8"/>
        <v>301.96492023616713</v>
      </c>
      <c r="BI11" s="62">
        <f ca="1">AVERAGE(OFFSET($BH$3,0,0,'Données projet'!$E$11+1,1))-AVERAGE(OFFSET($H$3,0,0,'Données projet'!$E$11+1,1))</f>
        <v>256.45505140629194</v>
      </c>
      <c r="BJ11" s="62">
        <f t="shared" si="38"/>
        <v>219.6985760545686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6.9411764705882355</v>
      </c>
      <c r="BY11" s="13">
        <f>IF('Données projet'!$A$114&gt;35,BY10+BX11-CG10,IF(A11&lt;'Données projet'!$A$114,$BV$205^A11,IF(A11='Données projet'!$A$114,'Données projet'!$B$114,BY10+BX11-CG10)))</f>
        <v>9.4406804447568593</v>
      </c>
      <c r="BZ11" s="14">
        <f>BY11*VLOOKUP('Données projet'!$B$12,Paramètres!$A$1:$I$89,3,0)*VLOOKUP('Données projet'!$B$12,Paramètres!$A$1:$I$89,5,0)</f>
        <v>5.6455269059646023</v>
      </c>
      <c r="CA11" s="14">
        <f t="shared" si="39"/>
        <v>2.1269542317454508</v>
      </c>
      <c r="CB11" s="22">
        <f t="shared" si="10"/>
        <v>13.53707131484501</v>
      </c>
      <c r="CC11" s="62">
        <f t="shared" si="11"/>
        <v>306.87040464817835</v>
      </c>
      <c r="CD11" s="62">
        <f ca="1">AVERAGE(OFFSET($CC$3,0,0,'Données projet'!$E$12+1,1))-AVERAGE(OFFSET($H$3,0,0,'Données projet'!$E$12+1,1))</f>
        <v>279.69031306919914</v>
      </c>
      <c r="CE11" s="62">
        <f t="shared" si="40"/>
        <v>297.01680128882509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2">
        <f t="shared" si="32"/>
        <v>1.8814997515338503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70">
        <f t="shared" si="1"/>
        <v>305.16882873392143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8.526315789473685</v>
      </c>
      <c r="N12" s="14">
        <f>IF('Données projet'!$A$36&gt;35,N11+M12-V11,IF(A12&lt;'Données projet'!$A$36,$K$205^A12,IF(A12='Données projet'!$A$36,'Données projet'!$B$36,N11+M12-V11)))</f>
        <v>11.133004261541316</v>
      </c>
      <c r="O12" s="14">
        <f>N12*VLOOKUP('Données projet'!$B$9,Paramètres!$A$1:$I$89,3,0)*VLOOKUP('Données projet'!$B$9,Paramètres!$A$1:$I$89,5,0)</f>
        <v>6.2233493822015964</v>
      </c>
      <c r="P12" s="14">
        <f t="shared" si="33"/>
        <v>2.3182049730052579</v>
      </c>
      <c r="Q12" s="22">
        <f t="shared" si="2"/>
        <v>14.87654050198527</v>
      </c>
      <c r="R12" s="62">
        <f t="shared" si="0"/>
        <v>308.2098738353186</v>
      </c>
      <c r="S12" s="62">
        <f ca="1">AVERAGE(OFFSET($R$3,0,0,'Données projet'!$E$9+1,1))-AVERAGE(OFFSET($H$3,0,0,'Données projet'!$E$9+1,1))</f>
        <v>378.17323480030268</v>
      </c>
      <c r="T12" s="62">
        <f t="shared" si="34"/>
        <v>471.89239871617241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0.9</v>
      </c>
      <c r="AI12" s="14">
        <f>IF('Données projet'!$A$62&gt;35,AI11+AH12-AQ11,IF(A12&lt;'Données projet'!$A$62,$AF$205^A12,IF(A12='Données projet'!$A$62,'Données projet'!$B$62,AI11+AH12-AQ11)))</f>
        <v>7.2246740558420788</v>
      </c>
      <c r="AJ12" s="14">
        <f>AI12*VLOOKUP('Données projet'!$B$10,Paramètres!$A$1:$I$89,3,0)*VLOOKUP('Données projet'!$B$10,Paramètres!$A$1:$I$89,5,0)</f>
        <v>5.8606555940990948</v>
      </c>
      <c r="AK12" s="14">
        <f t="shared" si="35"/>
        <v>2.1984132231982314</v>
      </c>
      <c r="AL12" s="22">
        <f t="shared" si="4"/>
        <v>14.036211523459508</v>
      </c>
      <c r="AM12" s="62">
        <f t="shared" si="5"/>
        <v>307.3695448567928</v>
      </c>
      <c r="AN12" s="62">
        <f ca="1">AVERAGE(OFFSET($AM$3,0,0,'Données projet'!$E$10+1,1))-AVERAGE(OFFSET($H$3,0,0,'Données projet'!$E$10+1,1))</f>
        <v>199.44889029107367</v>
      </c>
      <c r="AO12" s="62">
        <f t="shared" si="36"/>
        <v>292.30544856287457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7.9</v>
      </c>
      <c r="BD12" s="13">
        <f>IF('Données projet'!$A$88&gt;35,BD11+BC12-BL11,IF(A12&lt;'Données projet'!$A$88,$BA$205^A12,IF(A12='Données projet'!$A$88,'Données projet'!$B$88,BD11+BC12-BL11)))</f>
        <v>9.7587836327093171</v>
      </c>
      <c r="BE12" s="14">
        <f>BD12*VLOOKUP('Données projet'!$B$11,Paramètres!$A$1:$I$89,3,0)*VLOOKUP('Données projet'!$B$11,Paramètres!$A$1:$I$89,5,0)</f>
        <v>4.5671107401079603</v>
      </c>
      <c r="BF12" s="14">
        <f t="shared" si="37"/>
        <v>1.763645650133036</v>
      </c>
      <c r="BG12" s="22">
        <f t="shared" si="7"/>
        <v>11.026067379669733</v>
      </c>
      <c r="BH12" s="62">
        <f t="shared" si="8"/>
        <v>304.35940071300303</v>
      </c>
      <c r="BI12" s="62">
        <f ca="1">AVERAGE(OFFSET($BH$3,0,0,'Données projet'!$E$11+1,1))-AVERAGE(OFFSET($H$3,0,0,'Données projet'!$E$11+1,1))</f>
        <v>256.45505140629194</v>
      </c>
      <c r="BJ12" s="62">
        <f t="shared" si="38"/>
        <v>219.6985760545686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6.9411764705882355</v>
      </c>
      <c r="BY12" s="13">
        <f>IF('Données projet'!$A$114&gt;35,BY11+BX12-CG11,IF(A12&lt;'Données projet'!$A$114,$BV$205^A12,IF(A12='Données projet'!$A$114,'Données projet'!$B$114,BY11+BX12-CG11)))</f>
        <v>12.499099052286473</v>
      </c>
      <c r="BZ12" s="14">
        <f>BY12*VLOOKUP('Données projet'!$B$12,Paramètres!$A$1:$I$89,3,0)*VLOOKUP('Données projet'!$B$12,Paramètres!$A$1:$I$89,5,0)</f>
        <v>7.474461233267311</v>
      </c>
      <c r="CA12" s="14">
        <f t="shared" si="39"/>
        <v>2.7255067314033421</v>
      </c>
      <c r="CB12" s="22">
        <f t="shared" si="10"/>
        <v>17.764944205134721</v>
      </c>
      <c r="CC12" s="62">
        <f t="shared" si="11"/>
        <v>311.09827753846804</v>
      </c>
      <c r="CD12" s="62">
        <f ca="1">AVERAGE(OFFSET($CC$3,0,0,'Données projet'!$E$12+1,1))-AVERAGE(OFFSET($H$3,0,0,'Données projet'!$E$12+1,1))</f>
        <v>279.69031306919914</v>
      </c>
      <c r="CE12" s="62">
        <f t="shared" si="40"/>
        <v>297.01680128882509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2">
        <f t="shared" si="32"/>
        <v>2.0650733588092973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70">
        <f t="shared" si="1"/>
        <v>306.43950276659285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8.526315789473685</v>
      </c>
      <c r="N13" s="14">
        <f>IF('Données projet'!$A$36&gt;35,N12+M13-V12,IF(A13&lt;'Données projet'!$A$36,$K$205^A13,IF(A13='Données projet'!$A$36,'Données projet'!$B$36,N12+M13-V12)))</f>
        <v>14.551328302246779</v>
      </c>
      <c r="O13" s="14">
        <f>N13*VLOOKUP('Données projet'!$B$9,Paramètres!$A$1:$I$89,3,0)*VLOOKUP('Données projet'!$B$9,Paramètres!$A$1:$I$89,5,0)</f>
        <v>8.1341925209559491</v>
      </c>
      <c r="P13" s="14">
        <f t="shared" si="33"/>
        <v>2.9370132807503975</v>
      </c>
      <c r="Q13" s="22">
        <f t="shared" si="2"/>
        <v>19.282350104638549</v>
      </c>
      <c r="R13" s="62">
        <f t="shared" si="0"/>
        <v>312.61568343797188</v>
      </c>
      <c r="S13" s="62">
        <f ca="1">AVERAGE(OFFSET($R$3,0,0,'Données projet'!$E$9+1,1))-AVERAGE(OFFSET($H$3,0,0,'Données projet'!$E$9+1,1))</f>
        <v>378.17323480030268</v>
      </c>
      <c r="T13" s="62">
        <f t="shared" si="34"/>
        <v>471.89239871617241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>
        <f>VLOOKUP(A13,'Données projet'!$A$61:$I$81,2,0)</f>
        <v>9</v>
      </c>
      <c r="AG13" s="13">
        <f>VLOOKUP(A13,'Données projet'!$A$61:$I$81,9,0)</f>
        <v>0.9</v>
      </c>
      <c r="AH13" s="13">
        <f t="array" ref="AH13">INDEX(AG:AG,MIN(IF(ISNUMBER(AG13:AG209),ROW(AG13:AG209),"")))</f>
        <v>0.9</v>
      </c>
      <c r="AI13" s="14">
        <f>IF('Données projet'!$A$62&gt;35,AI12+AH13-AQ12,IF(A13&lt;'Données projet'!$A$62,$AF$205^A13,IF(A13='Données projet'!$A$62,'Données projet'!$B$62,AI12+AH13-AQ12)))</f>
        <v>9</v>
      </c>
      <c r="AJ13" s="14">
        <f>AI13*VLOOKUP('Données projet'!$B$10,Paramètres!$A$1:$I$89,3,0)*VLOOKUP('Données projet'!$B$10,Paramètres!$A$1:$I$89,5,0)</f>
        <v>7.3007999999999997</v>
      </c>
      <c r="AK13" s="14">
        <f t="shared" si="35"/>
        <v>2.6694770761469542</v>
      </c>
      <c r="AL13" s="22">
        <f t="shared" si="4"/>
        <v>17.364899240955943</v>
      </c>
      <c r="AM13" s="62">
        <f t="shared" si="5"/>
        <v>310.69823257428925</v>
      </c>
      <c r="AN13" s="62">
        <f ca="1">AVERAGE(OFFSET($AM$3,0,0,'Données projet'!$E$10+1,1))-AVERAGE(OFFSET($H$3,0,0,'Données projet'!$E$10+1,1))</f>
        <v>199.44889029107367</v>
      </c>
      <c r="AO13" s="62">
        <f t="shared" si="36"/>
        <v>292.30544856287457</v>
      </c>
      <c r="AP13" s="16">
        <f>IF(ISNA(VLOOKUP(A13,'Données projet'!$A$61:$I$81,3,0)),0,VLOOKUP(A13,'Données projet'!$A$61:$I$81,3,0))</f>
        <v>1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7.9</v>
      </c>
      <c r="BD13" s="13">
        <f>IF('Données projet'!$A$88&gt;35,BD12+BC13-BL12,IF(A13&lt;'Données projet'!$A$88,$BA$205^A13,IF(A13='Données projet'!$A$88,'Données projet'!$B$88,BD12+BC13-BL12)))</f>
        <v>12.569805089976542</v>
      </c>
      <c r="BE13" s="14">
        <f>BD13*VLOOKUP('Données projet'!$B$11,Paramètres!$A$1:$I$89,3,0)*VLOOKUP('Données projet'!$B$11,Paramètres!$A$1:$I$89,5,0)</f>
        <v>5.8826687821090227</v>
      </c>
      <c r="BF13" s="14">
        <f t="shared" si="37"/>
        <v>2.2057079152108381</v>
      </c>
      <c r="BG13" s="22">
        <f t="shared" si="7"/>
        <v>14.087256081165423</v>
      </c>
      <c r="BH13" s="62">
        <f t="shared" si="8"/>
        <v>307.42058941449875</v>
      </c>
      <c r="BI13" s="62">
        <f ca="1">AVERAGE(OFFSET($BH$3,0,0,'Données projet'!$E$11+1,1))-AVERAGE(OFFSET($H$3,0,0,'Données projet'!$E$11+1,1))</f>
        <v>256.45505140629194</v>
      </c>
      <c r="BJ13" s="62">
        <f t="shared" si="38"/>
        <v>219.6985760545686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6.9411764705882355</v>
      </c>
      <c r="BY13" s="13">
        <f>IF('Données projet'!$A$114&gt;35,BY12+BX13-CG12,IF(A13&lt;'Données projet'!$A$114,$BV$205^A13,IF(A13='Données projet'!$A$114,'Données projet'!$B$114,BY12+BX13-CG12)))</f>
        <v>16.548328060996262</v>
      </c>
      <c r="BZ13" s="14">
        <f>BY13*VLOOKUP('Données projet'!$B$12,Paramètres!$A$1:$I$89,3,0)*VLOOKUP('Données projet'!$B$12,Paramètres!$A$1:$I$89,5,0)</f>
        <v>9.8959001804757651</v>
      </c>
      <c r="CA13" s="14">
        <f t="shared" si="39"/>
        <v>3.4924996655094662</v>
      </c>
      <c r="CB13" s="22">
        <f t="shared" si="10"/>
        <v>23.318129731757608</v>
      </c>
      <c r="CC13" s="62">
        <f t="shared" si="11"/>
        <v>316.65146306509092</v>
      </c>
      <c r="CD13" s="62">
        <f ca="1">AVERAGE(OFFSET($CC$3,0,0,'Données projet'!$E$12+1,1))-AVERAGE(OFFSET($H$3,0,0,'Données projet'!$E$12+1,1))</f>
        <v>279.69031306919914</v>
      </c>
      <c r="CE13" s="62">
        <f t="shared" si="40"/>
        <v>297.01680128882509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2">
        <f t="shared" si="32"/>
        <v>2.2465188167092136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70">
        <f t="shared" si="1"/>
        <v>307.70647027243518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8.526315789473685</v>
      </c>
      <c r="N14" s="14">
        <f>IF('Données projet'!$A$36&gt;35,N13+M14-V13,IF(A14&lt;'Données projet'!$A$36,$K$205^A14,IF(A14='Données projet'!$A$36,'Données projet'!$B$36,N13+M14-V13)))</f>
        <v>19.01922880701866</v>
      </c>
      <c r="O14" s="14">
        <f>N14*VLOOKUP('Données projet'!$B$9,Paramètres!$A$1:$I$89,3,0)*VLOOKUP('Données projet'!$B$9,Paramètres!$A$1:$I$89,5,0)</f>
        <v>10.631748903123432</v>
      </c>
      <c r="P14" s="14">
        <f t="shared" si="33"/>
        <v>3.7210027205323613</v>
      </c>
      <c r="Q14" s="22">
        <f t="shared" si="2"/>
        <v>24.997709077867171</v>
      </c>
      <c r="R14" s="62">
        <f t="shared" si="0"/>
        <v>318.33104241120049</v>
      </c>
      <c r="S14" s="62">
        <f ca="1">AVERAGE(OFFSET($R$3,0,0,'Données projet'!$E$9+1,1))-AVERAGE(OFFSET($H$3,0,0,'Données projet'!$E$9+1,1))</f>
        <v>378.17323480030268</v>
      </c>
      <c r="T14" s="62">
        <f t="shared" si="34"/>
        <v>471.89239871617241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8</v>
      </c>
      <c r="AI14" s="14">
        <f>IF('Données projet'!$A$62&gt;35,AI13+AH14-AQ13,IF(A14&lt;'Données projet'!$A$62,$AF$205^A14,IF(A14='Données projet'!$A$62,'Données projet'!$B$62,AI13+AH14-AQ13)))</f>
        <v>17</v>
      </c>
      <c r="AJ14" s="14">
        <f>AI14*VLOOKUP('Données projet'!$B$10,Paramètres!$A$1:$I$89,3,0)*VLOOKUP('Données projet'!$B$10,Paramètres!$A$1:$I$89,5,0)</f>
        <v>13.7904</v>
      </c>
      <c r="AK14" s="14">
        <f t="shared" si="35"/>
        <v>4.6825473896592289</v>
      </c>
      <c r="AL14" s="22">
        <f t="shared" si="4"/>
        <v>32.173716703656488</v>
      </c>
      <c r="AM14" s="62">
        <f t="shared" si="5"/>
        <v>325.50705003698982</v>
      </c>
      <c r="AN14" s="62">
        <f ca="1">AVERAGE(OFFSET($AM$3,0,0,'Données projet'!$E$10+1,1))-AVERAGE(OFFSET($H$3,0,0,'Données projet'!$E$10+1,1))</f>
        <v>199.44889029107367</v>
      </c>
      <c r="AO14" s="62">
        <f t="shared" si="36"/>
        <v>292.30544856287457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7.9</v>
      </c>
      <c r="BD14" s="13">
        <f>IF('Données projet'!$A$88&gt;35,BD13+BC14-BL13,IF(A14&lt;'Données projet'!$A$88,$BA$205^A14,IF(A14='Données projet'!$A$88,'Données projet'!$B$88,BD13+BC14-BL13)))</f>
        <v>16.190542381779895</v>
      </c>
      <c r="BE14" s="14">
        <f>BD14*VLOOKUP('Données projet'!$B$11,Paramètres!$A$1:$I$89,3,0)*VLOOKUP('Données projet'!$B$11,Paramètres!$A$1:$I$89,5,0)</f>
        <v>7.5771738346729904</v>
      </c>
      <c r="BF14" s="14">
        <f t="shared" si="37"/>
        <v>2.7585742106736397</v>
      </c>
      <c r="BG14" s="22">
        <f t="shared" si="7"/>
        <v>18.001427845645381</v>
      </c>
      <c r="BH14" s="62">
        <f t="shared" si="8"/>
        <v>311.33476117897868</v>
      </c>
      <c r="BI14" s="62">
        <f ca="1">AVERAGE(OFFSET($BH$3,0,0,'Données projet'!$E$11+1,1))-AVERAGE(OFFSET($H$3,0,0,'Données projet'!$E$11+1,1))</f>
        <v>256.45505140629194</v>
      </c>
      <c r="BJ14" s="62">
        <f t="shared" si="38"/>
        <v>219.6985760545686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6.9411764705882355</v>
      </c>
      <c r="BY14" s="13">
        <f>IF('Données projet'!$A$114&gt;35,BY13+BX14-CG13,IF(A14&lt;'Données projet'!$A$114,$BV$205^A14,IF(A14='Données projet'!$A$114,'Données projet'!$B$114,BY13+BX14-CG13)))</f>
        <v>21.909352063600231</v>
      </c>
      <c r="BZ14" s="14">
        <f>BY14*VLOOKUP('Données projet'!$B$12,Paramètres!$A$1:$I$89,3,0)*VLOOKUP('Données projet'!$B$12,Paramètres!$A$1:$I$89,5,0)</f>
        <v>13.101792534032938</v>
      </c>
      <c r="CA14" s="14">
        <f t="shared" si="39"/>
        <v>4.4753343563761101</v>
      </c>
      <c r="CB14" s="22">
        <f t="shared" si="10"/>
        <v>30.613496000795752</v>
      </c>
      <c r="CC14" s="62">
        <f t="shared" si="11"/>
        <v>323.94682933412906</v>
      </c>
      <c r="CD14" s="62">
        <f ca="1">AVERAGE(OFFSET($CC$3,0,0,'Données projet'!$E$12+1,1))-AVERAGE(OFFSET($H$3,0,0,'Données projet'!$E$12+1,1))</f>
        <v>279.69031306919914</v>
      </c>
      <c r="CE14" s="62">
        <f t="shared" si="40"/>
        <v>297.01680128882509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2">
        <f t="shared" si="32"/>
        <v>2.4260515959655744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70">
        <f t="shared" si="1"/>
        <v>308.97010652964002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8.526315789473685</v>
      </c>
      <c r="N15" s="14">
        <f>IF('Données projet'!$A$36&gt;35,N14+M15-V14,IF(A15&lt;'Données projet'!$A$36,$K$205^A15,IF(A15='Données projet'!$A$36,'Données projet'!$B$36,N14+M15-V14)))</f>
        <v>24.85897210895007</v>
      </c>
      <c r="O15" s="14">
        <f>N15*VLOOKUP('Données projet'!$B$9,Paramètres!$A$1:$I$89,3,0)*VLOOKUP('Données projet'!$B$9,Paramètres!$A$1:$I$89,5,0)</f>
        <v>13.896165408903089</v>
      </c>
      <c r="P15" s="14">
        <f t="shared" si="33"/>
        <v>4.7142657940830492</v>
      </c>
      <c r="Q15" s="22">
        <f t="shared" si="2"/>
        <v>32.413167678534187</v>
      </c>
      <c r="R15" s="62">
        <f t="shared" si="0"/>
        <v>325.74650101186751</v>
      </c>
      <c r="S15" s="62">
        <f ca="1">AVERAGE(OFFSET($R$3,0,0,'Données projet'!$E$9+1,1))-AVERAGE(OFFSET($H$3,0,0,'Données projet'!$E$9+1,1))</f>
        <v>378.17323480030268</v>
      </c>
      <c r="T15" s="62">
        <f t="shared" si="34"/>
        <v>471.89239871617241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8</v>
      </c>
      <c r="AI15" s="14">
        <f>IF('Données projet'!$A$62&gt;35,AI14+AH15-AQ14,IF(A15&lt;'Données projet'!$A$62,$AF$205^A15,IF(A15='Données projet'!$A$62,'Données projet'!$B$62,AI14+AH15-AQ14)))</f>
        <v>25</v>
      </c>
      <c r="AJ15" s="14">
        <f>AI15*VLOOKUP('Données projet'!$B$10,Paramètres!$A$1:$I$89,3,0)*VLOOKUP('Données projet'!$B$10,Paramètres!$A$1:$I$89,5,0)</f>
        <v>20.28</v>
      </c>
      <c r="AK15" s="14">
        <f t="shared" si="35"/>
        <v>6.5838102554415308</v>
      </c>
      <c r="AL15" s="22">
        <f t="shared" si="4"/>
        <v>46.787802861560664</v>
      </c>
      <c r="AM15" s="62">
        <f t="shared" si="5"/>
        <v>340.12113619489401</v>
      </c>
      <c r="AN15" s="62">
        <f ca="1">AVERAGE(OFFSET($AM$3,0,0,'Données projet'!$E$10+1,1))-AVERAGE(OFFSET($H$3,0,0,'Données projet'!$E$10+1,1))</f>
        <v>199.44889029107367</v>
      </c>
      <c r="AO15" s="62">
        <f t="shared" si="36"/>
        <v>292.30544856287457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7.9</v>
      </c>
      <c r="BD15" s="13">
        <f>IF('Données projet'!$A$88&gt;35,BD14+BC15-BL14,IF(A15&lt;'Données projet'!$A$88,$BA$205^A15,IF(A15='Données projet'!$A$88,'Données projet'!$B$88,BD14+BC15-BL14)))</f>
        <v>20.854234472198982</v>
      </c>
      <c r="BE15" s="14">
        <f>BD15*VLOOKUP('Données projet'!$B$11,Paramètres!$A$1:$I$89,3,0)*VLOOKUP('Données projet'!$B$11,Paramètres!$A$1:$I$89,5,0)</f>
        <v>9.7597817329891239</v>
      </c>
      <c r="BF15" s="14">
        <f t="shared" si="37"/>
        <v>3.4500178483814818</v>
      </c>
      <c r="BG15" s="22">
        <f t="shared" si="7"/>
        <v>23.00706760422047</v>
      </c>
      <c r="BH15" s="62">
        <f t="shared" si="8"/>
        <v>316.3404009375538</v>
      </c>
      <c r="BI15" s="62">
        <f ca="1">AVERAGE(OFFSET($BH$3,0,0,'Données projet'!$E$11+1,1))-AVERAGE(OFFSET($H$3,0,0,'Données projet'!$E$11+1,1))</f>
        <v>256.45505140629194</v>
      </c>
      <c r="BJ15" s="62">
        <f t="shared" si="38"/>
        <v>219.6985760545686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6.9411764705882355</v>
      </c>
      <c r="BY15" s="13">
        <f>IF('Données projet'!$A$114&gt;35,BY14+BX15-CG14,IF(A15&lt;'Données projet'!$A$114,$BV$205^A15,IF(A15='Données projet'!$A$114,'Données projet'!$B$114,BY14+BX15-CG14)))</f>
        <v>29.007142357672414</v>
      </c>
      <c r="BZ15" s="14">
        <f>BY15*VLOOKUP('Données projet'!$B$12,Paramètres!$A$1:$I$89,3,0)*VLOOKUP('Données projet'!$B$12,Paramètres!$A$1:$I$89,5,0)</f>
        <v>17.346271129888105</v>
      </c>
      <c r="CA15" s="14">
        <f t="shared" si="39"/>
        <v>5.7347514730366376</v>
      </c>
      <c r="CB15" s="22">
        <f t="shared" si="10"/>
        <v>40.19944770009392</v>
      </c>
      <c r="CC15" s="62">
        <f t="shared" si="11"/>
        <v>333.53278103342723</v>
      </c>
      <c r="CD15" s="62">
        <f ca="1">AVERAGE(OFFSET($CC$3,0,0,'Données projet'!$E$12+1,1))-AVERAGE(OFFSET($H$3,0,0,'Données projet'!$E$12+1,1))</f>
        <v>279.69031306919914</v>
      </c>
      <c r="CE15" s="62">
        <f t="shared" si="40"/>
        <v>297.01680128882509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2">
        <f t="shared" si="32"/>
        <v>2.6038492076799815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70">
        <f t="shared" si="1"/>
        <v>310.23072070337594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8.526315789473685</v>
      </c>
      <c r="N16" s="14">
        <f>IF('Données projet'!$A$36&gt;35,N15+M16-V15,IF(A16&lt;'Données projet'!$A$36,$K$205^A16,IF(A16='Données projet'!$A$36,'Données projet'!$B$36,N15+M16-V15)))</f>
        <v>32.491774539539094</v>
      </c>
      <c r="O16" s="14">
        <f>N16*VLOOKUP('Données projet'!$B$9,Paramètres!$A$1:$I$89,3,0)*VLOOKUP('Données projet'!$B$9,Paramètres!$A$1:$I$89,5,0)</f>
        <v>18.162901967602355</v>
      </c>
      <c r="P16" s="14">
        <f t="shared" si="33"/>
        <v>5.9726648020514927</v>
      </c>
      <c r="Q16" s="22">
        <f t="shared" si="2"/>
        <v>42.036112123813787</v>
      </c>
      <c r="R16" s="62">
        <f t="shared" si="0"/>
        <v>335.36944545714709</v>
      </c>
      <c r="S16" s="62">
        <f ca="1">AVERAGE(OFFSET($R$3,0,0,'Données projet'!$E$9+1,1))-AVERAGE(OFFSET($H$3,0,0,'Données projet'!$E$9+1,1))</f>
        <v>378.17323480030268</v>
      </c>
      <c r="T16" s="62">
        <f t="shared" si="34"/>
        <v>471.89239871617241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8</v>
      </c>
      <c r="AI16" s="14">
        <f>IF('Données projet'!$A$62&gt;35,AI15+AH16-AQ15,IF(A16&lt;'Données projet'!$A$62,$AF$205^A16,IF(A16='Données projet'!$A$62,'Données projet'!$B$62,AI15+AH16-AQ15)))</f>
        <v>33</v>
      </c>
      <c r="AJ16" s="14">
        <f>AI16*VLOOKUP('Données projet'!$B$10,Paramètres!$A$1:$I$89,3,0)*VLOOKUP('Données projet'!$B$10,Paramètres!$A$1:$I$89,5,0)</f>
        <v>26.769600000000001</v>
      </c>
      <c r="AK16" s="14">
        <f t="shared" si="35"/>
        <v>8.4142697673415618</v>
      </c>
      <c r="AL16" s="22">
        <f t="shared" si="4"/>
        <v>61.278573178119878</v>
      </c>
      <c r="AM16" s="62">
        <f t="shared" si="5"/>
        <v>354.61190651145318</v>
      </c>
      <c r="AN16" s="62">
        <f ca="1">AVERAGE(OFFSET($AM$3,0,0,'Données projet'!$E$10+1,1))-AVERAGE(OFFSET($H$3,0,0,'Données projet'!$E$10+1,1))</f>
        <v>199.44889029107367</v>
      </c>
      <c r="AO16" s="62">
        <f t="shared" si="36"/>
        <v>292.30544856287457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7.9</v>
      </c>
      <c r="BD16" s="13">
        <f>IF('Données projet'!$A$88&gt;35,BD15+BC16-BL15,IF(A16&lt;'Données projet'!$A$88,$BA$205^A16,IF(A16='Données projet'!$A$88,'Données projet'!$B$88,BD15+BC16-BL15)))</f>
        <v>26.861304900499697</v>
      </c>
      <c r="BE16" s="14">
        <f>BD16*VLOOKUP('Données projet'!$B$11,Paramètres!$A$1:$I$89,3,0)*VLOOKUP('Données projet'!$B$11,Paramètres!$A$1:$I$89,5,0)</f>
        <v>12.571090693433858</v>
      </c>
      <c r="BF16" s="14">
        <f t="shared" si="37"/>
        <v>4.3147735914069099</v>
      </c>
      <c r="BG16" s="22">
        <f t="shared" si="7"/>
        <v>29.409546962764335</v>
      </c>
      <c r="BH16" s="62">
        <f t="shared" si="8"/>
        <v>322.74288029609767</v>
      </c>
      <c r="BI16" s="62">
        <f ca="1">AVERAGE(OFFSET($BH$3,0,0,'Données projet'!$E$11+1,1))-AVERAGE(OFFSET($H$3,0,0,'Données projet'!$E$11+1,1))</f>
        <v>256.45505140629194</v>
      </c>
      <c r="BJ16" s="62">
        <f t="shared" si="38"/>
        <v>219.6985760545686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6.9411764705882355</v>
      </c>
      <c r="BY16" s="13">
        <f>IF('Données projet'!$A$114&gt;35,BY15+BX16-CG15,IF(A16&lt;'Données projet'!$A$114,$BV$205^A16,IF(A16='Données projet'!$A$114,'Données projet'!$B$114,BY15+BX16-CG15)))</f>
        <v>38.404344652263013</v>
      </c>
      <c r="BZ16" s="14">
        <f>BY16*VLOOKUP('Données projet'!$B$12,Paramètres!$A$1:$I$89,3,0)*VLOOKUP('Données projet'!$B$12,Paramètres!$A$1:$I$89,5,0)</f>
        <v>22.965798102053284</v>
      </c>
      <c r="CA16" s="14">
        <f t="shared" si="39"/>
        <v>7.3485848963755025</v>
      </c>
      <c r="CB16" s="22">
        <f t="shared" si="10"/>
        <v>52.797550388930141</v>
      </c>
      <c r="CC16" s="62">
        <f t="shared" si="11"/>
        <v>346.13088372226343</v>
      </c>
      <c r="CD16" s="62">
        <f ca="1">AVERAGE(OFFSET($CC$3,0,0,'Données projet'!$E$12+1,1))-AVERAGE(OFFSET($H$3,0,0,'Données projet'!$E$12+1,1))</f>
        <v>279.69031306919914</v>
      </c>
      <c r="CE16" s="62">
        <f t="shared" si="40"/>
        <v>297.01680128882509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2">
        <f t="shared" si="32"/>
        <v>2.7800603022041317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70">
        <f t="shared" si="1"/>
        <v>311.4885716930055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8.526315789473685</v>
      </c>
      <c r="N17" s="14">
        <f>IF('Données projet'!$A$36&gt;35,N16+M17-V16,IF(A17&lt;'Données projet'!$A$36,$K$205^A17,IF(A17='Données projet'!$A$36,'Données projet'!$B$36,N16+M17-V16)))</f>
        <v>42.468184448710481</v>
      </c>
      <c r="O17" s="14">
        <f>N17*VLOOKUP('Données projet'!$B$9,Paramètres!$A$1:$I$89,3,0)*VLOOKUP('Données projet'!$B$9,Paramètres!$A$1:$I$89,5,0)</f>
        <v>23.739715106829159</v>
      </c>
      <c r="P17" s="14">
        <f t="shared" si="33"/>
        <v>7.5669736064602473</v>
      </c>
      <c r="Q17" s="22">
        <f t="shared" si="2"/>
        <v>54.525816175645708</v>
      </c>
      <c r="R17" s="62">
        <f t="shared" si="0"/>
        <v>347.85914950897904</v>
      </c>
      <c r="S17" s="62">
        <f ca="1">AVERAGE(OFFSET($R$3,0,0,'Données projet'!$E$9+1,1))-AVERAGE(OFFSET($H$3,0,0,'Données projet'!$E$9+1,1))</f>
        <v>378.17323480030268</v>
      </c>
      <c r="T17" s="62">
        <f t="shared" si="34"/>
        <v>471.89239871617241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8</v>
      </c>
      <c r="AI17" s="14">
        <f>IF('Données projet'!$A$62&gt;35,AI16+AH17-AQ16,IF(A17&lt;'Données projet'!$A$62,$AF$205^A17,IF(A17='Données projet'!$A$62,'Données projet'!$B$62,AI16+AH17-AQ16)))</f>
        <v>41</v>
      </c>
      <c r="AJ17" s="14">
        <f>AI17*VLOOKUP('Données projet'!$B$10,Paramètres!$A$1:$I$89,3,0)*VLOOKUP('Données projet'!$B$10,Paramètres!$A$1:$I$89,5,0)</f>
        <v>33.2592</v>
      </c>
      <c r="AK17" s="14">
        <f t="shared" si="35"/>
        <v>10.193265358024187</v>
      </c>
      <c r="AL17" s="22">
        <f t="shared" si="4"/>
        <v>75.679710498558791</v>
      </c>
      <c r="AM17" s="62">
        <f t="shared" si="5"/>
        <v>369.01304383189211</v>
      </c>
      <c r="AN17" s="62">
        <f ca="1">AVERAGE(OFFSET($AM$3,0,0,'Données projet'!$E$10+1,1))-AVERAGE(OFFSET($H$3,0,0,'Données projet'!$E$10+1,1))</f>
        <v>199.44889029107367</v>
      </c>
      <c r="AO17" s="62">
        <f t="shared" si="36"/>
        <v>292.30544856287457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7.9</v>
      </c>
      <c r="BD17" s="13">
        <f>IF('Données projet'!$A$88&gt;35,BD16+BC17-BL16,IF(A17&lt;'Données projet'!$A$88,$BA$205^A17,IF(A17='Données projet'!$A$88,'Données projet'!$B$88,BD16+BC17-BL16)))</f>
        <v>34.598714324397214</v>
      </c>
      <c r="BE17" s="14">
        <f>BD17*VLOOKUP('Données projet'!$B$11,Paramètres!$A$1:$I$89,3,0)*VLOOKUP('Données projet'!$B$11,Paramètres!$A$1:$I$89,5,0)</f>
        <v>16.192198303817896</v>
      </c>
      <c r="BF17" s="14">
        <f t="shared" si="37"/>
        <v>5.3962825594761723</v>
      </c>
      <c r="BG17" s="22">
        <f t="shared" si="7"/>
        <v>37.599937503570509</v>
      </c>
      <c r="BH17" s="62">
        <f t="shared" si="8"/>
        <v>330.93327083690383</v>
      </c>
      <c r="BI17" s="62">
        <f ca="1">AVERAGE(OFFSET($BH$3,0,0,'Données projet'!$E$11+1,1))-AVERAGE(OFFSET($H$3,0,0,'Données projet'!$E$11+1,1))</f>
        <v>256.45505140629194</v>
      </c>
      <c r="BJ17" s="62">
        <f t="shared" si="38"/>
        <v>219.6985760545686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6.9411764705882355</v>
      </c>
      <c r="BY17" s="13">
        <f>IF('Données projet'!$A$114&gt;35,BY16+BX17-CG16,IF(A17&lt;'Données projet'!$A$114,$BV$205^A17,IF(A17='Données projet'!$A$114,'Données projet'!$B$114,BY16+BX17-CG16)))</f>
        <v>50.845880300225161</v>
      </c>
      <c r="BZ17" s="14">
        <f>BY17*VLOOKUP('Données projet'!$B$12,Paramètres!$A$1:$I$89,3,0)*VLOOKUP('Données projet'!$B$12,Paramètres!$A$1:$I$89,5,0)</f>
        <v>30.405836419534648</v>
      </c>
      <c r="CA17" s="14">
        <f t="shared" si="39"/>
        <v>9.4165719705798292</v>
      </c>
      <c r="CB17" s="22">
        <f t="shared" si="10"/>
        <v>69.357361279449364</v>
      </c>
      <c r="CC17" s="62">
        <f t="shared" si="11"/>
        <v>362.69069461278269</v>
      </c>
      <c r="CD17" s="62">
        <f ca="1">AVERAGE(OFFSET($CC$3,0,0,'Données projet'!$E$12+1,1))-AVERAGE(OFFSET($H$3,0,0,'Données projet'!$E$12+1,1))</f>
        <v>279.69031306919914</v>
      </c>
      <c r="CE17" s="62">
        <f t="shared" si="40"/>
        <v>297.01680128882509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2">
        <f t="shared" si="32"/>
        <v>2.9548110908066194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70">
        <f t="shared" si="1"/>
        <v>312.74387931648818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8.526315789473685</v>
      </c>
      <c r="N18" s="14">
        <f>IF('Données projet'!$A$36&gt;35,N17+M18-V17,IF(A18&lt;'Données projet'!$A$36,$K$205^A18,IF(A18='Données projet'!$A$36,'Données projet'!$B$36,N17+M18-V17)))</f>
        <v>55.507792846923991</v>
      </c>
      <c r="O18" s="14">
        <f>N18*VLOOKUP('Données projet'!$B$9,Paramètres!$A$1:$I$89,3,0)*VLOOKUP('Données projet'!$B$9,Paramètres!$A$1:$I$89,5,0)</f>
        <v>31.028856201430514</v>
      </c>
      <c r="P18" s="14">
        <f t="shared" si="33"/>
        <v>9.5868580371693835</v>
      </c>
      <c r="Q18" s="22">
        <f t="shared" si="2"/>
        <v>70.739035632228152</v>
      </c>
      <c r="R18" s="62">
        <f t="shared" si="0"/>
        <v>364.07236896556145</v>
      </c>
      <c r="S18" s="62">
        <f ca="1">AVERAGE(OFFSET($R$3,0,0,'Données projet'!$E$9+1,1))-AVERAGE(OFFSET($H$3,0,0,'Données projet'!$E$9+1,1))</f>
        <v>378.17323480030268</v>
      </c>
      <c r="T18" s="62">
        <f t="shared" si="34"/>
        <v>471.89239871617241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>
        <f>VLOOKUP(A18,'Données projet'!$A$61:$I$81,2,0)</f>
        <v>49</v>
      </c>
      <c r="AG18" s="13">
        <f>VLOOKUP(A18,'Données projet'!$A$61:$I$81,9,0)</f>
        <v>8</v>
      </c>
      <c r="AH18" s="13">
        <f t="array" ref="AH18">INDEX(AG:AG,MIN(IF(ISNUMBER(AG18:AG214),ROW(AG18:AG214),"")))</f>
        <v>8</v>
      </c>
      <c r="AI18" s="14">
        <f>IF('Données projet'!$A$62&gt;35,AI17+AH18-AQ17,IF(A18&lt;'Données projet'!$A$62,$AF$205^A18,IF(A18='Données projet'!$A$62,'Données projet'!$B$62,AI17+AH18-AQ17)))</f>
        <v>49</v>
      </c>
      <c r="AJ18" s="14">
        <f>AI18*VLOOKUP('Données projet'!$B$10,Paramètres!$A$1:$I$89,3,0)*VLOOKUP('Données projet'!$B$10,Paramètres!$A$1:$I$89,5,0)</f>
        <v>39.748800000000003</v>
      </c>
      <c r="AK18" s="14">
        <f t="shared" si="35"/>
        <v>11.932041927023215</v>
      </c>
      <c r="AL18" s="22">
        <f t="shared" si="4"/>
        <v>90.010799689565431</v>
      </c>
      <c r="AM18" s="62">
        <f t="shared" si="5"/>
        <v>383.34413302289875</v>
      </c>
      <c r="AN18" s="62">
        <f ca="1">AVERAGE(OFFSET($AM$3,0,0,'Données projet'!$E$10+1,1))-AVERAGE(OFFSET($H$3,0,0,'Données projet'!$E$10+1,1))</f>
        <v>199.44889029107367</v>
      </c>
      <c r="AO18" s="62">
        <f t="shared" si="36"/>
        <v>292.30544856287457</v>
      </c>
      <c r="AP18" s="16">
        <f>IF(ISNA(VLOOKUP(A18,'Données projet'!$A$61:$I$81,3,0)),0,VLOOKUP(A18,'Données projet'!$A$61:$I$81,3,0))</f>
        <v>2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7.9</v>
      </c>
      <c r="BD18" s="13">
        <f>IF('Données projet'!$A$88&gt;35,BD17+BC18-BL17,IF(A18&lt;'Données projet'!$A$88,$BA$205^A18,IF(A18='Données projet'!$A$88,'Données projet'!$B$88,BD17+BC18-BL17)))</f>
        <v>44.564887571004775</v>
      </c>
      <c r="BE18" s="14">
        <f>BD18*VLOOKUP('Données projet'!$B$11,Paramètres!$A$1:$I$89,3,0)*VLOOKUP('Données projet'!$B$11,Paramètres!$A$1:$I$89,5,0)</f>
        <v>20.856367383230236</v>
      </c>
      <c r="BF18" s="14">
        <f t="shared" si="37"/>
        <v>6.7488744993944465</v>
      </c>
      <c r="BG18" s="22">
        <f t="shared" si="7"/>
        <v>48.079129612237985</v>
      </c>
      <c r="BH18" s="62">
        <f t="shared" si="8"/>
        <v>341.41246294557129</v>
      </c>
      <c r="BI18" s="62">
        <f ca="1">AVERAGE(OFFSET($BH$3,0,0,'Données projet'!$E$11+1,1))-AVERAGE(OFFSET($H$3,0,0,'Données projet'!$E$11+1,1))</f>
        <v>256.45505140629194</v>
      </c>
      <c r="BJ18" s="62">
        <f t="shared" si="38"/>
        <v>219.6985760545686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6.9411764705882355</v>
      </c>
      <c r="BY18" s="13">
        <f>IF('Données projet'!$A$114&gt;35,BY17+BX18-CG17,IF(A18&lt;'Données projet'!$A$114,$BV$205^A18,IF(A18='Données projet'!$A$114,'Données projet'!$B$114,BY17+BX18-CG17)))</f>
        <v>67.317996620272581</v>
      </c>
      <c r="BZ18" s="14">
        <f>BY18*VLOOKUP('Données projet'!$B$12,Paramètres!$A$1:$I$89,3,0)*VLOOKUP('Données projet'!$B$12,Paramètres!$A$1:$I$89,5,0)</f>
        <v>40.256161978923011</v>
      </c>
      <c r="CA18" s="14">
        <f t="shared" si="39"/>
        <v>12.066517421720839</v>
      </c>
      <c r="CB18" s="22">
        <f t="shared" si="10"/>
        <v>91.128666622788032</v>
      </c>
      <c r="CC18" s="62">
        <f t="shared" si="11"/>
        <v>384.46199995612136</v>
      </c>
      <c r="CD18" s="62">
        <f ca="1">AVERAGE(OFFSET($CC$3,0,0,'Données projet'!$E$12+1,1))-AVERAGE(OFFSET($H$3,0,0,'Données projet'!$E$12+1,1))</f>
        <v>279.69031306919914</v>
      </c>
      <c r="CE18" s="62">
        <f t="shared" si="40"/>
        <v>297.01680128882509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2">
        <f t="shared" si="32"/>
        <v>3.1282100045396777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70">
        <f t="shared" si="1"/>
        <v>313.99683242457326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8.526315789473685</v>
      </c>
      <c r="N19" s="14">
        <f>IF('Données projet'!$A$36&gt;35,N18+M19-V18,IF(A19&lt;'Données projet'!$A$36,$K$205^A19,IF(A19='Données projet'!$A$36,'Données projet'!$B$36,N18+M19-V18)))</f>
        <v>72.551136968384853</v>
      </c>
      <c r="O19" s="14">
        <f>N19*VLOOKUP('Données projet'!$B$9,Paramètres!$A$1:$I$89,3,0)*VLOOKUP('Données projet'!$B$9,Paramètres!$A$1:$I$89,5,0)</f>
        <v>40.55608556532713</v>
      </c>
      <c r="P19" s="14">
        <f t="shared" si="33"/>
        <v>12.145918805157919</v>
      </c>
      <c r="Q19" s="22">
        <f t="shared" si="2"/>
        <v>91.78932427859479</v>
      </c>
      <c r="R19" s="62">
        <f t="shared" si="0"/>
        <v>385.1226576119281</v>
      </c>
      <c r="S19" s="62">
        <f ca="1">AVERAGE(OFFSET($R$3,0,0,'Données projet'!$E$9+1,1))-AVERAGE(OFFSET($H$3,0,0,'Données projet'!$E$9+1,1))</f>
        <v>378.17323480030268</v>
      </c>
      <c r="T19" s="62">
        <f t="shared" si="34"/>
        <v>471.89239871617241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10</v>
      </c>
      <c r="AI19" s="14">
        <f>IF('Données projet'!$A$62&gt;35,AI18+AH19-AQ18,IF(A19&lt;'Données projet'!$A$62,$AF$205^A19,IF(A19='Données projet'!$A$62,'Données projet'!$B$62,AI18+AH19-AQ18)))</f>
        <v>59</v>
      </c>
      <c r="AJ19" s="14">
        <f>AI19*VLOOKUP('Données projet'!$B$10,Paramètres!$A$1:$I$89,3,0)*VLOOKUP('Données projet'!$B$10,Paramètres!$A$1:$I$89,5,0)</f>
        <v>47.860800000000005</v>
      </c>
      <c r="AK19" s="14">
        <f t="shared" si="35"/>
        <v>14.059903887836867</v>
      </c>
      <c r="AL19" s="22">
        <f t="shared" si="4"/>
        <v>107.84522593798255</v>
      </c>
      <c r="AM19" s="62">
        <f t="shared" si="5"/>
        <v>401.17855927131586</v>
      </c>
      <c r="AN19" s="62">
        <f ca="1">AVERAGE(OFFSET($AM$3,0,0,'Données projet'!$E$10+1,1))-AVERAGE(OFFSET($H$3,0,0,'Données projet'!$E$10+1,1))</f>
        <v>199.44889029107367</v>
      </c>
      <c r="AO19" s="62">
        <f t="shared" si="36"/>
        <v>292.30544856287457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7.9</v>
      </c>
      <c r="BD19" s="13">
        <f>IF('Données projet'!$A$88&gt;35,BD18+BC19-BL18,IF(A19&lt;'Données projet'!$A$88,$BA$205^A19,IF(A19='Données projet'!$A$88,'Données projet'!$B$88,BD18+BC19-BL18)))</f>
        <v>57.401820934596167</v>
      </c>
      <c r="BE19" s="14">
        <f>BD19*VLOOKUP('Données projet'!$B$11,Paramètres!$A$1:$I$89,3,0)*VLOOKUP('Données projet'!$B$11,Paramètres!$A$1:$I$89,5,0)</f>
        <v>26.864052197391008</v>
      </c>
      <c r="BF19" s="14">
        <f t="shared" si="37"/>
        <v>8.4404970471001413</v>
      </c>
      <c r="BG19" s="22">
        <f t="shared" si="7"/>
        <v>61.488756600822086</v>
      </c>
      <c r="BH19" s="62">
        <f t="shared" si="8"/>
        <v>354.82208993415543</v>
      </c>
      <c r="BI19" s="62">
        <f ca="1">AVERAGE(OFFSET($BH$3,0,0,'Données projet'!$E$11+1,1))-AVERAGE(OFFSET($H$3,0,0,'Données projet'!$E$11+1,1))</f>
        <v>256.45505140629194</v>
      </c>
      <c r="BJ19" s="62">
        <f t="shared" si="38"/>
        <v>219.6985760545686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6.9411764705882355</v>
      </c>
      <c r="BY19" s="13">
        <f>IF('Données projet'!$A$114&gt;35,BY18+BX19-CG18,IF(A19&lt;'Données projet'!$A$114,$BV$205^A19,IF(A19='Données projet'!$A$114,'Données projet'!$B$114,BY18+BX19-CG18)))</f>
        <v>89.126447260014572</v>
      </c>
      <c r="BZ19" s="14">
        <f>BY19*VLOOKUP('Données projet'!$B$12,Paramètres!$A$1:$I$89,3,0)*VLOOKUP('Données projet'!$B$12,Paramètres!$A$1:$I$89,5,0)</f>
        <v>53.297615461488718</v>
      </c>
      <c r="CA19" s="14">
        <f t="shared" si="39"/>
        <v>15.46219188294774</v>
      </c>
      <c r="CB19" s="22">
        <f t="shared" si="10"/>
        <v>119.75666445822681</v>
      </c>
      <c r="CC19" s="62">
        <f t="shared" si="11"/>
        <v>413.08999779156011</v>
      </c>
      <c r="CD19" s="62">
        <f ca="1">AVERAGE(OFFSET($CC$3,0,0,'Données projet'!$E$12+1,1))-AVERAGE(OFFSET($H$3,0,0,'Données projet'!$E$12+1,1))</f>
        <v>279.69031306919914</v>
      </c>
      <c r="CE19" s="62">
        <f t="shared" si="40"/>
        <v>297.01680128882509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2">
        <f t="shared" si="32"/>
        <v>3.3003511545061563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70">
        <f t="shared" si="1"/>
        <v>315.24759492743152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8.526315789473685</v>
      </c>
      <c r="N20" s="14">
        <f>IF('Données projet'!$A$36&gt;35,N19+M20-V19,IF(A20&lt;'Données projet'!$A$36,$K$205^A20,IF(A20='Données projet'!$A$36,'Données projet'!$B$36,N19+M20-V19)))</f>
        <v>94.827540520682575</v>
      </c>
      <c r="O20" s="14">
        <f>N20*VLOOKUP('Données projet'!$B$9,Paramètres!$A$1:$I$89,3,0)*VLOOKUP('Données projet'!$B$9,Paramètres!$A$1:$I$89,5,0)</f>
        <v>53.008595151061563</v>
      </c>
      <c r="P20" s="14">
        <f t="shared" si="33"/>
        <v>15.388080542084102</v>
      </c>
      <c r="Q20" s="22">
        <f t="shared" si="2"/>
        <v>119.12421016556203</v>
      </c>
      <c r="R20" s="62">
        <f t="shared" si="0"/>
        <v>412.45754349889535</v>
      </c>
      <c r="S20" s="62">
        <f ca="1">AVERAGE(OFFSET($R$3,0,0,'Données projet'!$E$9+1,1))-AVERAGE(OFFSET($H$3,0,0,'Données projet'!$E$9+1,1))</f>
        <v>378.17323480030268</v>
      </c>
      <c r="T20" s="62">
        <f t="shared" si="34"/>
        <v>471.89239871617241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10</v>
      </c>
      <c r="AI20" s="14">
        <f>IF('Données projet'!$A$62&gt;35,AI19+AH20-AQ19,IF(A20&lt;'Données projet'!$A$62,$AF$205^A20,IF(A20='Données projet'!$A$62,'Données projet'!$B$62,AI19+AH20-AQ19)))</f>
        <v>69</v>
      </c>
      <c r="AJ20" s="14">
        <f>AI20*VLOOKUP('Données projet'!$B$10,Paramètres!$A$1:$I$89,3,0)*VLOOKUP('Données projet'!$B$10,Paramètres!$A$1:$I$89,5,0)</f>
        <v>55.972800000000007</v>
      </c>
      <c r="AK20" s="14">
        <f t="shared" si="35"/>
        <v>16.145985978099571</v>
      </c>
      <c r="AL20" s="22">
        <f t="shared" si="4"/>
        <v>125.60688557852342</v>
      </c>
      <c r="AM20" s="62">
        <f t="shared" si="5"/>
        <v>418.94021891185673</v>
      </c>
      <c r="AN20" s="62">
        <f ca="1">AVERAGE(OFFSET($AM$3,0,0,'Données projet'!$E$10+1,1))-AVERAGE(OFFSET($H$3,0,0,'Données projet'!$E$10+1,1))</f>
        <v>199.44889029107367</v>
      </c>
      <c r="AO20" s="62">
        <f t="shared" si="36"/>
        <v>292.30544856287457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7.9</v>
      </c>
      <c r="BD20" s="13">
        <f>IF('Données projet'!$A$88&gt;35,BD19+BC20-BL19,IF(A20&lt;'Données projet'!$A$88,$BA$205^A20,IF(A20='Données projet'!$A$88,'Données projet'!$B$88,BD19+BC20-BL19)))</f>
        <v>73.936437994095741</v>
      </c>
      <c r="BE20" s="14">
        <f>BD20*VLOOKUP('Données projet'!$B$11,Paramètres!$A$1:$I$89,3,0)*VLOOKUP('Données projet'!$B$11,Paramètres!$A$1:$I$89,5,0)</f>
        <v>34.602252981236802</v>
      </c>
      <c r="BF20" s="14">
        <f t="shared" si="37"/>
        <v>10.556129086190376</v>
      </c>
      <c r="BG20" s="22">
        <f t="shared" si="7"/>
        <v>78.650848767435647</v>
      </c>
      <c r="BH20" s="62">
        <f t="shared" si="8"/>
        <v>371.98418210076898</v>
      </c>
      <c r="BI20" s="62">
        <f ca="1">AVERAGE(OFFSET($BH$3,0,0,'Données projet'!$E$11+1,1))-AVERAGE(OFFSET($H$3,0,0,'Données projet'!$E$11+1,1))</f>
        <v>256.45505140629194</v>
      </c>
      <c r="BJ20" s="62">
        <f t="shared" si="38"/>
        <v>219.6985760545686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>
        <f>VLOOKUP(A20,'Données projet'!$A$113:$I$133,2,0)</f>
        <v>118</v>
      </c>
      <c r="BW20" s="13">
        <f>VLOOKUP(A20,'Données projet'!$A$113:$I$133,9,0)</f>
        <v>6.9411764705882355</v>
      </c>
      <c r="BX20" s="13">
        <f t="array" ref="BX20">INDEX(BW:BW,MIN(IF(ISNUMBER(BW20:BW216),ROW(BW20:BW216),"")))</f>
        <v>6.9411764705882355</v>
      </c>
      <c r="BY20" s="13">
        <f>IF('Données projet'!$A$114&gt;35,BY19+BX20-CG19,IF(A20&lt;'Données projet'!$A$114,$BV$205^A20,IF(A20='Données projet'!$A$114,'Données projet'!$B$114,BY19+BX20-CG19)))</f>
        <v>118</v>
      </c>
      <c r="BZ20" s="14">
        <f>BY20*VLOOKUP('Données projet'!$B$12,Paramètres!$A$1:$I$89,3,0)*VLOOKUP('Données projet'!$B$12,Paramètres!$A$1:$I$89,5,0)</f>
        <v>70.564000000000007</v>
      </c>
      <c r="CA20" s="14">
        <f t="shared" si="39"/>
        <v>19.813453167086163</v>
      </c>
      <c r="CB20" s="22">
        <f t="shared" si="10"/>
        <v>157.40739759934175</v>
      </c>
      <c r="CC20" s="62">
        <f t="shared" si="11"/>
        <v>450.74073093267509</v>
      </c>
      <c r="CD20" s="62">
        <f ca="1">AVERAGE(OFFSET($CC$3,0,0,'Données projet'!$E$12+1,1))-AVERAGE(OFFSET($H$3,0,0,'Données projet'!$E$12+1,1))</f>
        <v>279.69031306919914</v>
      </c>
      <c r="CE20" s="62">
        <f t="shared" si="40"/>
        <v>297.01680128882509</v>
      </c>
      <c r="CF20" s="16">
        <f>IF(ISNA(VLOOKUP(A20,'Données projet'!$A$113:$I$133,3,0)),0,VLOOKUP(A20,'Données projet'!$A$113:$I$133,3,0))</f>
        <v>1</v>
      </c>
      <c r="CG20" s="16">
        <f>IF(ISNA(VLOOKUP(A20,'Données projet'!$A$113:$I$133,4,0)),0,VLOOKUP(A20,'Données projet'!$A$113:$I$133,4,0))</f>
        <v>15</v>
      </c>
      <c r="CH20" s="17">
        <f>IF(ISNA(VLOOKUP(A20,'Données projet'!$A$113:$I$133,5,0)),0%,VLOOKUP(A20,'Données projet'!$A$113:$I$133,5,0)*VLOOKUP('Données projet'!$B$12,Paramètres!$A$1:$I$89,7,0))</f>
        <v>4.5000000000000005E-2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0.9</v>
      </c>
      <c r="CK20" s="23">
        <f>EXP(-LN(2)/35)*CK19+(1-EXP(-LN(2)/35))/(LN(2)/35)*CG20*CH20*VLOOKUP('Données projet'!$B$12,Paramètres!$A$1:$I$89,3,0)*0.475*44/12</f>
        <v>0.53546774243817052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9.1405113379311604</v>
      </c>
      <c r="CN20" s="24">
        <f t="shared" si="12"/>
        <v>9.6759790803693306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2">
        <f t="shared" si="32"/>
        <v>3.4713169544550633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70">
        <f t="shared" si="1"/>
        <v>316.49631036234257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8.526315789473685</v>
      </c>
      <c r="N21" s="14">
        <f>IF('Données projet'!$A$36&gt;35,N20+M21-V20,IF(A21&lt;'Données projet'!$A$36,$K$205^A21,IF(A21='Données projet'!$A$36,'Données projet'!$B$36,N20+M21-V20)))</f>
        <v>123.94378388749713</v>
      </c>
      <c r="O21" s="14">
        <f>N21*VLOOKUP('Données projet'!$B$9,Paramètres!$A$1:$I$89,3,0)*VLOOKUP('Données projet'!$B$9,Paramètres!$A$1:$I$89,5,0)</f>
        <v>69.284575193110896</v>
      </c>
      <c r="P21" s="14">
        <f t="shared" si="33"/>
        <v>19.495686293334202</v>
      </c>
      <c r="Q21" s="22">
        <f t="shared" si="2"/>
        <v>154.62562208889187</v>
      </c>
      <c r="R21" s="62">
        <f t="shared" si="0"/>
        <v>447.95895542222519</v>
      </c>
      <c r="S21" s="62">
        <f ca="1">AVERAGE(OFFSET($R$3,0,0,'Données projet'!$E$9+1,1))-AVERAGE(OFFSET($H$3,0,0,'Données projet'!$E$9+1,1))</f>
        <v>378.17323480030268</v>
      </c>
      <c r="T21" s="62">
        <f t="shared" si="34"/>
        <v>471.89239871617241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10</v>
      </c>
      <c r="AI21" s="14">
        <f>IF('Données projet'!$A$62&gt;35,AI20+AH21-AQ20,IF(A21&lt;'Données projet'!$A$62,$AF$205^A21,IF(A21='Données projet'!$A$62,'Données projet'!$B$62,AI20+AH21-AQ20)))</f>
        <v>79</v>
      </c>
      <c r="AJ21" s="14">
        <f>AI21*VLOOKUP('Données projet'!$B$10,Paramètres!$A$1:$I$89,3,0)*VLOOKUP('Données projet'!$B$10,Paramètres!$A$1:$I$89,5,0)</f>
        <v>64.084800000000001</v>
      </c>
      <c r="AK21" s="14">
        <f t="shared" si="35"/>
        <v>18.197042620605469</v>
      </c>
      <c r="AL21" s="22">
        <f t="shared" si="4"/>
        <v>143.30754256422119</v>
      </c>
      <c r="AM21" s="62">
        <f t="shared" si="5"/>
        <v>436.64087589755451</v>
      </c>
      <c r="AN21" s="62">
        <f ca="1">AVERAGE(OFFSET($AM$3,0,0,'Données projet'!$E$10+1,1))-AVERAGE(OFFSET($H$3,0,0,'Données projet'!$E$10+1,1))</f>
        <v>199.44889029107367</v>
      </c>
      <c r="AO21" s="62">
        <f t="shared" si="36"/>
        <v>292.30544856287457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7.9</v>
      </c>
      <c r="BD21" s="13">
        <f>IF('Données projet'!$A$88&gt;35,BD20+BC21-BL20,IF(A21&lt;'Données projet'!$A$88,$BA$205^A21,IF(A21='Données projet'!$A$88,'Données projet'!$B$88,BD20+BC21-BL20)))</f>
        <v>95.233857990035276</v>
      </c>
      <c r="BE21" s="14">
        <f>BD21*VLOOKUP('Données projet'!$B$11,Paramètres!$A$1:$I$89,3,0)*VLOOKUP('Données projet'!$B$11,Paramètres!$A$1:$I$89,5,0)</f>
        <v>44.569445539336513</v>
      </c>
      <c r="BF21" s="14">
        <f t="shared" si="37"/>
        <v>13.202049673437019</v>
      </c>
      <c r="BG21" s="22">
        <f t="shared" si="7"/>
        <v>100.61868749558056</v>
      </c>
      <c r="BH21" s="62">
        <f t="shared" si="8"/>
        <v>393.95202082891387</v>
      </c>
      <c r="BI21" s="62">
        <f ca="1">AVERAGE(OFFSET($BH$3,0,0,'Données projet'!$E$11+1,1))-AVERAGE(OFFSET($H$3,0,0,'Données projet'!$E$11+1,1))</f>
        <v>256.45505140629194</v>
      </c>
      <c r="BJ21" s="62">
        <f t="shared" si="38"/>
        <v>219.6985760545686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11.333333333333334</v>
      </c>
      <c r="BY21" s="13">
        <f>IF('Données projet'!$A$114&gt;35,BY20+BX21-CG20,IF(A21&lt;'Données projet'!$A$114,$BV$205^A21,IF(A21='Données projet'!$A$114,'Données projet'!$B$114,BY20+BX21-CG20)))</f>
        <v>114.33333333333334</v>
      </c>
      <c r="BZ21" s="14">
        <f>BY21*VLOOKUP('Données projet'!$B$12,Paramètres!$A$1:$I$89,3,0)*VLOOKUP('Données projet'!$B$12,Paramètres!$A$1:$I$89,5,0)</f>
        <v>68.37133333333334</v>
      </c>
      <c r="CA21" s="14">
        <f t="shared" si="39"/>
        <v>19.268449754335993</v>
      </c>
      <c r="CB21" s="22">
        <f t="shared" si="10"/>
        <v>152.63928887769075</v>
      </c>
      <c r="CC21" s="62">
        <f t="shared" si="11"/>
        <v>445.97262221102403</v>
      </c>
      <c r="CD21" s="62">
        <f ca="1">AVERAGE(OFFSET($CC$3,0,0,'Données projet'!$E$12+1,1))-AVERAGE(OFFSET($H$3,0,0,'Données projet'!$E$12+1,1))</f>
        <v>279.69031306919914</v>
      </c>
      <c r="CE21" s="62">
        <f t="shared" si="40"/>
        <v>297.01680128882509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0.52496754661203149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6.4633175505636462</v>
      </c>
      <c r="CN21" s="24">
        <f t="shared" si="12"/>
        <v>6.9882850971756776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2">
        <f t="shared" si="32"/>
        <v>3.6411801438697724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70">
        <f t="shared" si="1"/>
        <v>317.74310541723986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162</v>
      </c>
      <c r="L22" s="13">
        <f>VLOOKUP(A22,'Données projet'!$A$35:$I$55,9,0)</f>
        <v>8.526315789473685</v>
      </c>
      <c r="M22" s="13">
        <f t="array" ref="M22">INDEX(L:L,MIN(IF(ISNUMBER(L22:L218),ROW(L22:L218),"")))</f>
        <v>8.526315789473685</v>
      </c>
      <c r="N22" s="14">
        <f>IF('Données projet'!$A$36&gt;35,N21+M22-V21,IF(A22&lt;'Données projet'!$A$36,$K$205^A22,IF(A22='Données projet'!$A$36,'Données projet'!$B$36,N21+M22-V21)))</f>
        <v>162</v>
      </c>
      <c r="O22" s="14">
        <f>N22*VLOOKUP('Données projet'!$B$9,Paramètres!$A$1:$I$89,3,0)*VLOOKUP('Données projet'!$B$9,Paramètres!$A$1:$I$89,5,0)</f>
        <v>90.557999999999993</v>
      </c>
      <c r="P22" s="14">
        <f t="shared" si="33"/>
        <v>24.699752708509138</v>
      </c>
      <c r="Q22" s="22">
        <f t="shared" si="2"/>
        <v>200.74058596732007</v>
      </c>
      <c r="R22" s="62">
        <f t="shared" si="0"/>
        <v>494.07391930065342</v>
      </c>
      <c r="S22" s="62">
        <f ca="1">AVERAGE(OFFSET($R$3,0,0,'Données projet'!$E$9+1,1))-AVERAGE(OFFSET($H$3,0,0,'Données projet'!$E$9+1,1))</f>
        <v>378.17323480030268</v>
      </c>
      <c r="T22" s="62">
        <f t="shared" si="34"/>
        <v>471.89239871617241</v>
      </c>
      <c r="U22" s="16">
        <f>IF(ISNA(VLOOKUP(A22,'Données projet'!$A$35:$I$55,3,0)),0,VLOOKUP(A22,'Données projet'!$A$35:$I$55,3,0))</f>
        <v>1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10</v>
      </c>
      <c r="AI22" s="14">
        <f>IF('Données projet'!$A$62&gt;35,AI21+AH22-AQ21,IF(A22&lt;'Données projet'!$A$62,$AF$205^A22,IF(A22='Données projet'!$A$62,'Données projet'!$B$62,AI21+AH22-AQ21)))</f>
        <v>89</v>
      </c>
      <c r="AJ22" s="14">
        <f>AI22*VLOOKUP('Données projet'!$B$10,Paramètres!$A$1:$I$89,3,0)*VLOOKUP('Données projet'!$B$10,Paramètres!$A$1:$I$89,5,0)</f>
        <v>72.19680000000001</v>
      </c>
      <c r="AK22" s="14">
        <f t="shared" si="35"/>
        <v>20.218015459285922</v>
      </c>
      <c r="AL22" s="22">
        <f t="shared" si="4"/>
        <v>160.95580359158967</v>
      </c>
      <c r="AM22" s="62">
        <f t="shared" si="5"/>
        <v>454.28913692492301</v>
      </c>
      <c r="AN22" s="62">
        <f ca="1">AVERAGE(OFFSET($AM$3,0,0,'Données projet'!$E$10+1,1))-AVERAGE(OFFSET($H$3,0,0,'Données projet'!$E$10+1,1))</f>
        <v>199.44889029107367</v>
      </c>
      <c r="AO22" s="62">
        <f t="shared" si="36"/>
        <v>292.30544856287457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7.9</v>
      </c>
      <c r="BD22" s="13">
        <f>IF('Données projet'!$A$88&gt;35,BD21+BC22-BL21,IF(A22&lt;'Données projet'!$A$88,$BA$205^A22,IF(A22='Données projet'!$A$88,'Données projet'!$B$88,BD21+BC22-BL21)))</f>
        <v>122.66600817840934</v>
      </c>
      <c r="BE22" s="14">
        <f>BD22*VLOOKUP('Données projet'!$B$11,Paramètres!$A$1:$I$89,3,0)*VLOOKUP('Données projet'!$B$11,Paramètres!$A$1:$I$89,5,0)</f>
        <v>57.407691827495569</v>
      </c>
      <c r="BF22" s="14">
        <f t="shared" si="37"/>
        <v>16.511176981334152</v>
      </c>
      <c r="BG22" s="22">
        <f t="shared" si="7"/>
        <v>128.7420298420451</v>
      </c>
      <c r="BH22" s="62">
        <f t="shared" si="8"/>
        <v>422.07536317537841</v>
      </c>
      <c r="BI22" s="62">
        <f ca="1">AVERAGE(OFFSET($BH$3,0,0,'Données projet'!$E$11+1,1))-AVERAGE(OFFSET($H$3,0,0,'Données projet'!$E$11+1,1))</f>
        <v>256.45505140629194</v>
      </c>
      <c r="BJ22" s="62">
        <f t="shared" si="38"/>
        <v>219.6985760545686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11.333333333333334</v>
      </c>
      <c r="BY22" s="13">
        <f>IF('Données projet'!$A$114&gt;35,BY21+BX22-CG21,IF(A22&lt;'Données projet'!$A$114,$BV$205^A22,IF(A22='Données projet'!$A$114,'Données projet'!$B$114,BY21+BX22-CG21)))</f>
        <v>125.66666666666667</v>
      </c>
      <c r="BZ22" s="14">
        <f>BY22*VLOOKUP('Données projet'!$B$12,Paramètres!$A$1:$I$89,3,0)*VLOOKUP('Données projet'!$B$12,Paramètres!$A$1:$I$89,5,0)</f>
        <v>75.148666666666671</v>
      </c>
      <c r="CA22" s="14">
        <f t="shared" si="39"/>
        <v>20.946723857947624</v>
      </c>
      <c r="CB22" s="22">
        <f t="shared" si="10"/>
        <v>167.36613849703656</v>
      </c>
      <c r="CC22" s="62">
        <f t="shared" si="11"/>
        <v>460.69947183036987</v>
      </c>
      <c r="CD22" s="62">
        <f ca="1">AVERAGE(OFFSET($CC$3,0,0,'Données projet'!$E$12+1,1))-AVERAGE(OFFSET($H$3,0,0,'Données projet'!$E$12+1,1))</f>
        <v>279.69031306919914</v>
      </c>
      <c r="CE22" s="62">
        <f t="shared" si="40"/>
        <v>297.01680128882509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0.51467325322155599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4.5702556689655811</v>
      </c>
      <c r="CN22" s="24">
        <f t="shared" si="12"/>
        <v>5.084928922187137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2">
        <f t="shared" si="32"/>
        <v>3.810005372992582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70">
        <f t="shared" si="1"/>
        <v>318.98809269129538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28.833333333333332</v>
      </c>
      <c r="N23" s="14">
        <f>IF('Données projet'!$A$36&gt;35,N22+M23-V22,IF(A23&lt;'Données projet'!$A$36,$K$205^A23,IF(A23='Données projet'!$A$36,'Données projet'!$B$36,N22+M23-V22)))</f>
        <v>190.83333333333334</v>
      </c>
      <c r="O23" s="14">
        <f>N23*VLOOKUP('Données projet'!$B$9,Paramètres!$A$1:$I$89,3,0)*VLOOKUP('Données projet'!$B$9,Paramètres!$A$1:$I$89,5,0)</f>
        <v>106.67583333333334</v>
      </c>
      <c r="P23" s="14">
        <f t="shared" si="33"/>
        <v>28.546391754319739</v>
      </c>
      <c r="Q23" s="22">
        <f t="shared" si="2"/>
        <v>235.51204202766243</v>
      </c>
      <c r="R23" s="62">
        <f t="shared" si="0"/>
        <v>528.84537536099572</v>
      </c>
      <c r="S23" s="62">
        <f ca="1">AVERAGE(OFFSET($R$3,0,0,'Données projet'!$E$9+1,1))-AVERAGE(OFFSET($H$3,0,0,'Données projet'!$E$9+1,1))</f>
        <v>378.17323480030268</v>
      </c>
      <c r="T23" s="62">
        <f t="shared" si="34"/>
        <v>471.89239871617241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99</v>
      </c>
      <c r="AG23" s="13">
        <f>VLOOKUP(A23,'Données projet'!$A$61:$I$81,9,0)</f>
        <v>10</v>
      </c>
      <c r="AH23" s="13">
        <f t="array" ref="AH23">INDEX(AG:AG,MIN(IF(ISNUMBER(AG23:AG219),ROW(AG23:AG219),"")))</f>
        <v>10</v>
      </c>
      <c r="AI23" s="14">
        <f>IF('Données projet'!$A$62&gt;35,AI22+AH23-AQ22,IF(A23&lt;'Données projet'!$A$62,$AF$205^A23,IF(A23='Données projet'!$A$62,'Données projet'!$B$62,AI22+AH23-AQ22)))</f>
        <v>99</v>
      </c>
      <c r="AJ23" s="14">
        <f>AI23*VLOOKUP('Données projet'!$B$10,Paramètres!$A$1:$I$89,3,0)*VLOOKUP('Données projet'!$B$10,Paramètres!$A$1:$I$89,5,0)</f>
        <v>80.308800000000005</v>
      </c>
      <c r="AK23" s="14">
        <f t="shared" si="35"/>
        <v>22.212670396389218</v>
      </c>
      <c r="AL23" s="22">
        <f t="shared" si="4"/>
        <v>178.55822760704453</v>
      </c>
      <c r="AM23" s="62">
        <f t="shared" si="5"/>
        <v>471.89156094037787</v>
      </c>
      <c r="AN23" s="62">
        <f ca="1">AVERAGE(OFFSET($AM$3,0,0,'Données projet'!$E$10+1,1))-AVERAGE(OFFSET($H$3,0,0,'Données projet'!$E$10+1,1))</f>
        <v>199.44889029107367</v>
      </c>
      <c r="AO23" s="62">
        <f t="shared" si="36"/>
        <v>292.30544856287457</v>
      </c>
      <c r="AP23" s="16">
        <f>IF(ISNA(VLOOKUP(A23,'Données projet'!$A$61:$I$81,3,0)),0,VLOOKUP(A23,'Données projet'!$A$61:$I$81,3,0))</f>
        <v>3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>
        <f>VLOOKUP(A23,'Données projet'!$A$87:$I$107,2,0)</f>
        <v>158</v>
      </c>
      <c r="BB23" s="13">
        <f>VLOOKUP(A23,'Données projet'!$A$87:$I$107,9,0)</f>
        <v>7.9</v>
      </c>
      <c r="BC23" s="13">
        <f t="array" ref="BC23">INDEX(BB:BB,MIN(IF(ISNUMBER(BB23:BB219),ROW(BB23:BB219),"")))</f>
        <v>7.9</v>
      </c>
      <c r="BD23" s="13">
        <f>IF('Données projet'!$A$88&gt;35,BD22+BC23-BL22,IF(A23&lt;'Données projet'!$A$88,$BA$205^A23,IF(A23='Données projet'!$A$88,'Données projet'!$B$88,BD22+BC23-BL22)))</f>
        <v>158</v>
      </c>
      <c r="BE23" s="14">
        <f>BD23*VLOOKUP('Données projet'!$B$11,Paramètres!$A$1:$I$89,3,0)*VLOOKUP('Données projet'!$B$11,Paramètres!$A$1:$I$89,5,0)</f>
        <v>73.944000000000003</v>
      </c>
      <c r="BF23" s="14">
        <f t="shared" si="37"/>
        <v>20.649745460165708</v>
      </c>
      <c r="BG23" s="22">
        <f t="shared" si="7"/>
        <v>164.75077334312192</v>
      </c>
      <c r="BH23" s="62">
        <f t="shared" si="8"/>
        <v>458.08410667645524</v>
      </c>
      <c r="BI23" s="62">
        <f ca="1">AVERAGE(OFFSET($BH$3,0,0,'Données projet'!$E$11+1,1))-AVERAGE(OFFSET($H$3,0,0,'Données projet'!$E$11+1,1))</f>
        <v>256.45505140629194</v>
      </c>
      <c r="BJ23" s="62">
        <f t="shared" si="38"/>
        <v>219.6985760545686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45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137</v>
      </c>
      <c r="BW23" s="13">
        <f>VLOOKUP(A23,'Données projet'!$A$113:$I$133,9,0)</f>
        <v>11.333333333333334</v>
      </c>
      <c r="BX23" s="13">
        <f t="array" ref="BX23">INDEX(BW:BW,MIN(IF(ISNUMBER(BW23:BW219),ROW(BW23:BW219),"")))</f>
        <v>11.333333333333334</v>
      </c>
      <c r="BY23" s="13">
        <f>IF('Données projet'!$A$114&gt;35,BY22+BX23-CG22,IF(A23&lt;'Données projet'!$A$114,$BV$205^A23,IF(A23='Données projet'!$A$114,'Données projet'!$B$114,BY22+BX23-CG22)))</f>
        <v>137</v>
      </c>
      <c r="BZ23" s="14">
        <f>BY23*VLOOKUP('Données projet'!$B$12,Paramètres!$A$1:$I$89,3,0)*VLOOKUP('Données projet'!$B$12,Paramètres!$A$1:$I$89,5,0)</f>
        <v>81.926000000000002</v>
      </c>
      <c r="CA23" s="14">
        <f t="shared" si="39"/>
        <v>22.607447146245146</v>
      </c>
      <c r="CB23" s="22">
        <f t="shared" si="10"/>
        <v>182.06242044637693</v>
      </c>
      <c r="CC23" s="62">
        <f t="shared" si="11"/>
        <v>475.39575377971028</v>
      </c>
      <c r="CD23" s="62">
        <f ca="1">AVERAGE(OFFSET($CC$3,0,0,'Données projet'!$E$12+1,1))-AVERAGE(OFFSET($H$3,0,0,'Données projet'!$E$12+1,1))</f>
        <v>279.69031306919914</v>
      </c>
      <c r="CE23" s="62">
        <f t="shared" si="40"/>
        <v>297.01680128882509</v>
      </c>
      <c r="CF23" s="16">
        <f>IF(ISNA(VLOOKUP(A23,'Données projet'!$A$113:$I$133,3,0)),0,VLOOKUP(A23,'Données projet'!$A$113:$I$133,3,0))</f>
        <v>2</v>
      </c>
      <c r="CG23" s="16">
        <f>IF(ISNA(VLOOKUP(A23,'Données projet'!$A$113:$I$133,4,0)),0,VLOOKUP(A23,'Données projet'!$A$113:$I$133,4,0))</f>
        <v>15</v>
      </c>
      <c r="CH23" s="17">
        <f>IF(ISNA(VLOOKUP(A23,'Données projet'!$A$113:$I$133,5,0)),0%,VLOOKUP(A23,'Données projet'!$A$113:$I$133,5,0)*VLOOKUP('Données projet'!$B$12,Paramètres!$A$1:$I$89,7,0))</f>
        <v>4.5000000000000005E-2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0.9</v>
      </c>
      <c r="CK23" s="23">
        <f>EXP(-LN(2)/35)*CK22+(1-EXP(-LN(2)/35))/(LN(2)/35)*CG23*CH23*VLOOKUP('Données projet'!$B$12,Paramètres!$A$1:$I$89,3,0)*0.475*44/12</f>
        <v>1.0400485670837392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12.372170113212984</v>
      </c>
      <c r="CN23" s="24">
        <f t="shared" si="12"/>
        <v>13.412218680296723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2">
        <f t="shared" si="32"/>
        <v>3.9778504618356041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70">
        <f t="shared" si="1"/>
        <v>320.23137288769698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28.833333333333332</v>
      </c>
      <c r="N24" s="14">
        <f>IF('Données projet'!$A$36&gt;35,N23+M24-V23,IF(A24&lt;'Données projet'!$A$36,$K$205^A24,IF(A24='Données projet'!$A$36,'Données projet'!$B$36,N23+M24-V23)))</f>
        <v>219.66666666666669</v>
      </c>
      <c r="O24" s="14">
        <f>N24*VLOOKUP('Données projet'!$B$9,Paramètres!$A$1:$I$89,3,0)*VLOOKUP('Données projet'!$B$9,Paramètres!$A$1:$I$89,5,0)</f>
        <v>122.79366666666668</v>
      </c>
      <c r="P24" s="14">
        <f t="shared" si="33"/>
        <v>32.32570088253398</v>
      </c>
      <c r="Q24" s="22">
        <f t="shared" si="2"/>
        <v>270.16623181485778</v>
      </c>
      <c r="R24" s="62">
        <f t="shared" si="0"/>
        <v>563.4995651481911</v>
      </c>
      <c r="S24" s="62">
        <f ca="1">AVERAGE(OFFSET($R$3,0,0,'Données projet'!$E$9+1,1))-AVERAGE(OFFSET($H$3,0,0,'Données projet'!$E$9+1,1))</f>
        <v>378.17323480030268</v>
      </c>
      <c r="T24" s="62">
        <f t="shared" si="34"/>
        <v>471.89239871617241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8.6</v>
      </c>
      <c r="AI24" s="14">
        <f>IF('Données projet'!$A$62&gt;35,AI23+AH24-AQ23,IF(A24&lt;'Données projet'!$A$62,$AF$205^A24,IF(A24='Données projet'!$A$62,'Données projet'!$B$62,AI23+AH24-AQ23)))</f>
        <v>107.6</v>
      </c>
      <c r="AJ24" s="14">
        <f>AI24*VLOOKUP('Données projet'!$B$10,Paramètres!$A$1:$I$89,3,0)*VLOOKUP('Données projet'!$B$10,Paramètres!$A$1:$I$89,5,0)</f>
        <v>87.285120000000006</v>
      </c>
      <c r="AK24" s="14">
        <f t="shared" si="35"/>
        <v>23.909298680444902</v>
      </c>
      <c r="AL24" s="22">
        <f t="shared" si="4"/>
        <v>193.6636125351082</v>
      </c>
      <c r="AM24" s="62">
        <f t="shared" si="5"/>
        <v>486.99694586844151</v>
      </c>
      <c r="AN24" s="62">
        <f ca="1">AVERAGE(OFFSET($AM$3,0,0,'Données projet'!$E$10+1,1))-AVERAGE(OFFSET($H$3,0,0,'Données projet'!$E$10+1,1))</f>
        <v>199.44889029107367</v>
      </c>
      <c r="AO24" s="62">
        <f t="shared" si="36"/>
        <v>292.30544856287457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13.7</v>
      </c>
      <c r="BD24" s="13">
        <f>IF('Données projet'!$A$88&gt;35,BD23+BC24-BL23,IF(A24&lt;'Données projet'!$A$88,$BA$205^A24,IF(A24='Données projet'!$A$88,'Données projet'!$B$88,BD23+BC24-BL23)))</f>
        <v>126.69999999999999</v>
      </c>
      <c r="BE24" s="14">
        <f>BD24*VLOOKUP('Données projet'!$B$11,Paramètres!$A$1:$I$89,3,0)*VLOOKUP('Données projet'!$B$11,Paramètres!$A$1:$I$89,5,0)</f>
        <v>59.295599999999993</v>
      </c>
      <c r="BF24" s="14">
        <f t="shared" si="37"/>
        <v>16.990052370780411</v>
      </c>
      <c r="BG24" s="22">
        <f t="shared" si="7"/>
        <v>132.86417787910921</v>
      </c>
      <c r="BH24" s="62">
        <f t="shared" si="8"/>
        <v>426.19751121244252</v>
      </c>
      <c r="BI24" s="62">
        <f ca="1">AVERAGE(OFFSET($BH$3,0,0,'Données projet'!$E$11+1,1))-AVERAGE(OFFSET($H$3,0,0,'Données projet'!$E$11+1,1))</f>
        <v>256.45505140629194</v>
      </c>
      <c r="BJ24" s="62">
        <f t="shared" si="38"/>
        <v>219.6985760545686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16.399999999999999</v>
      </c>
      <c r="BY24" s="13">
        <f>IF('Données projet'!$A$114&gt;35,BY23+BX24-CG23,IF(A24&lt;'Données projet'!$A$114,$BV$205^A24,IF(A24='Données projet'!$A$114,'Données projet'!$B$114,BY23+BX24-CG23)))</f>
        <v>138.4</v>
      </c>
      <c r="BZ24" s="14">
        <f>BY24*VLOOKUP('Données projet'!$B$12,Paramètres!$A$1:$I$89,3,0)*VLOOKUP('Données projet'!$B$12,Paramètres!$A$1:$I$89,5,0)</f>
        <v>82.763200000000012</v>
      </c>
      <c r="CA24" s="14">
        <f t="shared" si="39"/>
        <v>22.811459894537176</v>
      </c>
      <c r="CB24" s="22">
        <f t="shared" si="10"/>
        <v>183.8758659829856</v>
      </c>
      <c r="CC24" s="62">
        <f t="shared" si="11"/>
        <v>477.20919931631892</v>
      </c>
      <c r="CD24" s="62">
        <f ca="1">AVERAGE(OFFSET($CC$3,0,0,'Données projet'!$E$12+1,1))-AVERAGE(OFFSET($H$3,0,0,'Données projet'!$E$12+1,1))</f>
        <v>279.69031306919914</v>
      </c>
      <c r="CE24" s="62">
        <f t="shared" si="40"/>
        <v>297.01680128882509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1.0196538490502145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8.7484453850464377</v>
      </c>
      <c r="CN24" s="24">
        <f t="shared" si="12"/>
        <v>9.7680992340966526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2">
        <f t="shared" si="32"/>
        <v>4.1447674125853915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70">
        <f t="shared" si="1"/>
        <v>321.47303657691953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28.833333333333332</v>
      </c>
      <c r="N25" s="14">
        <f>IF('Données projet'!$A$36&gt;35,N24+M25-V24,IF(A25&lt;'Données projet'!$A$36,$K$205^A25,IF(A25='Données projet'!$A$36,'Données projet'!$B$36,N24+M25-V24)))</f>
        <v>248.50000000000003</v>
      </c>
      <c r="O25" s="14">
        <f>N25*VLOOKUP('Données projet'!$B$9,Paramètres!$A$1:$I$89,3,0)*VLOOKUP('Données projet'!$B$9,Paramètres!$A$1:$I$89,5,0)</f>
        <v>138.91150000000002</v>
      </c>
      <c r="P25" s="14">
        <f t="shared" si="33"/>
        <v>36.047532265727178</v>
      </c>
      <c r="Q25" s="22">
        <f t="shared" si="2"/>
        <v>304.72031452947482</v>
      </c>
      <c r="R25" s="62">
        <f t="shared" si="0"/>
        <v>598.05364786280813</v>
      </c>
      <c r="S25" s="62">
        <f ca="1">AVERAGE(OFFSET($R$3,0,0,'Données projet'!$E$9+1,1))-AVERAGE(OFFSET($H$3,0,0,'Données projet'!$E$9+1,1))</f>
        <v>378.17323480030268</v>
      </c>
      <c r="T25" s="62">
        <f t="shared" si="34"/>
        <v>471.89239871617241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8.6</v>
      </c>
      <c r="AI25" s="14">
        <f>IF('Données projet'!$A$62&gt;35,AI24+AH25-AQ24,IF(A25&lt;'Données projet'!$A$62,$AF$205^A25,IF(A25='Données projet'!$A$62,'Données projet'!$B$62,AI24+AH25-AQ24)))</f>
        <v>116.19999999999999</v>
      </c>
      <c r="AJ25" s="14">
        <f>AI25*VLOOKUP('Données projet'!$B$10,Paramètres!$A$1:$I$89,3,0)*VLOOKUP('Données projet'!$B$10,Paramètres!$A$1:$I$89,5,0)</f>
        <v>94.261440000000007</v>
      </c>
      <c r="AK25" s="14">
        <f t="shared" si="35"/>
        <v>25.590198175407465</v>
      </c>
      <c r="AL25" s="22">
        <f t="shared" si="4"/>
        <v>208.74160315550134</v>
      </c>
      <c r="AM25" s="62">
        <f t="shared" si="5"/>
        <v>502.07493648883462</v>
      </c>
      <c r="AN25" s="62">
        <f ca="1">AVERAGE(OFFSET($AM$3,0,0,'Données projet'!$E$10+1,1))-AVERAGE(OFFSET($H$3,0,0,'Données projet'!$E$10+1,1))</f>
        <v>199.44889029107367</v>
      </c>
      <c r="AO25" s="62">
        <f t="shared" si="36"/>
        <v>292.30544856287457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13.7</v>
      </c>
      <c r="BD25" s="13">
        <f>IF('Données projet'!$A$88&gt;35,BD24+BC25-BL24,IF(A25&lt;'Données projet'!$A$88,$BA$205^A25,IF(A25='Données projet'!$A$88,'Données projet'!$B$88,BD24+BC25-BL24)))</f>
        <v>140.39999999999998</v>
      </c>
      <c r="BE25" s="14">
        <f>BD25*VLOOKUP('Données projet'!$B$11,Paramètres!$A$1:$I$89,3,0)*VLOOKUP('Données projet'!$B$11,Paramètres!$A$1:$I$89,5,0)</f>
        <v>65.707199999999986</v>
      </c>
      <c r="BF25" s="14">
        <f t="shared" si="37"/>
        <v>18.603509358951122</v>
      </c>
      <c r="BG25" s="22">
        <f t="shared" si="7"/>
        <v>146.84115213350648</v>
      </c>
      <c r="BH25" s="62">
        <f t="shared" si="8"/>
        <v>440.17448546683977</v>
      </c>
      <c r="BI25" s="62">
        <f ca="1">AVERAGE(OFFSET($BH$3,0,0,'Données projet'!$E$11+1,1))-AVERAGE(OFFSET($H$3,0,0,'Données projet'!$E$11+1,1))</f>
        <v>256.45505140629194</v>
      </c>
      <c r="BJ25" s="62">
        <f t="shared" si="38"/>
        <v>219.6985760545686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16.399999999999999</v>
      </c>
      <c r="BY25" s="13">
        <f>IF('Données projet'!$A$114&gt;35,BY24+BX25-CG24,IF(A25&lt;'Données projet'!$A$114,$BV$205^A25,IF(A25='Données projet'!$A$114,'Données projet'!$B$114,BY24+BX25-CG24)))</f>
        <v>154.80000000000001</v>
      </c>
      <c r="BZ25" s="14">
        <f>BY25*VLOOKUP('Données projet'!$B$12,Paramètres!$A$1:$I$89,3,0)*VLOOKUP('Données projet'!$B$12,Paramètres!$A$1:$I$89,5,0)</f>
        <v>92.570400000000021</v>
      </c>
      <c r="CA25" s="14">
        <f t="shared" si="39"/>
        <v>25.184123943972491</v>
      </c>
      <c r="CB25" s="22">
        <f t="shared" si="10"/>
        <v>205.0891292024188</v>
      </c>
      <c r="CC25" s="62">
        <f t="shared" si="11"/>
        <v>498.42246253575212</v>
      </c>
      <c r="CD25" s="62">
        <f ca="1">AVERAGE(OFFSET($CC$3,0,0,'Données projet'!$E$12+1,1))-AVERAGE(OFFSET($H$3,0,0,'Données projet'!$E$12+1,1))</f>
        <v>279.69031306919914</v>
      </c>
      <c r="CE25" s="62">
        <f t="shared" si="40"/>
        <v>297.01680128882509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0.99965905899777752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6.1860850566064931</v>
      </c>
      <c r="CN25" s="24">
        <f t="shared" si="12"/>
        <v>7.1857441156042707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2">
        <f t="shared" si="32"/>
        <v>4.3108032327306516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70">
        <f t="shared" si="1"/>
        <v>322.71316563033918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28.833333333333332</v>
      </c>
      <c r="N26" s="14">
        <f>IF('Données projet'!$A$36&gt;35,N25+M26-V25,IF(A26&lt;'Données projet'!$A$36,$K$205^A26,IF(A26='Données projet'!$A$36,'Données projet'!$B$36,N25+M26-V25)))</f>
        <v>277.33333333333337</v>
      </c>
      <c r="O26" s="14">
        <f>N26*VLOOKUP('Données projet'!$B$9,Paramètres!$A$1:$I$89,3,0)*VLOOKUP('Données projet'!$B$9,Paramètres!$A$1:$I$89,5,0)</f>
        <v>155.02933333333334</v>
      </c>
      <c r="P26" s="14">
        <f t="shared" si="33"/>
        <v>39.719316712120367</v>
      </c>
      <c r="Q26" s="22">
        <f t="shared" si="2"/>
        <v>339.1872321624985</v>
      </c>
      <c r="R26" s="62">
        <f t="shared" si="0"/>
        <v>632.52056549583176</v>
      </c>
      <c r="S26" s="62">
        <f ca="1">AVERAGE(OFFSET($R$3,0,0,'Données projet'!$E$9+1,1))-AVERAGE(OFFSET($H$3,0,0,'Données projet'!$E$9+1,1))</f>
        <v>378.17323480030268</v>
      </c>
      <c r="T26" s="62">
        <f t="shared" si="34"/>
        <v>471.89239871617241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8.6</v>
      </c>
      <c r="AI26" s="14">
        <f>IF('Données projet'!$A$62&gt;35,AI25+AH26-AQ25,IF(A26&lt;'Données projet'!$A$62,$AF$205^A26,IF(A26='Données projet'!$A$62,'Données projet'!$B$62,AI25+AH26-AQ25)))</f>
        <v>124.79999999999998</v>
      </c>
      <c r="AJ26" s="14">
        <f>AI26*VLOOKUP('Données projet'!$B$10,Paramètres!$A$1:$I$89,3,0)*VLOOKUP('Données projet'!$B$10,Paramètres!$A$1:$I$89,5,0)</f>
        <v>101.23775999999998</v>
      </c>
      <c r="AK26" s="14">
        <f t="shared" si="35"/>
        <v>27.256665348119011</v>
      </c>
      <c r="AL26" s="22">
        <f t="shared" si="4"/>
        <v>223.79445748130726</v>
      </c>
      <c r="AM26" s="62">
        <f t="shared" si="5"/>
        <v>517.12779081464055</v>
      </c>
      <c r="AN26" s="62">
        <f ca="1">AVERAGE(OFFSET($AM$3,0,0,'Données projet'!$E$10+1,1))-AVERAGE(OFFSET($H$3,0,0,'Données projet'!$E$10+1,1))</f>
        <v>199.44889029107367</v>
      </c>
      <c r="AO26" s="62">
        <f t="shared" si="36"/>
        <v>292.30544856287457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13.7</v>
      </c>
      <c r="BD26" s="13">
        <f>IF('Données projet'!$A$88&gt;35,BD25+BC26-BL25,IF(A26&lt;'Données projet'!$A$88,$BA$205^A26,IF(A26='Données projet'!$A$88,'Données projet'!$B$88,BD25+BC26-BL25)))</f>
        <v>154.09999999999997</v>
      </c>
      <c r="BE26" s="14">
        <f>BD26*VLOOKUP('Données projet'!$B$11,Paramètres!$A$1:$I$89,3,0)*VLOOKUP('Données projet'!$B$11,Paramètres!$A$1:$I$89,5,0)</f>
        <v>72.118799999999979</v>
      </c>
      <c r="BF26" s="14">
        <f t="shared" si="37"/>
        <v>20.198713641862817</v>
      </c>
      <c r="BG26" s="22">
        <f t="shared" si="7"/>
        <v>160.78633625957769</v>
      </c>
      <c r="BH26" s="62">
        <f t="shared" si="8"/>
        <v>454.11966959291101</v>
      </c>
      <c r="BI26" s="62">
        <f ca="1">AVERAGE(OFFSET($BH$3,0,0,'Données projet'!$E$11+1,1))-AVERAGE(OFFSET($H$3,0,0,'Données projet'!$E$11+1,1))</f>
        <v>256.45505140629194</v>
      </c>
      <c r="BJ26" s="62">
        <f t="shared" si="38"/>
        <v>219.6985760545686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16.399999999999999</v>
      </c>
      <c r="BY26" s="13">
        <f>IF('Données projet'!$A$114&gt;35,BY25+BX26-CG25,IF(A26&lt;'Données projet'!$A$114,$BV$205^A26,IF(A26='Données projet'!$A$114,'Données projet'!$B$114,BY25+BX26-CG25)))</f>
        <v>171.20000000000002</v>
      </c>
      <c r="BZ26" s="14">
        <f>BY26*VLOOKUP('Données projet'!$B$12,Paramètres!$A$1:$I$89,3,0)*VLOOKUP('Données projet'!$B$12,Paramètres!$A$1:$I$89,5,0)</f>
        <v>102.37760000000002</v>
      </c>
      <c r="CA26" s="14">
        <f t="shared" si="39"/>
        <v>27.527651005505614</v>
      </c>
      <c r="CB26" s="22">
        <f t="shared" si="10"/>
        <v>226.25164550125564</v>
      </c>
      <c r="CC26" s="62">
        <f t="shared" si="11"/>
        <v>519.58497883458892</v>
      </c>
      <c r="CD26" s="62">
        <f ca="1">AVERAGE(OFFSET($CC$3,0,0,'Données projet'!$E$12+1,1))-AVERAGE(OFFSET($H$3,0,0,'Données projet'!$E$12+1,1))</f>
        <v>279.69031306919914</v>
      </c>
      <c r="CE26" s="62">
        <f t="shared" si="40"/>
        <v>297.01680128882509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0.98005635458265106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4.3742226925232197</v>
      </c>
      <c r="CN26" s="24">
        <f t="shared" si="12"/>
        <v>5.3542790471058712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2">
        <f t="shared" si="32"/>
        <v>4.4760006109979766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70">
        <f t="shared" si="1"/>
        <v>323.95183439748814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28.833333333333332</v>
      </c>
      <c r="N27" s="14">
        <f>IF('Données projet'!$A$36&gt;35,N26+M27-V26,IF(A27&lt;'Données projet'!$A$36,$K$205^A27,IF(A27='Données projet'!$A$36,'Données projet'!$B$36,N26+M27-V26)))</f>
        <v>306.16666666666669</v>
      </c>
      <c r="O27" s="14">
        <f>N27*VLOOKUP('Données projet'!$B$9,Paramètres!$A$1:$I$89,3,0)*VLOOKUP('Données projet'!$B$9,Paramètres!$A$1:$I$89,5,0)</f>
        <v>171.14716666666669</v>
      </c>
      <c r="P27" s="14">
        <f t="shared" si="33"/>
        <v>43.346850105371793</v>
      </c>
      <c r="Q27" s="22">
        <f t="shared" si="2"/>
        <v>373.57707921130037</v>
      </c>
      <c r="R27" s="62">
        <f t="shared" si="0"/>
        <v>666.91041254463369</v>
      </c>
      <c r="S27" s="62">
        <f ca="1">AVERAGE(OFFSET($R$3,0,0,'Données projet'!$E$9+1,1))-AVERAGE(OFFSET($H$3,0,0,'Données projet'!$E$9+1,1))</f>
        <v>378.17323480030268</v>
      </c>
      <c r="T27" s="62">
        <f t="shared" si="34"/>
        <v>471.89239871617241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8.6</v>
      </c>
      <c r="AI27" s="14">
        <f>IF('Données projet'!$A$62&gt;35,AI26+AH27-AQ26,IF(A27&lt;'Données projet'!$A$62,$AF$205^A27,IF(A27='Données projet'!$A$62,'Données projet'!$B$62,AI26+AH27-AQ26)))</f>
        <v>133.39999999999998</v>
      </c>
      <c r="AJ27" s="14">
        <f>AI27*VLOOKUP('Données projet'!$B$10,Paramètres!$A$1:$I$89,3,0)*VLOOKUP('Données projet'!$B$10,Paramètres!$A$1:$I$89,5,0)</f>
        <v>108.21408</v>
      </c>
      <c r="AK27" s="14">
        <f t="shared" si="35"/>
        <v>28.909807870043085</v>
      </c>
      <c r="AL27" s="22">
        <f t="shared" si="4"/>
        <v>238.82410470699168</v>
      </c>
      <c r="AM27" s="62">
        <f t="shared" si="5"/>
        <v>532.15743804032502</v>
      </c>
      <c r="AN27" s="62">
        <f ca="1">AVERAGE(OFFSET($AM$3,0,0,'Données projet'!$E$10+1,1))-AVERAGE(OFFSET($H$3,0,0,'Données projet'!$E$10+1,1))</f>
        <v>199.44889029107367</v>
      </c>
      <c r="AO27" s="62">
        <f t="shared" si="36"/>
        <v>292.30544856287457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13.7</v>
      </c>
      <c r="BD27" s="13">
        <f>IF('Données projet'!$A$88&gt;35,BD26+BC27-BL26,IF(A27&lt;'Données projet'!$A$88,$BA$205^A27,IF(A27='Données projet'!$A$88,'Données projet'!$B$88,BD26+BC27-BL26)))</f>
        <v>167.79999999999995</v>
      </c>
      <c r="BE27" s="14">
        <f>BD27*VLOOKUP('Données projet'!$B$11,Paramètres!$A$1:$I$89,3,0)*VLOOKUP('Données projet'!$B$11,Paramètres!$A$1:$I$89,5,0)</f>
        <v>78.530399999999972</v>
      </c>
      <c r="BF27" s="14">
        <f t="shared" si="37"/>
        <v>21.777472470229416</v>
      </c>
      <c r="BG27" s="22">
        <f t="shared" si="7"/>
        <v>174.70287788564951</v>
      </c>
      <c r="BH27" s="62">
        <f t="shared" si="8"/>
        <v>468.03621121898283</v>
      </c>
      <c r="BI27" s="62">
        <f ca="1">AVERAGE(OFFSET($BH$3,0,0,'Données projet'!$E$11+1,1))-AVERAGE(OFFSET($H$3,0,0,'Données projet'!$E$11+1,1))</f>
        <v>256.45505140629194</v>
      </c>
      <c r="BJ27" s="62">
        <f t="shared" si="38"/>
        <v>219.6985760545686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16.399999999999999</v>
      </c>
      <c r="BY27" s="13">
        <f>IF('Données projet'!$A$114&gt;35,BY26+BX27-CG26,IF(A27&lt;'Données projet'!$A$114,$BV$205^A27,IF(A27='Données projet'!$A$114,'Données projet'!$B$114,BY26+BX27-CG26)))</f>
        <v>187.60000000000002</v>
      </c>
      <c r="BZ27" s="14">
        <f>BY27*VLOOKUP('Données projet'!$B$12,Paramètres!$A$1:$I$89,3,0)*VLOOKUP('Données projet'!$B$12,Paramètres!$A$1:$I$89,5,0)</f>
        <v>112.18480000000002</v>
      </c>
      <c r="CA27" s="14">
        <f t="shared" si="39"/>
        <v>29.845149809641946</v>
      </c>
      <c r="CB27" s="22">
        <f t="shared" si="10"/>
        <v>247.36882925179307</v>
      </c>
      <c r="CC27" s="62">
        <f t="shared" si="11"/>
        <v>540.70216258512642</v>
      </c>
      <c r="CD27" s="62">
        <f ca="1">AVERAGE(OFFSET($CC$3,0,0,'Données projet'!$E$12+1,1))-AVERAGE(OFFSET($H$3,0,0,'Données projet'!$E$12+1,1))</f>
        <v>279.69031306919914</v>
      </c>
      <c r="CE27" s="62">
        <f t="shared" si="40"/>
        <v>297.01680128882509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0.96083804724463617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3.0930425283032474</v>
      </c>
      <c r="CN27" s="24">
        <f t="shared" si="12"/>
        <v>4.0538805755478835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2">
        <f t="shared" si="32"/>
        <v>4.6403984774572109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70">
        <f t="shared" si="1"/>
        <v>325.18911068157126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335</v>
      </c>
      <c r="L28" s="13">
        <f>VLOOKUP(A28,'Données projet'!$A$35:$I$55,9,0)</f>
        <v>28.833333333333332</v>
      </c>
      <c r="M28" s="13">
        <f t="array" ref="M28">INDEX(L:L,MIN(IF(ISNUMBER(L28:L224),ROW(L28:L224),"")))</f>
        <v>28.833333333333332</v>
      </c>
      <c r="N28" s="14">
        <f>IF('Données projet'!$A$36&gt;35,N27+M28-V27,IF(A28&lt;'Données projet'!$A$36,$K$205^A28,IF(A28='Données projet'!$A$36,'Données projet'!$B$36,N27+M28-V27)))</f>
        <v>335</v>
      </c>
      <c r="O28" s="14">
        <f>N28*VLOOKUP('Données projet'!$B$9,Paramètres!$A$1:$I$89,3,0)*VLOOKUP('Données projet'!$B$9,Paramètres!$A$1:$I$89,5,0)</f>
        <v>187.26500000000001</v>
      </c>
      <c r="P28" s="14">
        <f t="shared" si="33"/>
        <v>46.934773872544483</v>
      </c>
      <c r="Q28" s="22">
        <f t="shared" si="2"/>
        <v>407.89793949468162</v>
      </c>
      <c r="R28" s="62">
        <f t="shared" si="0"/>
        <v>701.23127282801488</v>
      </c>
      <c r="S28" s="62">
        <f ca="1">AVERAGE(OFFSET($R$3,0,0,'Données projet'!$E$9+1,1))-AVERAGE(OFFSET($H$3,0,0,'Données projet'!$E$9+1,1))</f>
        <v>378.17323480030268</v>
      </c>
      <c r="T28" s="62">
        <f t="shared" si="34"/>
        <v>471.89239871617241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2.7500000000000004E-2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0.95</v>
      </c>
      <c r="Z28" s="23">
        <f>EXP(-LN(2)/35)*Z27+(1-EXP(-LN(2)/35))/(LN(2)/35)*V28*W28*VLOOKUP('Données projet'!$B$9,Paramètres!$A$1:$I$89,3,0)*0.475*44/12</f>
        <v>1.1012010529271941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32.4686859264772</v>
      </c>
      <c r="AC28" s="24">
        <f t="shared" si="3"/>
        <v>33.569886979404394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142</v>
      </c>
      <c r="AG28" s="13">
        <f>VLOOKUP(A28,'Données projet'!$A$61:$I$81,9,0)</f>
        <v>8.6</v>
      </c>
      <c r="AH28" s="13">
        <f t="array" ref="AH28">INDEX(AG:AG,MIN(IF(ISNUMBER(AG28:AG224),ROW(AG28:AG224),"")))</f>
        <v>8.6</v>
      </c>
      <c r="AI28" s="14">
        <f>IF('Données projet'!$A$62&gt;35,AI27+AH28-AQ27,IF(A28&lt;'Données projet'!$A$62,$AF$205^A28,IF(A28='Données projet'!$A$62,'Données projet'!$B$62,AI27+AH28-AQ27)))</f>
        <v>141.99999999999997</v>
      </c>
      <c r="AJ28" s="14">
        <f>AI28*VLOOKUP('Données projet'!$B$10,Paramètres!$A$1:$I$89,3,0)*VLOOKUP('Données projet'!$B$10,Paramètres!$A$1:$I$89,5,0)</f>
        <v>115.19039999999998</v>
      </c>
      <c r="AK28" s="14">
        <f t="shared" si="35"/>
        <v>30.550582519051947</v>
      </c>
      <c r="AL28" s="22">
        <f t="shared" si="4"/>
        <v>253.8322112206821</v>
      </c>
      <c r="AM28" s="62">
        <f t="shared" si="5"/>
        <v>547.16554455401547</v>
      </c>
      <c r="AN28" s="62">
        <f ca="1">AVERAGE(OFFSET($AM$3,0,0,'Données projet'!$E$10+1,1))-AVERAGE(OFFSET($H$3,0,0,'Données projet'!$E$10+1,1))</f>
        <v>199.44889029107367</v>
      </c>
      <c r="AO28" s="62">
        <f t="shared" si="36"/>
        <v>292.30544856287457</v>
      </c>
      <c r="AP28" s="16">
        <f>IF(ISNA(VLOOKUP(A28,'Données projet'!$A$61:$I$81,3,0)),0,VLOOKUP(A28,'Données projet'!$A$61:$I$81,3,0))</f>
        <v>4</v>
      </c>
      <c r="AQ28" s="16">
        <f>IF(ISNA(VLOOKUP(A28,'Données projet'!$A$61:$I$81,4,0)),0,VLOOKUP(A28,'Données projet'!$A$61:$I$81,4,0))</f>
        <v>40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13.7</v>
      </c>
      <c r="BD28" s="13">
        <f>IF('Données projet'!$A$88&gt;35,BD27+BC28-BL27,IF(A28&lt;'Données projet'!$A$88,$BA$205^A28,IF(A28='Données projet'!$A$88,'Données projet'!$B$88,BD27+BC28-BL27)))</f>
        <v>181.49999999999994</v>
      </c>
      <c r="BE28" s="14">
        <f>BD28*VLOOKUP('Données projet'!$B$11,Paramètres!$A$1:$I$89,3,0)*VLOOKUP('Données projet'!$B$11,Paramètres!$A$1:$I$89,5,0)</f>
        <v>84.941999999999965</v>
      </c>
      <c r="BF28" s="14">
        <f t="shared" si="37"/>
        <v>23.341281179886199</v>
      </c>
      <c r="BG28" s="22">
        <f t="shared" si="7"/>
        <v>188.59338138830171</v>
      </c>
      <c r="BH28" s="62">
        <f t="shared" si="8"/>
        <v>481.92671472163499</v>
      </c>
      <c r="BI28" s="62">
        <f ca="1">AVERAGE(OFFSET($BH$3,0,0,'Données projet'!$E$11+1,1))-AVERAGE(OFFSET($H$3,0,0,'Données projet'!$E$11+1,1))</f>
        <v>256.45505140629194</v>
      </c>
      <c r="BJ28" s="62">
        <f t="shared" si="38"/>
        <v>219.6985760545686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204</v>
      </c>
      <c r="BW28" s="13">
        <f>VLOOKUP(A28,'Données projet'!$A$113:$I$133,9,0)</f>
        <v>16.399999999999999</v>
      </c>
      <c r="BX28" s="13">
        <f t="array" ref="BX28">INDEX(BW:BW,MIN(IF(ISNUMBER(BW28:BW224),ROW(BW28:BW224),"")))</f>
        <v>16.399999999999999</v>
      </c>
      <c r="BY28" s="13">
        <f>IF('Données projet'!$A$114&gt;35,BY27+BX28-CG27,IF(A28&lt;'Données projet'!$A$114,$BV$205^A28,IF(A28='Données projet'!$A$114,'Données projet'!$B$114,BY27+BX28-CG27)))</f>
        <v>204.00000000000003</v>
      </c>
      <c r="BZ28" s="14">
        <f>BY28*VLOOKUP('Données projet'!$B$12,Paramètres!$A$1:$I$89,3,0)*VLOOKUP('Données projet'!$B$12,Paramètres!$A$1:$I$89,5,0)</f>
        <v>121.99200000000003</v>
      </c>
      <c r="CA28" s="14">
        <f t="shared" si="39"/>
        <v>32.139154469866327</v>
      </c>
      <c r="CB28" s="22">
        <f t="shared" si="10"/>
        <v>268.44509403501723</v>
      </c>
      <c r="CC28" s="62">
        <f t="shared" si="11"/>
        <v>561.77842736835055</v>
      </c>
      <c r="CD28" s="62">
        <f ca="1">AVERAGE(OFFSET($CC$3,0,0,'Données projet'!$E$12+1,1))-AVERAGE(OFFSET($H$3,0,0,'Données projet'!$E$12+1,1))</f>
        <v>279.69031306919914</v>
      </c>
      <c r="CE28" s="62">
        <f t="shared" si="40"/>
        <v>297.01680128882509</v>
      </c>
      <c r="CF28" s="16">
        <f>IF(ISNA(VLOOKUP(A28,'Données projet'!$A$113:$I$133,3,0)),0,VLOOKUP(A28,'Données projet'!$A$113:$I$133,3,0))</f>
        <v>3</v>
      </c>
      <c r="CG28" s="16">
        <f>IF(ISNA(VLOOKUP(A28,'Données projet'!$A$113:$I$133,4,0)),0,VLOOKUP(A28,'Données projet'!$A$113:$I$133,4,0))</f>
        <v>36</v>
      </c>
      <c r="CH28" s="17">
        <f>IF(ISNA(VLOOKUP(A28,'Données projet'!$A$113:$I$133,5,0)),0%,VLOOKUP(A28,'Données projet'!$A$113:$I$133,5,0)*VLOOKUP('Données projet'!$B$12,Paramètres!$A$1:$I$89,7,0))</f>
        <v>4.5000000000000005E-2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0.9</v>
      </c>
      <c r="CK28" s="23">
        <f>EXP(-LN(2)/35)*CK27+(1-EXP(-LN(2)/35))/(LN(2)/35)*CG28*CH28*VLOOKUP('Données projet'!$B$12,Paramètres!$A$1:$I$89,3,0)*0.475*44/12</f>
        <v>2.2271191810431188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24.12433855729639</v>
      </c>
      <c r="CN28" s="24">
        <f t="shared" si="12"/>
        <v>26.351457738339509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2">
        <f t="shared" si="32"/>
        <v>4.8040324714872957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70">
        <f t="shared" si="1"/>
        <v>326.42505655450702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28</v>
      </c>
      <c r="N29" s="14">
        <f>IF('Données projet'!$A$36&gt;35,N28+M29-V28,IF(A29&lt;'Données projet'!$A$36,$K$205^A29,IF(A29='Données projet'!$A$36,'Données projet'!$B$36,N28+M29-V28)))</f>
        <v>309</v>
      </c>
      <c r="O29" s="14">
        <f>N29*VLOOKUP('Données projet'!$B$9,Paramètres!$A$1:$I$89,3,0)*VLOOKUP('Données projet'!$B$9,Paramètres!$A$1:$I$89,5,0)</f>
        <v>172.73100000000002</v>
      </c>
      <c r="P29" s="14">
        <f t="shared" si="33"/>
        <v>43.701108252019125</v>
      </c>
      <c r="Q29" s="22">
        <f t="shared" si="2"/>
        <v>376.9525885389333</v>
      </c>
      <c r="R29" s="62">
        <f t="shared" si="0"/>
        <v>670.28592187226661</v>
      </c>
      <c r="S29" s="62">
        <f ca="1">AVERAGE(OFFSET($R$3,0,0,'Données projet'!$E$9+1,1))-AVERAGE(OFFSET($H$3,0,0,'Données projet'!$E$9+1,1))</f>
        <v>378.17323480030268</v>
      </c>
      <c r="T29" s="62">
        <f t="shared" si="34"/>
        <v>471.89239871617241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1.0796071719456126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22.958827994828251</v>
      </c>
      <c r="AC29" s="24">
        <f t="shared" si="3"/>
        <v>24.038435166773866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16.8</v>
      </c>
      <c r="AI29" s="14">
        <f>IF('Données projet'!$A$62&gt;35,AI28+AH29-AQ28,IF(A29&lt;'Données projet'!$A$62,$AF$205^A29,IF(A29='Données projet'!$A$62,'Données projet'!$B$62,AI28+AH29-AQ28)))</f>
        <v>118.79999999999998</v>
      </c>
      <c r="AJ29" s="14">
        <f>AI29*VLOOKUP('Données projet'!$B$10,Paramètres!$A$1:$I$89,3,0)*VLOOKUP('Données projet'!$B$10,Paramètres!$A$1:$I$89,5,0)</f>
        <v>96.370559999999998</v>
      </c>
      <c r="AK29" s="14">
        <f t="shared" si="35"/>
        <v>26.095481904279332</v>
      </c>
      <c r="AL29" s="22">
        <f t="shared" si="4"/>
        <v>213.29502298328649</v>
      </c>
      <c r="AM29" s="62">
        <f t="shared" si="5"/>
        <v>506.62835631661983</v>
      </c>
      <c r="AN29" s="62">
        <f ca="1">AVERAGE(OFFSET($AM$3,0,0,'Données projet'!$E$10+1,1))-AVERAGE(OFFSET($H$3,0,0,'Données projet'!$E$10+1,1))</f>
        <v>199.44889029107367</v>
      </c>
      <c r="AO29" s="62">
        <f t="shared" si="36"/>
        <v>292.30544856287457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13.7</v>
      </c>
      <c r="BD29" s="13">
        <f>IF('Données projet'!$A$88&gt;35,BD28+BC29-BL28,IF(A29&lt;'Données projet'!$A$88,$BA$205^A29,IF(A29='Données projet'!$A$88,'Données projet'!$B$88,BD28+BC29-BL28)))</f>
        <v>195.19999999999993</v>
      </c>
      <c r="BE29" s="14">
        <f>BD29*VLOOKUP('Données projet'!$B$11,Paramètres!$A$1:$I$89,3,0)*VLOOKUP('Données projet'!$B$11,Paramètres!$A$1:$I$89,5,0)</f>
        <v>91.353599999999972</v>
      </c>
      <c r="BF29" s="14">
        <f t="shared" si="37"/>
        <v>24.891396550187423</v>
      </c>
      <c r="BG29" s="22">
        <f t="shared" si="7"/>
        <v>202.46003565824302</v>
      </c>
      <c r="BH29" s="62">
        <f t="shared" si="8"/>
        <v>495.79336899157636</v>
      </c>
      <c r="BI29" s="62">
        <f ca="1">AVERAGE(OFFSET($BH$3,0,0,'Données projet'!$E$11+1,1))-AVERAGE(OFFSET($H$3,0,0,'Données projet'!$E$11+1,1))</f>
        <v>256.45505140629194</v>
      </c>
      <c r="BJ29" s="62">
        <f t="shared" si="38"/>
        <v>219.6985760545686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17.600000000000001</v>
      </c>
      <c r="BY29" s="13">
        <f>IF('Données projet'!$A$114&gt;35,BY28+BX29-CG28,IF(A29&lt;'Données projet'!$A$114,$BV$205^A29,IF(A29='Données projet'!$A$114,'Données projet'!$B$114,BY28+BX29-CG28)))</f>
        <v>185.60000000000002</v>
      </c>
      <c r="BZ29" s="14">
        <f>BY29*VLOOKUP('Données projet'!$B$12,Paramètres!$A$1:$I$89,3,0)*VLOOKUP('Données projet'!$B$12,Paramètres!$A$1:$I$89,5,0)</f>
        <v>110.98880000000003</v>
      </c>
      <c r="CA29" s="14">
        <f t="shared" si="39"/>
        <v>29.56383208945169</v>
      </c>
      <c r="CB29" s="22">
        <f t="shared" si="10"/>
        <v>244.79583422246174</v>
      </c>
      <c r="CC29" s="62">
        <f t="shared" si="11"/>
        <v>538.12916755579499</v>
      </c>
      <c r="CD29" s="62">
        <f ca="1">AVERAGE(OFFSET($CC$3,0,0,'Données projet'!$E$12+1,1))-AVERAGE(OFFSET($H$3,0,0,'Données projet'!$E$12+1,1))</f>
        <v>279.69031306919914</v>
      </c>
      <c r="CE29" s="62">
        <f t="shared" si="40"/>
        <v>297.01680128882509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2.1834467323114319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17.05848338550437</v>
      </c>
      <c r="CN29" s="24">
        <f t="shared" si="12"/>
        <v>19.241930117815802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2">
        <f t="shared" si="32"/>
        <v>4.9669353357224146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70">
        <f t="shared" si="1"/>
        <v>327.65972904304982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28</v>
      </c>
      <c r="N30" s="14">
        <f>IF('Données projet'!$A$36&gt;35,N29+M30-V29,IF(A30&lt;'Données projet'!$A$36,$K$205^A30,IF(A30='Données projet'!$A$36,'Données projet'!$B$36,N29+M30-V29)))</f>
        <v>337</v>
      </c>
      <c r="O30" s="14">
        <f>N30*VLOOKUP('Données projet'!$B$9,Paramètres!$A$1:$I$89,3,0)*VLOOKUP('Données projet'!$B$9,Paramètres!$A$1:$I$89,5,0)</f>
        <v>188.38300000000001</v>
      </c>
      <c r="P30" s="14">
        <f t="shared" si="33"/>
        <v>47.182279474248382</v>
      </c>
      <c r="Q30" s="22">
        <f t="shared" si="2"/>
        <v>410.27619508431599</v>
      </c>
      <c r="R30" s="62">
        <f t="shared" si="0"/>
        <v>703.60952841764924</v>
      </c>
      <c r="S30" s="62">
        <f ca="1">AVERAGE(OFFSET($R$3,0,0,'Données projet'!$E$9+1,1))-AVERAGE(OFFSET($H$3,0,0,'Données projet'!$E$9+1,1))</f>
        <v>378.17323480030268</v>
      </c>
      <c r="T30" s="62">
        <f t="shared" si="34"/>
        <v>471.89239871617241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1.058436733799113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16.234342963238603</v>
      </c>
      <c r="AC30" s="24">
        <f t="shared" si="3"/>
        <v>17.292779697037716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16.8</v>
      </c>
      <c r="AI30" s="14">
        <f>IF('Données projet'!$A$62&gt;35,AI29+AH30-AQ29,IF(A30&lt;'Données projet'!$A$62,$AF$205^A30,IF(A30='Données projet'!$A$62,'Données projet'!$B$62,AI29+AH30-AQ29)))</f>
        <v>135.6</v>
      </c>
      <c r="AJ30" s="14">
        <f>AI30*VLOOKUP('Données projet'!$B$10,Paramètres!$A$1:$I$89,3,0)*VLOOKUP('Données projet'!$B$10,Paramètres!$A$1:$I$89,5,0)</f>
        <v>109.99872000000001</v>
      </c>
      <c r="AK30" s="14">
        <f t="shared" si="35"/>
        <v>29.330682994371166</v>
      </c>
      <c r="AL30" s="22">
        <f t="shared" si="4"/>
        <v>242.66537688186312</v>
      </c>
      <c r="AM30" s="62">
        <f t="shared" si="5"/>
        <v>535.99871021519641</v>
      </c>
      <c r="AN30" s="62">
        <f ca="1">AVERAGE(OFFSET($AM$3,0,0,'Données projet'!$E$10+1,1))-AVERAGE(OFFSET($H$3,0,0,'Données projet'!$E$10+1,1))</f>
        <v>199.44889029107367</v>
      </c>
      <c r="AO30" s="62">
        <f t="shared" si="36"/>
        <v>292.30544856287457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13.7</v>
      </c>
      <c r="BD30" s="13">
        <f>IF('Données projet'!$A$88&gt;35,BD29+BC30-BL29,IF(A30&lt;'Données projet'!$A$88,$BA$205^A30,IF(A30='Données projet'!$A$88,'Données projet'!$B$88,BD29+BC30-BL29)))</f>
        <v>208.89999999999992</v>
      </c>
      <c r="BE30" s="14">
        <f>BD30*VLOOKUP('Données projet'!$B$11,Paramètres!$A$1:$I$89,3,0)*VLOOKUP('Données projet'!$B$11,Paramètres!$A$1:$I$89,5,0)</f>
        <v>97.765199999999965</v>
      </c>
      <c r="BF30" s="14">
        <f t="shared" si="37"/>
        <v>26.428888956102274</v>
      </c>
      <c r="BG30" s="22">
        <f t="shared" si="7"/>
        <v>216.30470493187804</v>
      </c>
      <c r="BH30" s="62">
        <f t="shared" si="8"/>
        <v>509.63803826521132</v>
      </c>
      <c r="BI30" s="62">
        <f ca="1">AVERAGE(OFFSET($BH$3,0,0,'Données projet'!$E$11+1,1))-AVERAGE(OFFSET($H$3,0,0,'Données projet'!$E$11+1,1))</f>
        <v>256.45505140629194</v>
      </c>
      <c r="BJ30" s="62">
        <f t="shared" si="38"/>
        <v>219.6985760545686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17.600000000000001</v>
      </c>
      <c r="BY30" s="13">
        <f>IF('Données projet'!$A$114&gt;35,BY29+BX30-CG29,IF(A30&lt;'Données projet'!$A$114,$BV$205^A30,IF(A30='Données projet'!$A$114,'Données projet'!$B$114,BY29+BX30-CG29)))</f>
        <v>203.20000000000002</v>
      </c>
      <c r="BZ30" s="14">
        <f>BY30*VLOOKUP('Données projet'!$B$12,Paramètres!$A$1:$I$89,3,0)*VLOOKUP('Données projet'!$B$12,Paramètres!$A$1:$I$89,5,0)</f>
        <v>121.51360000000001</v>
      </c>
      <c r="CA30" s="14">
        <f t="shared" si="39"/>
        <v>32.027763694063836</v>
      </c>
      <c r="CB30" s="22">
        <f t="shared" si="10"/>
        <v>267.41787510049454</v>
      </c>
      <c r="CC30" s="62">
        <f t="shared" si="11"/>
        <v>560.75120843382786</v>
      </c>
      <c r="CD30" s="62">
        <f ca="1">AVERAGE(OFFSET($CC$3,0,0,'Données projet'!$E$12+1,1))-AVERAGE(OFFSET($H$3,0,0,'Données projet'!$E$12+1,1))</f>
        <v>279.69031306919914</v>
      </c>
      <c r="CE30" s="62">
        <f t="shared" si="40"/>
        <v>297.01680128882509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2.1406306736618101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12.062169278648197</v>
      </c>
      <c r="CN30" s="24">
        <f t="shared" si="12"/>
        <v>14.202799952310007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2">
        <f t="shared" si="32"/>
        <v>5.1291372499950274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70">
        <f t="shared" si="1"/>
        <v>328.89318071040799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28</v>
      </c>
      <c r="N31" s="14">
        <f>IF('Données projet'!$A$36&gt;35,N30+M31-V30,IF(A31&lt;'Données projet'!$A$36,$K$205^A31,IF(A31='Données projet'!$A$36,'Données projet'!$B$36,N30+M31-V30)))</f>
        <v>365</v>
      </c>
      <c r="O31" s="14">
        <f>N31*VLOOKUP('Données projet'!$B$9,Paramètres!$A$1:$I$89,3,0)*VLOOKUP('Données projet'!$B$9,Paramètres!$A$1:$I$89,5,0)</f>
        <v>204.035</v>
      </c>
      <c r="P31" s="14">
        <f t="shared" si="33"/>
        <v>50.629905099971396</v>
      </c>
      <c r="Q31" s="22">
        <f t="shared" si="2"/>
        <v>443.54137638245015</v>
      </c>
      <c r="R31" s="62">
        <f t="shared" si="0"/>
        <v>736.87470971578341</v>
      </c>
      <c r="S31" s="62">
        <f ca="1">AVERAGE(OFFSET($R$3,0,0,'Données projet'!$E$9+1,1))-AVERAGE(OFFSET($H$3,0,0,'Données projet'!$E$9+1,1))</f>
        <v>378.17323480030268</v>
      </c>
      <c r="T31" s="62">
        <f t="shared" si="34"/>
        <v>471.89239871617241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1.0376814350319741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11.479413997414127</v>
      </c>
      <c r="AC31" s="24">
        <f t="shared" si="3"/>
        <v>12.517095432446101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16.8</v>
      </c>
      <c r="AI31" s="14">
        <f>IF('Données projet'!$A$62&gt;35,AI30+AH31-AQ30,IF(A31&lt;'Données projet'!$A$62,$AF$205^A31,IF(A31='Données projet'!$A$62,'Données projet'!$B$62,AI30+AH31-AQ30)))</f>
        <v>152.4</v>
      </c>
      <c r="AJ31" s="14">
        <f>AI31*VLOOKUP('Données projet'!$B$10,Paramètres!$A$1:$I$89,3,0)*VLOOKUP('Données projet'!$B$10,Paramètres!$A$1:$I$89,5,0)</f>
        <v>123.62688000000001</v>
      </c>
      <c r="AK31" s="14">
        <f t="shared" si="35"/>
        <v>32.519437980051656</v>
      </c>
      <c r="AL31" s="22">
        <f t="shared" si="4"/>
        <v>271.95483714859</v>
      </c>
      <c r="AM31" s="62">
        <f t="shared" si="5"/>
        <v>565.28817048192332</v>
      </c>
      <c r="AN31" s="62">
        <f ca="1">AVERAGE(OFFSET($AM$3,0,0,'Données projet'!$E$10+1,1))-AVERAGE(OFFSET($H$3,0,0,'Données projet'!$E$10+1,1))</f>
        <v>199.44889029107367</v>
      </c>
      <c r="AO31" s="62">
        <f t="shared" si="36"/>
        <v>292.30544856287457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13.7</v>
      </c>
      <c r="BD31" s="13">
        <f>IF('Données projet'!$A$88&gt;35,BD30+BC31-BL30,IF(A31&lt;'Données projet'!$A$88,$BA$205^A31,IF(A31='Données projet'!$A$88,'Données projet'!$B$88,BD30+BC31-BL30)))</f>
        <v>222.59999999999991</v>
      </c>
      <c r="BE31" s="14">
        <f>BD31*VLOOKUP('Données projet'!$B$11,Paramètres!$A$1:$I$89,3,0)*VLOOKUP('Données projet'!$B$11,Paramètres!$A$1:$I$89,5,0)</f>
        <v>104.17679999999996</v>
      </c>
      <c r="BF31" s="14">
        <f t="shared" si="37"/>
        <v>27.954680438322864</v>
      </c>
      <c r="BG31" s="22">
        <f t="shared" si="7"/>
        <v>230.12899509674557</v>
      </c>
      <c r="BH31" s="62">
        <f t="shared" si="8"/>
        <v>523.46232843007886</v>
      </c>
      <c r="BI31" s="62">
        <f ca="1">AVERAGE(OFFSET($BH$3,0,0,'Données projet'!$E$11+1,1))-AVERAGE(OFFSET($H$3,0,0,'Données projet'!$E$11+1,1))</f>
        <v>256.45505140629194</v>
      </c>
      <c r="BJ31" s="62">
        <f t="shared" si="38"/>
        <v>219.6985760545686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17.600000000000001</v>
      </c>
      <c r="BY31" s="13">
        <f>IF('Données projet'!$A$114&gt;35,BY30+BX31-CG30,IF(A31&lt;'Données projet'!$A$114,$BV$205^A31,IF(A31='Données projet'!$A$114,'Données projet'!$B$114,BY30+BX31-CG30)))</f>
        <v>220.8</v>
      </c>
      <c r="BZ31" s="14">
        <f>BY31*VLOOKUP('Données projet'!$B$12,Paramètres!$A$1:$I$89,3,0)*VLOOKUP('Données projet'!$B$12,Paramètres!$A$1:$I$89,5,0)</f>
        <v>132.03840000000002</v>
      </c>
      <c r="CA31" s="14">
        <f t="shared" si="39"/>
        <v>34.466946374534373</v>
      </c>
      <c r="CB31" s="22">
        <f t="shared" si="10"/>
        <v>289.99681160231404</v>
      </c>
      <c r="CC31" s="62">
        <f t="shared" si="11"/>
        <v>583.33014493564735</v>
      </c>
      <c r="CD31" s="62">
        <f ca="1">AVERAGE(OFFSET($CC$3,0,0,'Données projet'!$E$12+1,1))-AVERAGE(OFFSET($H$3,0,0,'Données projet'!$E$12+1,1))</f>
        <v>279.69031306919914</v>
      </c>
      <c r="CE31" s="62">
        <f t="shared" si="40"/>
        <v>297.01680128882509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2.0986542118070903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8.529241692752187</v>
      </c>
      <c r="CN31" s="24">
        <f t="shared" si="12"/>
        <v>10.627895904559278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2">
        <f t="shared" si="32"/>
        <v>5.2906661162322051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70">
        <f t="shared" si="1"/>
        <v>330.12546015243771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28</v>
      </c>
      <c r="N32" s="14">
        <f>IF('Données projet'!$A$36&gt;35,N31+M32-V31,IF(A32&lt;'Données projet'!$A$36,$K$205^A32,IF(A32='Données projet'!$A$36,'Données projet'!$B$36,N31+M32-V31)))</f>
        <v>393</v>
      </c>
      <c r="O32" s="14">
        <f>N32*VLOOKUP('Données projet'!$B$9,Paramètres!$A$1:$I$89,3,0)*VLOOKUP('Données projet'!$B$9,Paramètres!$A$1:$I$89,5,0)</f>
        <v>219.68700000000001</v>
      </c>
      <c r="P32" s="14">
        <f t="shared" si="33"/>
        <v>54.046851081096591</v>
      </c>
      <c r="Q32" s="22">
        <f t="shared" si="2"/>
        <v>476.75312396624321</v>
      </c>
      <c r="R32" s="62">
        <f t="shared" si="0"/>
        <v>770.08645729957652</v>
      </c>
      <c r="S32" s="62">
        <f ca="1">AVERAGE(OFFSET($R$3,0,0,'Données projet'!$E$9+1,1))-AVERAGE(OFFSET($H$3,0,0,'Données projet'!$E$9+1,1))</f>
        <v>378.17323480030268</v>
      </c>
      <c r="T32" s="62">
        <f t="shared" si="34"/>
        <v>471.89239871617241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1.0173331350141765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8.1171714816193035</v>
      </c>
      <c r="AC32" s="24">
        <f t="shared" si="3"/>
        <v>9.13450461663348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16.8</v>
      </c>
      <c r="AI32" s="14">
        <f>IF('Données projet'!$A$62&gt;35,AI31+AH32-AQ31,IF(A32&lt;'Données projet'!$A$62,$AF$205^A32,IF(A32='Données projet'!$A$62,'Données projet'!$B$62,AI31+AH32-AQ31)))</f>
        <v>169.20000000000002</v>
      </c>
      <c r="AJ32" s="14">
        <f>AI32*VLOOKUP('Données projet'!$B$10,Paramètres!$A$1:$I$89,3,0)*VLOOKUP('Données projet'!$B$10,Paramètres!$A$1:$I$89,5,0)</f>
        <v>137.25504000000001</v>
      </c>
      <c r="AK32" s="14">
        <f t="shared" si="35"/>
        <v>35.667450842391325</v>
      </c>
      <c r="AL32" s="22">
        <f t="shared" si="4"/>
        <v>301.17333821716494</v>
      </c>
      <c r="AM32" s="62">
        <f t="shared" si="5"/>
        <v>594.50667155049825</v>
      </c>
      <c r="AN32" s="62">
        <f ca="1">AVERAGE(OFFSET($AM$3,0,0,'Données projet'!$E$10+1,1))-AVERAGE(OFFSET($H$3,0,0,'Données projet'!$E$10+1,1))</f>
        <v>199.44889029107367</v>
      </c>
      <c r="AO32" s="62">
        <f t="shared" si="36"/>
        <v>292.30544856287457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13.7</v>
      </c>
      <c r="BD32" s="13">
        <f>IF('Données projet'!$A$88&gt;35,BD31+BC32-BL31,IF(A32&lt;'Données projet'!$A$88,$BA$205^A32,IF(A32='Données projet'!$A$88,'Données projet'!$B$88,BD31+BC32-BL31)))</f>
        <v>236.2999999999999</v>
      </c>
      <c r="BE32" s="14">
        <f>BD32*VLOOKUP('Données projet'!$B$11,Paramètres!$A$1:$I$89,3,0)*VLOOKUP('Données projet'!$B$11,Paramètres!$A$1:$I$89,5,0)</f>
        <v>110.58839999999995</v>
      </c>
      <c r="BF32" s="14">
        <f t="shared" si="37"/>
        <v>29.469573129181644</v>
      </c>
      <c r="BG32" s="22">
        <f t="shared" si="7"/>
        <v>243.93430319999126</v>
      </c>
      <c r="BH32" s="62">
        <f t="shared" si="8"/>
        <v>537.26763653332455</v>
      </c>
      <c r="BI32" s="62">
        <f ca="1">AVERAGE(OFFSET($BH$3,0,0,'Données projet'!$E$11+1,1))-AVERAGE(OFFSET($H$3,0,0,'Données projet'!$E$11+1,1))</f>
        <v>256.45505140629194</v>
      </c>
      <c r="BJ32" s="62">
        <f t="shared" si="38"/>
        <v>219.6985760545686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17.600000000000001</v>
      </c>
      <c r="BY32" s="13">
        <f>IF('Données projet'!$A$114&gt;35,BY31+BX32-CG31,IF(A32&lt;'Données projet'!$A$114,$BV$205^A32,IF(A32='Données projet'!$A$114,'Données projet'!$B$114,BY31+BX32-CG31)))</f>
        <v>238.4</v>
      </c>
      <c r="BZ32" s="14">
        <f>BY32*VLOOKUP('Données projet'!$B$12,Paramètres!$A$1:$I$89,3,0)*VLOOKUP('Données projet'!$B$12,Paramètres!$A$1:$I$89,5,0)</f>
        <v>142.56319999999999</v>
      </c>
      <c r="CA32" s="14">
        <f t="shared" si="39"/>
        <v>36.883577154665602</v>
      </c>
      <c r="CB32" s="22">
        <f t="shared" si="10"/>
        <v>312.53647021104257</v>
      </c>
      <c r="CC32" s="62">
        <f t="shared" si="11"/>
        <v>605.86980354437583</v>
      </c>
      <c r="CD32" s="62">
        <f ca="1">AVERAGE(OFFSET($CC$3,0,0,'Données projet'!$E$12+1,1))-AVERAGE(OFFSET($H$3,0,0,'Données projet'!$E$12+1,1))</f>
        <v>279.69031306919914</v>
      </c>
      <c r="CE32" s="62">
        <f t="shared" si="40"/>
        <v>297.01680128882509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2.0575008827662278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6.0310846393240993</v>
      </c>
      <c r="CN32" s="24">
        <f t="shared" si="12"/>
        <v>8.0885855220903267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2">
        <f t="shared" si="32"/>
        <v>5.4515478029518807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70">
        <f t="shared" si="1"/>
        <v>331.35661242347447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421</v>
      </c>
      <c r="L33" s="13">
        <f>VLOOKUP(A33,'Données projet'!$A$35:$I$55,9,0)</f>
        <v>28</v>
      </c>
      <c r="M33" s="13">
        <f t="array" ref="M33">INDEX(L:L,MIN(IF(ISNUMBER(L33:L229),ROW(L33:L229),"")))</f>
        <v>28</v>
      </c>
      <c r="N33" s="14">
        <f>IF('Données projet'!$A$36&gt;35,N32+M33-V32,IF(A33&lt;'Données projet'!$A$36,$K$205^A33,IF(A33='Données projet'!$A$36,'Données projet'!$B$36,N32+M33-V32)))</f>
        <v>421</v>
      </c>
      <c r="O33" s="14">
        <f>N33*VLOOKUP('Données projet'!$B$9,Paramètres!$A$1:$I$89,3,0)*VLOOKUP('Données projet'!$B$9,Paramètres!$A$1:$I$89,5,0)</f>
        <v>235.339</v>
      </c>
      <c r="P33" s="14">
        <f t="shared" si="33"/>
        <v>57.43555185051494</v>
      </c>
      <c r="Q33" s="22">
        <f t="shared" si="2"/>
        <v>509.91567780631357</v>
      </c>
      <c r="R33" s="62">
        <f t="shared" si="0"/>
        <v>803.24901113964688</v>
      </c>
      <c r="S33" s="62">
        <f ca="1">AVERAGE(OFFSET($R$3,0,0,'Données projet'!$E$9+1,1))-AVERAGE(OFFSET($H$3,0,0,'Données projet'!$E$9+1,1))</f>
        <v>378.17323480030268</v>
      </c>
      <c r="T33" s="62">
        <f t="shared" si="34"/>
        <v>471.89239871617241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54</v>
      </c>
      <c r="W33" s="17">
        <f>IF(ISNA(VLOOKUP(A33,'Données projet'!$A$35:$I$55,5,0)),0%,VLOOKUP(A33,'Données projet'!$A$35:$I$55,5,0)*VLOOKUP('Données projet'!$B$9,Paramètres!$A$1:$I$89,7,0))</f>
        <v>0.11000000000000001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5.4021880644572668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33.081758305214187</v>
      </c>
      <c r="AC33" s="24">
        <f t="shared" si="3"/>
        <v>38.483946369671457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186</v>
      </c>
      <c r="AG33" s="13">
        <f>VLOOKUP(A33,'Données projet'!$A$61:$I$81,9,0)</f>
        <v>16.8</v>
      </c>
      <c r="AH33" s="13">
        <f t="array" ref="AH33">INDEX(AG:AG,MIN(IF(ISNUMBER(AG33:AG229),ROW(AG33:AG229),"")))</f>
        <v>16.8</v>
      </c>
      <c r="AI33" s="14">
        <f>IF('Données projet'!$A$62&gt;35,AI32+AH33-AQ32,IF(A33&lt;'Données projet'!$A$62,$AF$205^A33,IF(A33='Données projet'!$A$62,'Données projet'!$B$62,AI32+AH33-AQ32)))</f>
        <v>186.00000000000003</v>
      </c>
      <c r="AJ33" s="14">
        <f>AI33*VLOOKUP('Données projet'!$B$10,Paramètres!$A$1:$I$89,3,0)*VLOOKUP('Données projet'!$B$10,Paramètres!$A$1:$I$89,5,0)</f>
        <v>150.88320000000002</v>
      </c>
      <c r="AK33" s="14">
        <f t="shared" si="35"/>
        <v>38.779227360583199</v>
      </c>
      <c r="AL33" s="22">
        <f t="shared" si="4"/>
        <v>330.32872765301573</v>
      </c>
      <c r="AM33" s="62">
        <f t="shared" si="5"/>
        <v>623.66206098634905</v>
      </c>
      <c r="AN33" s="62">
        <f ca="1">AVERAGE(OFFSET($AM$3,0,0,'Données projet'!$E$10+1,1))-AVERAGE(OFFSET($H$3,0,0,'Données projet'!$E$10+1,1))</f>
        <v>199.44889029107367</v>
      </c>
      <c r="AO33" s="62">
        <f t="shared" si="36"/>
        <v>292.30544856287457</v>
      </c>
      <c r="AP33" s="16">
        <f>IF(ISNA(VLOOKUP(A33,'Données projet'!$A$61:$I$81,3,0)),0,VLOOKUP(A33,'Données projet'!$A$61:$I$81,3,0))</f>
        <v>5</v>
      </c>
      <c r="AQ33" s="16">
        <f>IF(ISNA(VLOOKUP(A33,'Données projet'!$A$61:$I$81,4,0)),0,VLOOKUP(A33,'Données projet'!$A$61:$I$81,4,0))</f>
        <v>40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250</v>
      </c>
      <c r="BB33" s="13">
        <f>VLOOKUP(A33,'Données projet'!$A$87:$I$107,9,0)</f>
        <v>13.7</v>
      </c>
      <c r="BC33" s="13">
        <f t="array" ref="BC33">INDEX(BB:BB,MIN(IF(ISNUMBER(BB33:BB229),ROW(BB33:BB229),"")))</f>
        <v>13.7</v>
      </c>
      <c r="BD33" s="13">
        <f>IF('Données projet'!$A$88&gt;35,BD32+BC33-BL32,IF(A33&lt;'Données projet'!$A$88,$BA$205^A33,IF(A33='Données projet'!$A$88,'Données projet'!$B$88,BD32+BC33-BL32)))</f>
        <v>249.99999999999989</v>
      </c>
      <c r="BE33" s="14">
        <f>BD33*VLOOKUP('Données projet'!$B$11,Paramètres!$A$1:$I$89,3,0)*VLOOKUP('Données projet'!$B$11,Paramètres!$A$1:$I$89,5,0)</f>
        <v>116.99999999999994</v>
      </c>
      <c r="BF33" s="14">
        <f t="shared" si="37"/>
        <v>30.974270896484118</v>
      </c>
      <c r="BG33" s="22">
        <f t="shared" si="7"/>
        <v>257.72185514470976</v>
      </c>
      <c r="BH33" s="62">
        <f t="shared" si="8"/>
        <v>551.05518847804308</v>
      </c>
      <c r="BI33" s="62">
        <f ca="1">AVERAGE(OFFSET($BH$3,0,0,'Données projet'!$E$11+1,1))-AVERAGE(OFFSET($H$3,0,0,'Données projet'!$E$11+1,1))</f>
        <v>256.45505140629194</v>
      </c>
      <c r="BJ33" s="62">
        <f t="shared" si="38"/>
        <v>219.6985760545686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55</v>
      </c>
      <c r="BM33" s="17">
        <f>IF(ISNA(VLOOKUP(A33,'Données projet'!$A$87:$I$107,5,0)),0%,VLOOKUP(A33,'Données projet'!$A$87:$I$107,5,0)*VLOOKUP('Données projet'!$B$11,Paramètres!$A$1:$I$89,7,0))</f>
        <v>8.2500000000000004E-2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2.8170259493486358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2.8170259493486358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256</v>
      </c>
      <c r="BW33" s="13">
        <f>VLOOKUP(A33,'Données projet'!$A$113:$I$133,9,0)</f>
        <v>17.600000000000001</v>
      </c>
      <c r="BX33" s="13">
        <f t="array" ref="BX33">INDEX(BW:BW,MIN(IF(ISNUMBER(BW33:BW229),ROW(BW33:BW229),"")))</f>
        <v>17.600000000000001</v>
      </c>
      <c r="BY33" s="13">
        <f>IF('Données projet'!$A$114&gt;35,BY32+BX33-CG32,IF(A33&lt;'Données projet'!$A$114,$BV$205^A33,IF(A33='Données projet'!$A$114,'Données projet'!$B$114,BY32+BX33-CG32)))</f>
        <v>256</v>
      </c>
      <c r="BZ33" s="14">
        <f>BY33*VLOOKUP('Données projet'!$B$12,Paramètres!$A$1:$I$89,3,0)*VLOOKUP('Données projet'!$B$12,Paramètres!$A$1:$I$89,5,0)</f>
        <v>153.08800000000002</v>
      </c>
      <c r="CA33" s="14">
        <f t="shared" si="39"/>
        <v>39.27951026543515</v>
      </c>
      <c r="CB33" s="22">
        <f t="shared" si="10"/>
        <v>335.04008037896625</v>
      </c>
      <c r="CC33" s="62">
        <f t="shared" si="11"/>
        <v>628.37341371229957</v>
      </c>
      <c r="CD33" s="62">
        <f ca="1">AVERAGE(OFFSET($CC$3,0,0,'Données projet'!$E$12+1,1))-AVERAGE(OFFSET($H$3,0,0,'Données projet'!$E$12+1,1))</f>
        <v>279.69031306919914</v>
      </c>
      <c r="CE33" s="62">
        <f t="shared" si="40"/>
        <v>297.01680128882509</v>
      </c>
      <c r="CF33" s="16">
        <f>IF(ISNA(VLOOKUP(A33,'Données projet'!$A$113:$I$133,3,0)),0,VLOOKUP(A33,'Données projet'!$A$113:$I$133,3,0))</f>
        <v>4</v>
      </c>
      <c r="CG33" s="16">
        <f>IF(ISNA(VLOOKUP(A33,'Données projet'!$A$113:$I$133,4,0)),0,VLOOKUP(A33,'Données projet'!$A$113:$I$133,4,0))</f>
        <v>54</v>
      </c>
      <c r="CH33" s="17">
        <f>IF(ISNA(VLOOKUP(A33,'Données projet'!$A$113:$I$133,5,0)),0%,VLOOKUP(A33,'Données projet'!$A$113:$I$133,5,0)*VLOOKUP('Données projet'!$B$12,Paramètres!$A$1:$I$89,7,0))</f>
        <v>9.0000000000000011E-2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0.8</v>
      </c>
      <c r="CK33" s="23">
        <f>EXP(-LN(2)/35)*CK32+(1-EXP(-LN(2)/35))/(LN(2)/35)*CG33*CH33*VLOOKUP('Données projet'!$B$12,Paramètres!$A$1:$I$89,3,0)*0.475*44/12</f>
        <v>5.8725222909616317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33.514257127755805</v>
      </c>
      <c r="CN33" s="24">
        <f t="shared" si="12"/>
        <v>39.386779418717438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2">
        <f t="shared" si="32"/>
        <v>5.6118063562438518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70">
        <f t="shared" si="1"/>
        <v>332.58667940379132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27.6</v>
      </c>
      <c r="N34" s="14">
        <f>IF('Données projet'!$A$36&gt;35,N33+M34-V33,IF(A34&lt;'Données projet'!$A$36,$K$205^A34,IF(A34='Données projet'!$A$36,'Données projet'!$B$36,N33+M34-V33)))</f>
        <v>394.6</v>
      </c>
      <c r="O34" s="14">
        <f>N34*VLOOKUP('Données projet'!$B$9,Paramètres!$A$1:$I$89,3,0)*VLOOKUP('Données projet'!$B$9,Paramètres!$A$1:$I$89,5,0)</f>
        <v>220.5814</v>
      </c>
      <c r="P34" s="14">
        <f t="shared" si="33"/>
        <v>54.241230721401301</v>
      </c>
      <c r="Q34" s="22">
        <f t="shared" si="2"/>
        <v>478.64941517310723</v>
      </c>
      <c r="R34" s="62">
        <f t="shared" si="0"/>
        <v>771.98274850644054</v>
      </c>
      <c r="S34" s="62">
        <f ca="1">AVERAGE(OFFSET($R$3,0,0,'Données projet'!$E$9+1,1))-AVERAGE(OFFSET($H$3,0,0,'Données projet'!$E$9+1,1))</f>
        <v>378.17323480030268</v>
      </c>
      <c r="T34" s="62">
        <f t="shared" si="34"/>
        <v>471.89239871617241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5.296254451522624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23.39233563119134</v>
      </c>
      <c r="AC34" s="24">
        <f t="shared" si="3"/>
        <v>28.688590082713965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16.8</v>
      </c>
      <c r="AI34" s="14">
        <f>IF('Données projet'!$A$62&gt;35,AI33+AH34-AQ33,IF(A34&lt;'Données projet'!$A$62,$AF$205^A34,IF(A34='Données projet'!$A$62,'Données projet'!$B$62,AI33+AH34-AQ33)))</f>
        <v>162.80000000000004</v>
      </c>
      <c r="AJ34" s="14">
        <f>AI34*VLOOKUP('Données projet'!$B$10,Paramètres!$A$1:$I$89,3,0)*VLOOKUP('Données projet'!$B$10,Paramètres!$A$1:$I$89,5,0)</f>
        <v>132.06336000000005</v>
      </c>
      <c r="AK34" s="14">
        <f t="shared" si="35"/>
        <v>34.472703398877961</v>
      </c>
      <c r="AL34" s="22">
        <f t="shared" si="4"/>
        <v>290.05031041971256</v>
      </c>
      <c r="AM34" s="62">
        <f t="shared" si="5"/>
        <v>583.38364375304582</v>
      </c>
      <c r="AN34" s="62">
        <f ca="1">AVERAGE(OFFSET($AM$3,0,0,'Données projet'!$E$10+1,1))-AVERAGE(OFFSET($H$3,0,0,'Données projet'!$E$10+1,1))</f>
        <v>199.44889029107367</v>
      </c>
      <c r="AO34" s="62">
        <f t="shared" si="36"/>
        <v>292.30544856287457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15.5</v>
      </c>
      <c r="BD34" s="13">
        <f>IF('Données projet'!$A$88&gt;35,BD33+BC34-BL33,IF(A34&lt;'Données projet'!$A$88,$BA$205^A34,IF(A34='Données projet'!$A$88,'Données projet'!$B$88,BD33+BC34-BL33)))</f>
        <v>210.49999999999989</v>
      </c>
      <c r="BE34" s="14">
        <f>BD34*VLOOKUP('Données projet'!$B$11,Paramètres!$A$1:$I$89,3,0)*VLOOKUP('Données projet'!$B$11,Paramètres!$A$1:$I$89,5,0)</f>
        <v>98.513999999999953</v>
      </c>
      <c r="BF34" s="14">
        <f t="shared" si="37"/>
        <v>26.607670659193456</v>
      </c>
      <c r="BG34" s="22">
        <f t="shared" si="7"/>
        <v>217.92024306476185</v>
      </c>
      <c r="BH34" s="62">
        <f t="shared" si="8"/>
        <v>511.25357639809516</v>
      </c>
      <c r="BI34" s="62">
        <f ca="1">AVERAGE(OFFSET($BH$3,0,0,'Données projet'!$E$11+1,1))-AVERAGE(OFFSET($H$3,0,0,'Données projet'!$E$11+1,1))</f>
        <v>256.45505140629194</v>
      </c>
      <c r="BJ34" s="62">
        <f t="shared" si="38"/>
        <v>219.6985760545686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2.7617857886980786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2.7617857886980786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18.8</v>
      </c>
      <c r="BY34" s="13">
        <f>IF('Données projet'!$A$114&gt;35,BY33+BX34-CG33,IF(A34&lt;'Données projet'!$A$114,$BV$205^A34,IF(A34='Données projet'!$A$114,'Données projet'!$B$114,BY33+BX34-CG33)))</f>
        <v>220.8</v>
      </c>
      <c r="BZ34" s="14">
        <f>BY34*VLOOKUP('Données projet'!$B$12,Paramètres!$A$1:$I$89,3,0)*VLOOKUP('Données projet'!$B$12,Paramètres!$A$1:$I$89,5,0)</f>
        <v>132.03840000000002</v>
      </c>
      <c r="CA34" s="14">
        <f t="shared" si="39"/>
        <v>34.466946374534373</v>
      </c>
      <c r="CB34" s="22">
        <f t="shared" si="10"/>
        <v>289.99681160231404</v>
      </c>
      <c r="CC34" s="62">
        <f t="shared" si="11"/>
        <v>583.33014493564735</v>
      </c>
      <c r="CD34" s="62">
        <f ca="1">AVERAGE(OFFSET($CC$3,0,0,'Données projet'!$E$12+1,1))-AVERAGE(OFFSET($H$3,0,0,'Données projet'!$E$12+1,1))</f>
        <v>279.69031306919914</v>
      </c>
      <c r="CE34" s="62">
        <f t="shared" si="40"/>
        <v>297.01680128882509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5.7573657107207898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23.698158481465715</v>
      </c>
      <c r="CN34" s="24">
        <f t="shared" si="12"/>
        <v>29.455524192186505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2">
        <f t="shared" si="32"/>
        <v>5.7714641827626956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70">
        <f t="shared" si="1"/>
        <v>333.81570011831167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27.6</v>
      </c>
      <c r="N35" s="14">
        <f>IF('Données projet'!$A$36&gt;35,N34+M35-V34,IF(A35&lt;'Données projet'!$A$36,$K$205^A35,IF(A35='Données projet'!$A$36,'Données projet'!$B$36,N34+M35-V34)))</f>
        <v>422.20000000000005</v>
      </c>
      <c r="O35" s="14">
        <f>N35*VLOOKUP('Données projet'!$B$9,Paramètres!$A$1:$I$89,3,0)*VLOOKUP('Données projet'!$B$9,Paramètres!$A$1:$I$89,5,0)</f>
        <v>236.00980000000004</v>
      </c>
      <c r="P35" s="14">
        <f t="shared" si="33"/>
        <v>57.580183613654185</v>
      </c>
      <c r="Q35" s="22">
        <f t="shared" ref="Q35:Q66" si="53">(O35+P35)*0.475*44/12</f>
        <v>511.3358881271144</v>
      </c>
      <c r="R35" s="62">
        <f t="shared" si="0"/>
        <v>804.66922146044772</v>
      </c>
      <c r="S35" s="62">
        <f ca="1">AVERAGE(OFFSET($R$3,0,0,'Données projet'!$E$9+1,1))-AVERAGE(OFFSET($H$3,0,0,'Données projet'!$E$9+1,1))</f>
        <v>378.17323480030268</v>
      </c>
      <c r="T35" s="62">
        <f t="shared" si="34"/>
        <v>471.89239871617241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5.1923981321245058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16.540879152607094</v>
      </c>
      <c r="AC35" s="24">
        <f t="shared" si="3"/>
        <v>21.733277284731599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16.8</v>
      </c>
      <c r="AI35" s="14">
        <f>IF('Données projet'!$A$62&gt;35,AI34+AH35-AQ34,IF(A35&lt;'Données projet'!$A$62,$AF$205^A35,IF(A35='Données projet'!$A$62,'Données projet'!$B$62,AI34+AH35-AQ34)))</f>
        <v>179.60000000000005</v>
      </c>
      <c r="AJ35" s="14">
        <f>AI35*VLOOKUP('Données projet'!$B$10,Paramètres!$A$1:$I$89,3,0)*VLOOKUP('Données projet'!$B$10,Paramètres!$A$1:$I$89,5,0)</f>
        <v>145.69152000000005</v>
      </c>
      <c r="AK35" s="14">
        <f t="shared" si="35"/>
        <v>37.597813533157627</v>
      </c>
      <c r="AL35" s="22">
        <f t="shared" si="4"/>
        <v>319.22892257024961</v>
      </c>
      <c r="AM35" s="62">
        <f t="shared" si="5"/>
        <v>612.56225590358292</v>
      </c>
      <c r="AN35" s="62">
        <f ca="1">AVERAGE(OFFSET($AM$3,0,0,'Données projet'!$E$10+1,1))-AVERAGE(OFFSET($H$3,0,0,'Données projet'!$E$10+1,1))</f>
        <v>199.44889029107367</v>
      </c>
      <c r="AO35" s="62">
        <f t="shared" si="36"/>
        <v>292.30544856287457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15.5</v>
      </c>
      <c r="BD35" s="13">
        <f>IF('Données projet'!$A$88&gt;35,BD34+BC35-BL34,IF(A35&lt;'Données projet'!$A$88,$BA$205^A35,IF(A35='Données projet'!$A$88,'Données projet'!$B$88,BD34+BC35-BL34)))</f>
        <v>225.99999999999989</v>
      </c>
      <c r="BE35" s="14">
        <f>BD35*VLOOKUP('Données projet'!$B$11,Paramètres!$A$1:$I$89,3,0)*VLOOKUP('Données projet'!$B$11,Paramètres!$A$1:$I$89,5,0)</f>
        <v>105.76799999999994</v>
      </c>
      <c r="BF35" s="14">
        <f t="shared" si="37"/>
        <v>28.331627131513205</v>
      </c>
      <c r="BG35" s="22">
        <f t="shared" si="7"/>
        <v>233.55685058738541</v>
      </c>
      <c r="BH35" s="62">
        <f t="shared" si="8"/>
        <v>526.89018392071875</v>
      </c>
      <c r="BI35" s="62">
        <f ca="1">AVERAGE(OFFSET($BH$3,0,0,'Données projet'!$E$11+1,1))-AVERAGE(OFFSET($H$3,0,0,'Données projet'!$E$11+1,1))</f>
        <v>256.45505140629194</v>
      </c>
      <c r="BJ35" s="62">
        <f t="shared" si="38"/>
        <v>219.6985760545686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2.7076288539047075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2.7076288539047075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18.8</v>
      </c>
      <c r="BY35" s="13">
        <f>IF('Données projet'!$A$114&gt;35,BY34+BX35-CG34,IF(A35&lt;'Données projet'!$A$114,$BV$205^A35,IF(A35='Données projet'!$A$114,'Données projet'!$B$114,BY34+BX35-CG34)))</f>
        <v>239.60000000000002</v>
      </c>
      <c r="BZ35" s="14">
        <f>BY35*VLOOKUP('Données projet'!$B$12,Paramètres!$A$1:$I$89,3,0)*VLOOKUP('Données projet'!$B$12,Paramètres!$A$1:$I$89,5,0)</f>
        <v>143.28080000000003</v>
      </c>
      <c r="CA35" s="14">
        <f t="shared" si="39"/>
        <v>37.047574465948976</v>
      </c>
      <c r="CB35" s="22">
        <f t="shared" si="10"/>
        <v>314.07191886152782</v>
      </c>
      <c r="CC35" s="62">
        <f t="shared" si="11"/>
        <v>607.40525219486108</v>
      </c>
      <c r="CD35" s="62">
        <f ca="1">AVERAGE(OFFSET($CC$3,0,0,'Données projet'!$E$12+1,1))-AVERAGE(OFFSET($H$3,0,0,'Données projet'!$E$12+1,1))</f>
        <v>279.69031306919914</v>
      </c>
      <c r="CE35" s="62">
        <f t="shared" si="40"/>
        <v>297.01680128882509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5.6444672807798923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16.757128563877902</v>
      </c>
      <c r="CN35" s="24">
        <f t="shared" si="12"/>
        <v>22.401595844657795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2">
        <f t="shared" si="32"/>
        <v>5.9305422092039777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70">
        <f t="shared" si="1"/>
        <v>335.04371101436357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27.6</v>
      </c>
      <c r="N36" s="14">
        <f>IF('Données projet'!$A$36&gt;35,N35+M36-V35,IF(A36&lt;'Données projet'!$A$36,$K$205^A36,IF(A36='Données projet'!$A$36,'Données projet'!$B$36,N35+M36-V35)))</f>
        <v>449.80000000000007</v>
      </c>
      <c r="O36" s="14">
        <f>N36*VLOOKUP('Données projet'!$B$9,Paramètres!$A$1:$I$89,3,0)*VLOOKUP('Données projet'!$B$9,Paramètres!$A$1:$I$89,5,0)</f>
        <v>251.43820000000002</v>
      </c>
      <c r="P36" s="14">
        <f t="shared" si="33"/>
        <v>60.893806844597648</v>
      </c>
      <c r="Q36" s="22">
        <f t="shared" si="53"/>
        <v>543.978245254341</v>
      </c>
      <c r="R36" s="62">
        <f t="shared" si="0"/>
        <v>837.31157858767438</v>
      </c>
      <c r="S36" s="62">
        <f ca="1">AVERAGE(OFFSET($R$3,0,0,'Données projet'!$E$9+1,1))-AVERAGE(OFFSET($H$3,0,0,'Données projet'!$E$9+1,1))</f>
        <v>378.17323480030268</v>
      </c>
      <c r="T36" s="62">
        <f t="shared" si="34"/>
        <v>471.89239871617241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5.0905783718036846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11.69616781559567</v>
      </c>
      <c r="AC36" s="24">
        <f t="shared" si="3"/>
        <v>16.786746187399356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16.8</v>
      </c>
      <c r="AI36" s="14">
        <f>IF('Données projet'!$A$62&gt;35,AI35+AH36-AQ35,IF(A36&lt;'Données projet'!$A$62,$AF$205^A36,IF(A36='Données projet'!$A$62,'Données projet'!$B$62,AI35+AH36-AQ35)))</f>
        <v>196.40000000000006</v>
      </c>
      <c r="AJ36" s="14">
        <f>AI36*VLOOKUP('Données projet'!$B$10,Paramètres!$A$1:$I$89,3,0)*VLOOKUP('Données projet'!$B$10,Paramètres!$A$1:$I$89,5,0)</f>
        <v>159.31968000000006</v>
      </c>
      <c r="AK36" s="14">
        <f t="shared" si="35"/>
        <v>40.689029298232143</v>
      </c>
      <c r="AL36" s="22">
        <f t="shared" si="4"/>
        <v>348.34850202775442</v>
      </c>
      <c r="AM36" s="62">
        <f t="shared" si="5"/>
        <v>641.68183536108768</v>
      </c>
      <c r="AN36" s="62">
        <f ca="1">AVERAGE(OFFSET($AM$3,0,0,'Données projet'!$E$10+1,1))-AVERAGE(OFFSET($H$3,0,0,'Données projet'!$E$10+1,1))</f>
        <v>199.44889029107367</v>
      </c>
      <c r="AO36" s="62">
        <f t="shared" si="36"/>
        <v>292.30544856287457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15.5</v>
      </c>
      <c r="BD36" s="13">
        <f>IF('Données projet'!$A$88&gt;35,BD35+BC36-BL35,IF(A36&lt;'Données projet'!$A$88,$BA$205^A36,IF(A36='Données projet'!$A$88,'Données projet'!$B$88,BD35+BC36-BL35)))</f>
        <v>241.49999999999989</v>
      </c>
      <c r="BE36" s="14">
        <f>BD36*VLOOKUP('Données projet'!$B$11,Paramètres!$A$1:$I$89,3,0)*VLOOKUP('Données projet'!$B$11,Paramètres!$A$1:$I$89,5,0)</f>
        <v>113.02199999999995</v>
      </c>
      <c r="BF36" s="14">
        <f t="shared" si="37"/>
        <v>30.041864379091827</v>
      </c>
      <c r="BG36" s="22">
        <f t="shared" si="7"/>
        <v>249.16956379358484</v>
      </c>
      <c r="BH36" s="62">
        <f t="shared" si="8"/>
        <v>542.50289712691813</v>
      </c>
      <c r="BI36" s="62">
        <f ca="1">AVERAGE(OFFSET($BH$3,0,0,'Données projet'!$E$11+1,1))-AVERAGE(OFFSET($H$3,0,0,'Données projet'!$E$11+1,1))</f>
        <v>256.45505140629194</v>
      </c>
      <c r="BJ36" s="62">
        <f t="shared" si="38"/>
        <v>219.6985760545686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2.6545339035701661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2.6545339035701661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18.8</v>
      </c>
      <c r="BY36" s="13">
        <f>IF('Données projet'!$A$114&gt;35,BY35+BX36-CG35,IF(A36&lt;'Données projet'!$A$114,$BV$205^A36,IF(A36='Données projet'!$A$114,'Données projet'!$B$114,BY35+BX36-CG35)))</f>
        <v>258.40000000000003</v>
      </c>
      <c r="BZ36" s="14">
        <f>BY36*VLOOKUP('Données projet'!$B$12,Paramètres!$A$1:$I$89,3,0)*VLOOKUP('Données projet'!$B$12,Paramètres!$A$1:$I$89,5,0)</f>
        <v>154.52320000000003</v>
      </c>
      <c r="CA36" s="14">
        <f t="shared" si="39"/>
        <v>39.60471498856284</v>
      </c>
      <c r="CB36" s="22">
        <f t="shared" si="10"/>
        <v>338.10611860508033</v>
      </c>
      <c r="CC36" s="62">
        <f t="shared" si="11"/>
        <v>631.43945193841364</v>
      </c>
      <c r="CD36" s="62">
        <f ca="1">AVERAGE(OFFSET($CC$3,0,0,'Données projet'!$E$12+1,1))-AVERAGE(OFFSET($H$3,0,0,'Données projet'!$E$12+1,1))</f>
        <v>279.69031306919914</v>
      </c>
      <c r="CE36" s="62">
        <f t="shared" si="40"/>
        <v>297.01680128882509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5.5337827201888929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11.849079240732857</v>
      </c>
      <c r="CN36" s="24">
        <f t="shared" si="12"/>
        <v>17.382861960921751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2">
        <f t="shared" si="32"/>
        <v>6.0890600219069135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70">
        <f t="shared" si="1"/>
        <v>336.27074620482119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27.6</v>
      </c>
      <c r="N37" s="14">
        <f>IF('Données projet'!$A$36&gt;35,N36+M37-V36,IF(A37&lt;'Données projet'!$A$36,$K$205^A37,IF(A37='Données projet'!$A$36,'Données projet'!$B$36,N36+M37-V36)))</f>
        <v>477.40000000000009</v>
      </c>
      <c r="O37" s="14">
        <f>N37*VLOOKUP('Données projet'!$B$9,Paramètres!$A$1:$I$89,3,0)*VLOOKUP('Données projet'!$B$9,Paramètres!$A$1:$I$89,5,0)</f>
        <v>266.86660000000006</v>
      </c>
      <c r="P37" s="14">
        <f t="shared" si="33"/>
        <v>64.183831628008477</v>
      </c>
      <c r="Q37" s="22">
        <f t="shared" si="53"/>
        <v>576.57950175211477</v>
      </c>
      <c r="R37" s="62">
        <f t="shared" si="0"/>
        <v>869.91283508544802</v>
      </c>
      <c r="S37" s="62">
        <f ca="1">AVERAGE(OFFSET($R$3,0,0,'Données projet'!$E$9+1,1))-AVERAGE(OFFSET($H$3,0,0,'Données projet'!$E$9+1,1))</f>
        <v>378.17323480030268</v>
      </c>
      <c r="T37" s="62">
        <f t="shared" si="34"/>
        <v>471.89239871617241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4.9907552348788329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8.2704395763035468</v>
      </c>
      <c r="AC37" s="24">
        <f t="shared" si="3"/>
        <v>13.26119481118238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16.8</v>
      </c>
      <c r="AI37" s="14">
        <f>IF('Données projet'!$A$62&gt;35,AI36+AH37-AQ36,IF(A37&lt;'Données projet'!$A$62,$AF$205^A37,IF(A37='Données projet'!$A$62,'Données projet'!$B$62,AI36+AH37-AQ36)))</f>
        <v>213.20000000000007</v>
      </c>
      <c r="AJ37" s="14">
        <f>AI37*VLOOKUP('Données projet'!$B$10,Paramètres!$A$1:$I$89,3,0)*VLOOKUP('Données projet'!$B$10,Paramètres!$A$1:$I$89,5,0)</f>
        <v>172.94784000000007</v>
      </c>
      <c r="AK37" s="14">
        <f t="shared" si="35"/>
        <v>43.749579650768077</v>
      </c>
      <c r="AL37" s="22">
        <f t="shared" si="4"/>
        <v>377.41467255842122</v>
      </c>
      <c r="AM37" s="62">
        <f t="shared" si="5"/>
        <v>670.74800589175447</v>
      </c>
      <c r="AN37" s="62">
        <f ca="1">AVERAGE(OFFSET($AM$3,0,0,'Données projet'!$E$10+1,1))-AVERAGE(OFFSET($H$3,0,0,'Données projet'!$E$10+1,1))</f>
        <v>199.44889029107367</v>
      </c>
      <c r="AO37" s="62">
        <f t="shared" si="36"/>
        <v>292.30544856287457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15.5</v>
      </c>
      <c r="BD37" s="13">
        <f>IF('Données projet'!$A$88&gt;35,BD36+BC37-BL36,IF(A37&lt;'Données projet'!$A$88,$BA$205^A37,IF(A37='Données projet'!$A$88,'Données projet'!$B$88,BD36+BC37-BL36)))</f>
        <v>256.99999999999989</v>
      </c>
      <c r="BE37" s="14">
        <f>BD37*VLOOKUP('Données projet'!$B$11,Paramètres!$A$1:$I$89,3,0)*VLOOKUP('Données projet'!$B$11,Paramètres!$A$1:$I$89,5,0)</f>
        <v>120.27599999999994</v>
      </c>
      <c r="BF37" s="14">
        <f t="shared" si="37"/>
        <v>31.739363152156287</v>
      </c>
      <c r="BG37" s="22">
        <f t="shared" si="7"/>
        <v>264.76009082333871</v>
      </c>
      <c r="BH37" s="62">
        <f t="shared" si="8"/>
        <v>558.09342415667197</v>
      </c>
      <c r="BI37" s="62">
        <f ca="1">AVERAGE(OFFSET($BH$3,0,0,'Données projet'!$E$11+1,1))-AVERAGE(OFFSET($H$3,0,0,'Données projet'!$E$11+1,1))</f>
        <v>256.45505140629194</v>
      </c>
      <c r="BJ37" s="62">
        <f t="shared" si="38"/>
        <v>219.6985760545686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2.6024801128269628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2.6024801128269628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18.8</v>
      </c>
      <c r="BY37" s="13">
        <f>IF('Données projet'!$A$114&gt;35,BY36+BX37-CG36,IF(A37&lt;'Données projet'!$A$114,$BV$205^A37,IF(A37='Données projet'!$A$114,'Données projet'!$B$114,BY36+BX37-CG36)))</f>
        <v>277.20000000000005</v>
      </c>
      <c r="BZ37" s="14">
        <f>BY37*VLOOKUP('Données projet'!$B$12,Paramètres!$A$1:$I$89,3,0)*VLOOKUP('Données projet'!$B$12,Paramètres!$A$1:$I$89,5,0)</f>
        <v>165.76560000000003</v>
      </c>
      <c r="CA37" s="14">
        <f t="shared" si="39"/>
        <v>42.140271125684265</v>
      </c>
      <c r="CB37" s="22">
        <f t="shared" si="10"/>
        <v>362.10272554390014</v>
      </c>
      <c r="CC37" s="62">
        <f t="shared" si="11"/>
        <v>655.43605887723345</v>
      </c>
      <c r="CD37" s="62">
        <f ca="1">AVERAGE(OFFSET($CC$3,0,0,'Données projet'!$E$12+1,1))-AVERAGE(OFFSET($H$3,0,0,'Données projet'!$E$12+1,1))</f>
        <v>279.69031306919914</v>
      </c>
      <c r="CE37" s="62">
        <f t="shared" si="40"/>
        <v>297.01680128882509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5.4252686163201673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8.3785642819389512</v>
      </c>
      <c r="CN37" s="24">
        <f t="shared" si="12"/>
        <v>13.803832898259119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2">
        <f t="shared" si="32"/>
        <v>6.2470359895716463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70">
        <f t="shared" si="1"/>
        <v>337.49683768183723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505</v>
      </c>
      <c r="L38" s="13">
        <f>VLOOKUP(A38,'Données projet'!$A$35:$I$55,9,0)</f>
        <v>27.6</v>
      </c>
      <c r="M38" s="13">
        <f t="array" ref="M38">INDEX(L:L,MIN(IF(ISNUMBER(L38:L234),ROW(L38:L234),"")))</f>
        <v>27.6</v>
      </c>
      <c r="N38" s="14">
        <f>IF('Données projet'!$A$36&gt;35,N37+M38-V37,IF(A38&lt;'Données projet'!$A$36,$K$205^A38,IF(A38='Données projet'!$A$36,'Données projet'!$B$36,N37+M38-V37)))</f>
        <v>505.00000000000011</v>
      </c>
      <c r="O38" s="14">
        <f>N38*VLOOKUP('Données projet'!$B$9,Paramètres!$A$1:$I$89,3,0)*VLOOKUP('Données projet'!$B$9,Paramètres!$A$1:$I$89,5,0)</f>
        <v>282.29500000000007</v>
      </c>
      <c r="P38" s="14">
        <f t="shared" si="33"/>
        <v>67.451777696853824</v>
      </c>
      <c r="Q38" s="22">
        <f t="shared" si="53"/>
        <v>609.14230448868716</v>
      </c>
      <c r="R38" s="62">
        <f t="shared" si="0"/>
        <v>902.47563782202042</v>
      </c>
      <c r="S38" s="62">
        <f ca="1">AVERAGE(OFFSET($R$3,0,0,'Données projet'!$E$9+1,1))-AVERAGE(OFFSET($H$3,0,0,'Données projet'!$E$9+1,1))</f>
        <v>378.17323480030268</v>
      </c>
      <c r="T38" s="62">
        <f t="shared" si="34"/>
        <v>471.89239871617241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69</v>
      </c>
      <c r="W38" s="17">
        <f>IF(ISNA(VLOOKUP(A38,'Données projet'!$A$35:$I$55,5,0)),0%,VLOOKUP(A38,'Données projet'!$A$35:$I$55,5,0)*VLOOKUP('Données projet'!$B$9,Paramètres!$A$1:$I$89,7,0))</f>
        <v>0.22000000000000003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0.6</v>
      </c>
      <c r="Z38" s="23">
        <f>EXP(-LN(2)/35)*Z37+(1-EXP(-LN(2)/35))/(LN(2)/35)*V38*W38*VLOOKUP('Données projet'!$B$9,Paramètres!$A$1:$I$89,3,0)*0.475*44/12</f>
        <v>16.149611443149851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32.050883076533815</v>
      </c>
      <c r="AC38" s="24">
        <f t="shared" si="3"/>
        <v>48.200494519683666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230</v>
      </c>
      <c r="AG38" s="13">
        <f>VLOOKUP(A38,'Données projet'!$A$61:$I$81,9,0)</f>
        <v>16.8</v>
      </c>
      <c r="AH38" s="13">
        <f t="array" ref="AH38">INDEX(AG:AG,MIN(IF(ISNUMBER(AG38:AG234),ROW(AG38:AG234),"")))</f>
        <v>16.8</v>
      </c>
      <c r="AI38" s="14">
        <f>IF('Données projet'!$A$62&gt;35,AI37+AH38-AQ37,IF(A38&lt;'Données projet'!$A$62,$AF$205^A38,IF(A38='Données projet'!$A$62,'Données projet'!$B$62,AI37+AH38-AQ37)))</f>
        <v>230.00000000000009</v>
      </c>
      <c r="AJ38" s="14">
        <f>AI38*VLOOKUP('Données projet'!$B$10,Paramètres!$A$1:$I$89,3,0)*VLOOKUP('Données projet'!$B$10,Paramètres!$A$1:$I$89,5,0)</f>
        <v>186.57600000000008</v>
      </c>
      <c r="AK38" s="14">
        <f t="shared" si="35"/>
        <v>46.782155731694274</v>
      </c>
      <c r="AL38" s="22">
        <f t="shared" si="4"/>
        <v>406.43212123270104</v>
      </c>
      <c r="AM38" s="62">
        <f t="shared" si="5"/>
        <v>699.76545456603435</v>
      </c>
      <c r="AN38" s="62">
        <f ca="1">AVERAGE(OFFSET($AM$3,0,0,'Données projet'!$E$10+1,1))-AVERAGE(OFFSET($H$3,0,0,'Données projet'!$E$10+1,1))</f>
        <v>199.44889029107367</v>
      </c>
      <c r="AO38" s="62">
        <f t="shared" si="36"/>
        <v>292.30544856287457</v>
      </c>
      <c r="AP38" s="16">
        <f>IF(ISNA(VLOOKUP(A38,'Données projet'!$A$61:$I$81,3,0)),0,VLOOKUP(A38,'Données projet'!$A$61:$I$81,3,0))</f>
        <v>6</v>
      </c>
      <c r="AQ38" s="16">
        <f>IF(ISNA(VLOOKUP(A38,'Données projet'!$A$61:$I$81,4,0)),0,VLOOKUP(A38,'Données projet'!$A$61:$I$81,4,0))</f>
        <v>116</v>
      </c>
      <c r="AR38" s="17">
        <f>IF(ISNA(VLOOKUP(A38,'Données projet'!$A$61:$I$81,5,0)),0%,VLOOKUP(A38,'Données projet'!$A$61:$I$81,5,0)*VLOOKUP('Données projet'!$B$10,Paramètres!$A$1:$I$89,7,0))</f>
        <v>4.3000000000000003E-2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4.4730267685231206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4.4730267685231206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15.5</v>
      </c>
      <c r="BD38" s="13">
        <f>IF('Données projet'!$A$88&gt;35,BD37+BC38-BL37,IF(A38&lt;'Données projet'!$A$88,$BA$205^A38,IF(A38='Données projet'!$A$88,'Données projet'!$B$88,BD37+BC38-BL37)))</f>
        <v>272.49999999999989</v>
      </c>
      <c r="BE38" s="14">
        <f>BD38*VLOOKUP('Données projet'!$B$11,Paramètres!$A$1:$I$89,3,0)*VLOOKUP('Données projet'!$B$11,Paramètres!$A$1:$I$89,5,0)</f>
        <v>127.52999999999994</v>
      </c>
      <c r="BF38" s="14">
        <f t="shared" si="37"/>
        <v>33.424979216270742</v>
      </c>
      <c r="BG38" s="22">
        <f t="shared" si="7"/>
        <v>280.32992213500478</v>
      </c>
      <c r="BH38" s="62">
        <f t="shared" si="8"/>
        <v>573.66325546833809</v>
      </c>
      <c r="BI38" s="62">
        <f ca="1">AVERAGE(OFFSET($BH$3,0,0,'Données projet'!$E$11+1,1))-AVERAGE(OFFSET($H$3,0,0,'Données projet'!$E$11+1,1))</f>
        <v>256.45505140629194</v>
      </c>
      <c r="BJ38" s="62">
        <f t="shared" si="38"/>
        <v>219.6985760545686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2.5514470651705565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2.5514470651705565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296</v>
      </c>
      <c r="BW38" s="13">
        <f>VLOOKUP(A38,'Données projet'!$A$113:$I$133,9,0)</f>
        <v>18.8</v>
      </c>
      <c r="BX38" s="13">
        <f t="array" ref="BX38">INDEX(BW:BW,MIN(IF(ISNUMBER(BW38:BW234),ROW(BW38:BW234),"")))</f>
        <v>18.8</v>
      </c>
      <c r="BY38" s="13">
        <f>IF('Données projet'!$A$114&gt;35,BY37+BX38-CG37,IF(A38&lt;'Données projet'!$A$114,$BV$205^A38,IF(A38='Données projet'!$A$114,'Données projet'!$B$114,BY37+BX38-CG37)))</f>
        <v>296.00000000000006</v>
      </c>
      <c r="BZ38" s="14">
        <f>BY38*VLOOKUP('Données projet'!$B$12,Paramètres!$A$1:$I$89,3,0)*VLOOKUP('Données projet'!$B$12,Paramètres!$A$1:$I$89,5,0)</f>
        <v>177.00800000000004</v>
      </c>
      <c r="CA38" s="14">
        <f t="shared" si="39"/>
        <v>44.65587329900309</v>
      </c>
      <c r="CB38" s="22">
        <f t="shared" si="10"/>
        <v>386.06457932909711</v>
      </c>
      <c r="CC38" s="62">
        <f t="shared" si="11"/>
        <v>679.39791266243037</v>
      </c>
      <c r="CD38" s="62">
        <f ca="1">AVERAGE(OFFSET($CC$3,0,0,'Données projet'!$E$12+1,1))-AVERAGE(OFFSET($H$3,0,0,'Données projet'!$E$12+1,1))</f>
        <v>279.69031306919914</v>
      </c>
      <c r="CE38" s="62">
        <f t="shared" si="40"/>
        <v>297.01680128882509</v>
      </c>
      <c r="CF38" s="16">
        <f>IF(ISNA(VLOOKUP(A38,'Données projet'!$A$113:$I$133,3,0)),0,VLOOKUP(A38,'Données projet'!$A$113:$I$133,3,0))</f>
        <v>5</v>
      </c>
      <c r="CG38" s="16">
        <f>IF(ISNA(VLOOKUP(A38,'Données projet'!$A$113:$I$133,4,0)),0,VLOOKUP(A38,'Données projet'!$A$113:$I$133,4,0))</f>
        <v>52</v>
      </c>
      <c r="CH38" s="17">
        <f>IF(ISNA(VLOOKUP(A38,'Données projet'!$A$113:$I$133,5,0)),0%,VLOOKUP(A38,'Données projet'!$A$113:$I$133,5,0)*VLOOKUP('Données projet'!$B$12,Paramètres!$A$1:$I$89,7,0))</f>
        <v>9.0000000000000011E-2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0.8</v>
      </c>
      <c r="CK38" s="23">
        <f>EXP(-LN(2)/35)*CK37+(1-EXP(-LN(2)/35))/(LN(2)/35)*CG38*CH38*VLOOKUP('Données projet'!$B$12,Paramètres!$A$1:$I$89,3,0)*0.475*44/12</f>
        <v>9.0314587554125545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34.090856039472811</v>
      </c>
      <c r="CN38" s="24">
        <f t="shared" si="12"/>
        <v>43.122314794885369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2">
        <f t="shared" si="32"/>
        <v>6.4044873715575248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70">
        <f t="shared" si="1"/>
        <v>338.72201550546265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25.6</v>
      </c>
      <c r="N39" s="14">
        <f>IF('Données projet'!$A$36&gt;35,N38+M39-V38,IF(A39&lt;'Données projet'!$A$36,$K$205^A39,IF(A39='Données projet'!$A$36,'Données projet'!$B$36,N38+M39-V38)))</f>
        <v>461.60000000000014</v>
      </c>
      <c r="O39" s="14">
        <f>N39*VLOOKUP('Données projet'!$B$9,Paramètres!$A$1:$I$89,3,0)*VLOOKUP('Données projet'!$B$9,Paramètres!$A$1:$I$89,5,0)</f>
        <v>258.03440000000006</v>
      </c>
      <c r="P39" s="14">
        <f t="shared" si="33"/>
        <v>62.303206596431174</v>
      </c>
      <c r="Q39" s="22">
        <f t="shared" si="53"/>
        <v>557.9213314887844</v>
      </c>
      <c r="R39" s="62">
        <f t="shared" si="0"/>
        <v>851.25466482211777</v>
      </c>
      <c r="S39" s="62">
        <f ca="1">AVERAGE(OFFSET($R$3,0,0,'Données projet'!$E$9+1,1))-AVERAGE(OFFSET($H$3,0,0,'Données projet'!$E$9+1,1))</f>
        <v>378.17323480030268</v>
      </c>
      <c r="T39" s="62">
        <f t="shared" si="34"/>
        <v>471.89239871617241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15.832927413040027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22.663396766434218</v>
      </c>
      <c r="AC39" s="24">
        <f t="shared" si="3"/>
        <v>38.496324179474243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30.8</v>
      </c>
      <c r="AI39" s="14">
        <f>IF('Données projet'!$A$62&gt;35,AI38+AH39-AQ38,IF(A39&lt;'Données projet'!$A$62,$AF$205^A39,IF(A39='Données projet'!$A$62,'Données projet'!$B$62,AI38+AH39-AQ38)))</f>
        <v>144.80000000000007</v>
      </c>
      <c r="AJ39" s="14">
        <f>AI39*VLOOKUP('Données projet'!$B$10,Paramètres!$A$1:$I$89,3,0)*VLOOKUP('Données projet'!$B$10,Paramètres!$A$1:$I$89,5,0)</f>
        <v>117.46176000000006</v>
      </c>
      <c r="AK39" s="14">
        <f t="shared" si="35"/>
        <v>31.082261912268351</v>
      </c>
      <c r="AL39" s="22">
        <f t="shared" si="4"/>
        <v>258.71417149720077</v>
      </c>
      <c r="AM39" s="62">
        <f t="shared" si="5"/>
        <v>552.04750483053408</v>
      </c>
      <c r="AN39" s="62">
        <f ca="1">AVERAGE(OFFSET($AM$3,0,0,'Données projet'!$E$10+1,1))-AVERAGE(OFFSET($H$3,0,0,'Données projet'!$E$10+1,1))</f>
        <v>199.44889029107367</v>
      </c>
      <c r="AO39" s="62">
        <f t="shared" si="36"/>
        <v>292.30544856287457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4.3853134418693163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4.3853134418693163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15.5</v>
      </c>
      <c r="BD39" s="13">
        <f>IF('Données projet'!$A$88&gt;35,BD38+BC39-BL38,IF(A39&lt;'Données projet'!$A$88,$BA$205^A39,IF(A39='Données projet'!$A$88,'Données projet'!$B$88,BD38+BC39-BL38)))</f>
        <v>287.99999999999989</v>
      </c>
      <c r="BE39" s="14">
        <f>BD39*VLOOKUP('Données projet'!$B$11,Paramètres!$A$1:$I$89,3,0)*VLOOKUP('Données projet'!$B$11,Paramètres!$A$1:$I$89,5,0)</f>
        <v>134.78399999999993</v>
      </c>
      <c r="BF39" s="14">
        <f t="shared" si="37"/>
        <v>35.099465485142126</v>
      </c>
      <c r="BG39" s="22">
        <f t="shared" si="7"/>
        <v>295.88036905328909</v>
      </c>
      <c r="BH39" s="62">
        <f t="shared" si="8"/>
        <v>589.21370238662234</v>
      </c>
      <c r="BI39" s="62">
        <f ca="1">AVERAGE(OFFSET($BH$3,0,0,'Données projet'!$E$11+1,1))-AVERAGE(OFFSET($H$3,0,0,'Données projet'!$E$11+1,1))</f>
        <v>256.45505140629194</v>
      </c>
      <c r="BJ39" s="62">
        <f t="shared" si="38"/>
        <v>219.6985760545686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2.5014147444516066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2.5014147444516066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17.600000000000001</v>
      </c>
      <c r="BY39" s="13">
        <f>IF('Données projet'!$A$114&gt;35,BY38+BX39-CG38,IF(A39&lt;'Données projet'!$A$114,$BV$205^A39,IF(A39='Données projet'!$A$114,'Données projet'!$B$114,BY38+BX39-CG38)))</f>
        <v>261.60000000000008</v>
      </c>
      <c r="BZ39" s="14">
        <f>BY39*VLOOKUP('Données projet'!$B$12,Paramètres!$A$1:$I$89,3,0)*VLOOKUP('Données projet'!$B$12,Paramètres!$A$1:$I$89,5,0)</f>
        <v>156.43680000000006</v>
      </c>
      <c r="CA39" s="14">
        <f t="shared" si="39"/>
        <v>40.037775291207829</v>
      </c>
      <c r="CB39" s="22">
        <f t="shared" si="10"/>
        <v>342.1932186321871</v>
      </c>
      <c r="CC39" s="62">
        <f t="shared" si="11"/>
        <v>635.52655196552041</v>
      </c>
      <c r="CD39" s="62">
        <f ca="1">AVERAGE(OFFSET($CC$3,0,0,'Données projet'!$E$12+1,1))-AVERAGE(OFFSET($H$3,0,0,'Données projet'!$E$12+1,1))</f>
        <v>279.69031306919914</v>
      </c>
      <c r="CE39" s="62">
        <f t="shared" si="40"/>
        <v>297.01680128882509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8.8543573578648207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24.105875481965594</v>
      </c>
      <c r="CN39" s="24">
        <f t="shared" si="12"/>
        <v>32.960232839830411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2">
        <f t="shared" si="32"/>
        <v>6.5614304138099282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70">
        <f t="shared" si="1"/>
        <v>339.94630797071892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25.6</v>
      </c>
      <c r="N40" s="14">
        <f>IF('Données projet'!$A$36&gt;35,N39+M40-V39,IF(A40&lt;'Données projet'!$A$36,$K$205^A40,IF(A40='Données projet'!$A$36,'Données projet'!$B$36,N39+M40-V39)))</f>
        <v>487.20000000000016</v>
      </c>
      <c r="O40" s="14">
        <f>N40*VLOOKUP('Données projet'!$B$9,Paramètres!$A$1:$I$89,3,0)*VLOOKUP('Données projet'!$B$9,Paramètres!$A$1:$I$89,5,0)</f>
        <v>272.34480000000008</v>
      </c>
      <c r="P40" s="14">
        <f t="shared" si="33"/>
        <v>65.346644318451709</v>
      </c>
      <c r="Q40" s="22">
        <f t="shared" si="53"/>
        <v>588.14593218797006</v>
      </c>
      <c r="R40" s="62">
        <f t="shared" si="0"/>
        <v>881.47926552130343</v>
      </c>
      <c r="S40" s="62">
        <f ca="1">AVERAGE(OFFSET($R$3,0,0,'Données projet'!$E$9+1,1))-AVERAGE(OFFSET($H$3,0,0,'Données projet'!$E$9+1,1))</f>
        <v>378.17323480030268</v>
      </c>
      <c r="T40" s="62">
        <f t="shared" si="34"/>
        <v>471.89239871617241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15.522453363602471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16.025441538266911</v>
      </c>
      <c r="AC40" s="24">
        <f t="shared" si="3"/>
        <v>31.547894901869384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30.8</v>
      </c>
      <c r="AI40" s="14">
        <f>IF('Données projet'!$A$62&gt;35,AI39+AH40-AQ39,IF(A40&lt;'Données projet'!$A$62,$AF$205^A40,IF(A40='Données projet'!$A$62,'Données projet'!$B$62,AI39+AH40-AQ39)))</f>
        <v>175.60000000000008</v>
      </c>
      <c r="AJ40" s="14">
        <f>AI40*VLOOKUP('Données projet'!$B$10,Paramètres!$A$1:$I$89,3,0)*VLOOKUP('Données projet'!$B$10,Paramètres!$A$1:$I$89,5,0)</f>
        <v>142.44672000000006</v>
      </c>
      <c r="AK40" s="14">
        <f t="shared" si="35"/>
        <v>36.856948248588338</v>
      </c>
      <c r="AL40" s="22">
        <f t="shared" si="4"/>
        <v>312.28722219962475</v>
      </c>
      <c r="AM40" s="62">
        <f t="shared" si="5"/>
        <v>605.62055553295806</v>
      </c>
      <c r="AN40" s="62">
        <f ca="1">AVERAGE(OFFSET($AM$3,0,0,'Données projet'!$E$10+1,1))-AVERAGE(OFFSET($H$3,0,0,'Données projet'!$E$10+1,1))</f>
        <v>199.44889029107367</v>
      </c>
      <c r="AO40" s="62">
        <f t="shared" si="36"/>
        <v>292.30544856287457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4.2993201200513464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4.2993201200513464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15.5</v>
      </c>
      <c r="BD40" s="13">
        <f>IF('Données projet'!$A$88&gt;35,BD39+BC40-BL39,IF(A40&lt;'Données projet'!$A$88,$BA$205^A40,IF(A40='Données projet'!$A$88,'Données projet'!$B$88,BD39+BC40-BL39)))</f>
        <v>303.49999999999989</v>
      </c>
      <c r="BE40" s="14">
        <f>BD40*VLOOKUP('Données projet'!$B$11,Paramètres!$A$1:$I$89,3,0)*VLOOKUP('Données projet'!$B$11,Paramètres!$A$1:$I$89,5,0)</f>
        <v>142.03799999999993</v>
      </c>
      <c r="BF40" s="14">
        <f t="shared" si="37"/>
        <v>36.763489252536736</v>
      </c>
      <c r="BG40" s="22">
        <f t="shared" si="7"/>
        <v>311.41259378150136</v>
      </c>
      <c r="BH40" s="62">
        <f t="shared" si="8"/>
        <v>604.74592711483467</v>
      </c>
      <c r="BI40" s="62">
        <f ca="1">AVERAGE(OFFSET($BH$3,0,0,'Données projet'!$E$11+1,1))-AVERAGE(OFFSET($H$3,0,0,'Données projet'!$E$11+1,1))</f>
        <v>256.45505140629194</v>
      </c>
      <c r="BJ40" s="62">
        <f t="shared" si="38"/>
        <v>219.6985760545686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2.4523635270252533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2.4523635270252533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17.600000000000001</v>
      </c>
      <c r="BY40" s="13">
        <f>IF('Données projet'!$A$114&gt;35,BY39+BX40-CG39,IF(A40&lt;'Données projet'!$A$114,$BV$205^A40,IF(A40='Données projet'!$A$114,'Données projet'!$B$114,BY39+BX40-CG39)))</f>
        <v>279.2000000000001</v>
      </c>
      <c r="BZ40" s="14">
        <f>BY40*VLOOKUP('Données projet'!$B$12,Paramètres!$A$1:$I$89,3,0)*VLOOKUP('Données projet'!$B$12,Paramètres!$A$1:$I$89,5,0)</f>
        <v>166.96160000000006</v>
      </c>
      <c r="CA40" s="14">
        <f t="shared" si="39"/>
        <v>42.408810446399933</v>
      </c>
      <c r="CB40" s="22">
        <f t="shared" si="10"/>
        <v>364.6534648608133</v>
      </c>
      <c r="CC40" s="62">
        <f t="shared" si="11"/>
        <v>657.98679819414656</v>
      </c>
      <c r="CD40" s="62">
        <f ca="1">AVERAGE(OFFSET($CC$3,0,0,'Données projet'!$E$12+1,1))-AVERAGE(OFFSET($H$3,0,0,'Données projet'!$E$12+1,1))</f>
        <v>279.69031306919914</v>
      </c>
      <c r="CE40" s="62">
        <f t="shared" si="40"/>
        <v>297.01680128882509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8.6807288107018117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17.045428019736406</v>
      </c>
      <c r="CN40" s="24">
        <f t="shared" si="12"/>
        <v>25.726156830438217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2">
        <f t="shared" si="32"/>
        <v>6.717880434124976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70">
        <f t="shared" si="1"/>
        <v>341.16974175610096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25.6</v>
      </c>
      <c r="N41" s="14">
        <f>IF('Données projet'!$A$36&gt;35,N40+M41-V40,IF(A41&lt;'Données projet'!$A$36,$K$205^A41,IF(A41='Données projet'!$A$36,'Données projet'!$B$36,N40+M41-V40)))</f>
        <v>512.80000000000018</v>
      </c>
      <c r="O41" s="14">
        <f>N41*VLOOKUP('Données projet'!$B$9,Paramètres!$A$1:$I$89,3,0)*VLOOKUP('Données projet'!$B$9,Paramètres!$A$1:$I$89,5,0)</f>
        <v>286.65520000000009</v>
      </c>
      <c r="P41" s="14">
        <f t="shared" si="33"/>
        <v>68.37151538584105</v>
      </c>
      <c r="Q41" s="22">
        <f t="shared" si="53"/>
        <v>618.33819596367323</v>
      </c>
      <c r="R41" s="62">
        <f t="shared" si="0"/>
        <v>911.6715292970066</v>
      </c>
      <c r="S41" s="62">
        <f ca="1">AVERAGE(OFFSET($R$3,0,0,'Données projet'!$E$9+1,1))-AVERAGE(OFFSET($H$3,0,0,'Données projet'!$E$9+1,1))</f>
        <v>378.17323480030268</v>
      </c>
      <c r="T41" s="62">
        <f t="shared" si="34"/>
        <v>471.89239871617241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15.218067520903915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11.331698383217111</v>
      </c>
      <c r="AC41" s="24">
        <f t="shared" si="3"/>
        <v>26.549765904121024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30.8</v>
      </c>
      <c r="AI41" s="14">
        <f>IF('Données projet'!$A$62&gt;35,AI40+AH41-AQ40,IF(A41&lt;'Données projet'!$A$62,$AF$205^A41,IF(A41='Données projet'!$A$62,'Données projet'!$B$62,AI40+AH41-AQ40)))</f>
        <v>206.40000000000009</v>
      </c>
      <c r="AJ41" s="14">
        <f>AI41*VLOOKUP('Données projet'!$B$10,Paramètres!$A$1:$I$89,3,0)*VLOOKUP('Données projet'!$B$10,Paramètres!$A$1:$I$89,5,0)</f>
        <v>167.43168000000009</v>
      </c>
      <c r="AK41" s="14">
        <f t="shared" si="35"/>
        <v>42.514296702443005</v>
      </c>
      <c r="AL41" s="22">
        <f t="shared" si="4"/>
        <v>365.65590942342169</v>
      </c>
      <c r="AM41" s="62">
        <f t="shared" si="5"/>
        <v>658.98924275675495</v>
      </c>
      <c r="AN41" s="62">
        <f ca="1">AVERAGE(OFFSET($AM$3,0,0,'Données projet'!$E$10+1,1))-AVERAGE(OFFSET($H$3,0,0,'Données projet'!$E$10+1,1))</f>
        <v>199.44889029107367</v>
      </c>
      <c r="AO41" s="62">
        <f t="shared" si="36"/>
        <v>292.30544856287457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4.2150130748234798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4.2150130748234798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15.5</v>
      </c>
      <c r="BD41" s="13">
        <f>IF('Données projet'!$A$88&gt;35,BD40+BC41-BL40,IF(A41&lt;'Données projet'!$A$88,$BA$205^A41,IF(A41='Données projet'!$A$88,'Données projet'!$B$88,BD40+BC41-BL40)))</f>
        <v>318.99999999999989</v>
      </c>
      <c r="BE41" s="14">
        <f>BD41*VLOOKUP('Données projet'!$B$11,Paramètres!$A$1:$I$89,3,0)*VLOOKUP('Données projet'!$B$11,Paramètres!$A$1:$I$89,5,0)</f>
        <v>149.29199999999994</v>
      </c>
      <c r="BF41" s="14">
        <f t="shared" si="37"/>
        <v>38.417645803815411</v>
      </c>
      <c r="BG41" s="22">
        <f t="shared" si="7"/>
        <v>326.9276331083118</v>
      </c>
      <c r="BH41" s="62">
        <f t="shared" si="8"/>
        <v>620.26096644164511</v>
      </c>
      <c r="BI41" s="62">
        <f ca="1">AVERAGE(OFFSET($BH$3,0,0,'Données projet'!$E$11+1,1))-AVERAGE(OFFSET($H$3,0,0,'Données projet'!$E$11+1,1))</f>
        <v>256.45505140629194</v>
      </c>
      <c r="BJ41" s="62">
        <f t="shared" si="38"/>
        <v>219.6985760545686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2.4042741740543421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2.4042741740543421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17.600000000000001</v>
      </c>
      <c r="BY41" s="13">
        <f>IF('Données projet'!$A$114&gt;35,BY40+BX41-CG40,IF(A41&lt;'Données projet'!$A$114,$BV$205^A41,IF(A41='Données projet'!$A$114,'Données projet'!$B$114,BY40+BX41-CG40)))</f>
        <v>296.80000000000013</v>
      </c>
      <c r="BZ41" s="14">
        <f>BY41*VLOOKUP('Données projet'!$B$12,Paramètres!$A$1:$I$89,3,0)*VLOOKUP('Données projet'!$B$12,Paramètres!$A$1:$I$89,5,0)</f>
        <v>177.48640000000012</v>
      </c>
      <c r="CA41" s="14">
        <f t="shared" si="39"/>
        <v>44.762499594286361</v>
      </c>
      <c r="CB41" s="22">
        <f t="shared" si="10"/>
        <v>387.08350012671559</v>
      </c>
      <c r="CC41" s="62">
        <f t="shared" si="11"/>
        <v>680.41683346004891</v>
      </c>
      <c r="CD41" s="62">
        <f ca="1">AVERAGE(OFFSET($CC$3,0,0,'Données projet'!$E$12+1,1))-AVERAGE(OFFSET($H$3,0,0,'Données projet'!$E$12+1,1))</f>
        <v>279.69031306919914</v>
      </c>
      <c r="CE41" s="62">
        <f t="shared" si="40"/>
        <v>297.01680128882509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8.5105050134457141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12.052937740982797</v>
      </c>
      <c r="CN41" s="24">
        <f t="shared" si="12"/>
        <v>20.563442754428511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2">
        <f t="shared" si="32"/>
        <v>6.8738518981865644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70">
        <f t="shared" si="1"/>
        <v>342.3923420560082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25.6</v>
      </c>
      <c r="N42" s="14">
        <f>IF('Données projet'!$A$36&gt;35,N41+M42-V41,IF(A42&lt;'Données projet'!$A$36,$K$205^A42,IF(A42='Données projet'!$A$36,'Données projet'!$B$36,N41+M42-V41)))</f>
        <v>538.4000000000002</v>
      </c>
      <c r="O42" s="14">
        <f>N42*VLOOKUP('Données projet'!$B$9,Paramètres!$A$1:$I$89,3,0)*VLOOKUP('Données projet'!$B$9,Paramètres!$A$1:$I$89,5,0)</f>
        <v>300.96560000000011</v>
      </c>
      <c r="P42" s="14">
        <f t="shared" si="33"/>
        <v>71.378852450242803</v>
      </c>
      <c r="Q42" s="22">
        <f t="shared" si="53"/>
        <v>648.49992135083971</v>
      </c>
      <c r="R42" s="62">
        <f t="shared" si="0"/>
        <v>941.83325468417297</v>
      </c>
      <c r="S42" s="62">
        <f ca="1">AVERAGE(OFFSET($R$3,0,0,'Données projet'!$E$9+1,1))-AVERAGE(OFFSET($H$3,0,0,'Données projet'!$E$9+1,1))</f>
        <v>378.17323480030268</v>
      </c>
      <c r="T42" s="62">
        <f t="shared" si="34"/>
        <v>471.89239871617241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14.919650498923646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8.0127207691334572</v>
      </c>
      <c r="AC42" s="24">
        <f t="shared" si="3"/>
        <v>22.932371268057103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30.8</v>
      </c>
      <c r="AI42" s="14">
        <f>IF('Données projet'!$A$62&gt;35,AI41+AH42-AQ41,IF(A42&lt;'Données projet'!$A$62,$AF$205^A42,IF(A42='Données projet'!$A$62,'Données projet'!$B$62,AI41+AH42-AQ41)))</f>
        <v>237.2000000000001</v>
      </c>
      <c r="AJ42" s="14">
        <f>AI42*VLOOKUP('Données projet'!$B$10,Paramètres!$A$1:$I$89,3,0)*VLOOKUP('Données projet'!$B$10,Paramètres!$A$1:$I$89,5,0)</f>
        <v>192.41664000000009</v>
      </c>
      <c r="AK42" s="14">
        <f t="shared" si="35"/>
        <v>48.073843995796572</v>
      </c>
      <c r="AL42" s="22">
        <f t="shared" si="4"/>
        <v>418.85425962601249</v>
      </c>
      <c r="AM42" s="62">
        <f t="shared" si="5"/>
        <v>712.18759295934581</v>
      </c>
      <c r="AN42" s="62">
        <f ca="1">AVERAGE(OFFSET($AM$3,0,0,'Données projet'!$E$10+1,1))-AVERAGE(OFFSET($H$3,0,0,'Données projet'!$E$10+1,1))</f>
        <v>199.44889029107367</v>
      </c>
      <c r="AO42" s="62">
        <f t="shared" si="36"/>
        <v>292.30544856287457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4.1323592393303112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4.1323592393303112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15.5</v>
      </c>
      <c r="BD42" s="13">
        <f>IF('Données projet'!$A$88&gt;35,BD41+BC42-BL41,IF(A42&lt;'Données projet'!$A$88,$BA$205^A42,IF(A42='Données projet'!$A$88,'Données projet'!$B$88,BD41+BC42-BL41)))</f>
        <v>334.49999999999989</v>
      </c>
      <c r="BE42" s="14">
        <f>BD42*VLOOKUP('Données projet'!$B$11,Paramètres!$A$1:$I$89,3,0)*VLOOKUP('Données projet'!$B$11,Paramètres!$A$1:$I$89,5,0)</f>
        <v>156.54599999999996</v>
      </c>
      <c r="BF42" s="14">
        <f t="shared" si="37"/>
        <v>40.06246930692312</v>
      </c>
      <c r="BG42" s="22">
        <f t="shared" si="7"/>
        <v>342.42641737622438</v>
      </c>
      <c r="BH42" s="62">
        <f t="shared" si="8"/>
        <v>635.75975070955769</v>
      </c>
      <c r="BI42" s="62">
        <f ca="1">AVERAGE(OFFSET($BH$3,0,0,'Données projet'!$E$11+1,1))-AVERAGE(OFFSET($H$3,0,0,'Données projet'!$E$11+1,1))</f>
        <v>256.45505140629194</v>
      </c>
      <c r="BJ42" s="62">
        <f t="shared" si="38"/>
        <v>219.6985760545686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2.3571278239635816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2.3571278239635816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17.600000000000001</v>
      </c>
      <c r="BY42" s="13">
        <f>IF('Données projet'!$A$114&gt;35,BY41+BX42-CG41,IF(A42&lt;'Données projet'!$A$114,$BV$205^A42,IF(A42='Données projet'!$A$114,'Données projet'!$B$114,BY41+BX42-CG41)))</f>
        <v>314.40000000000015</v>
      </c>
      <c r="BZ42" s="14">
        <f>BY42*VLOOKUP('Données projet'!$B$12,Paramètres!$A$1:$I$89,3,0)*VLOOKUP('Données projet'!$B$12,Paramètres!$A$1:$I$89,5,0)</f>
        <v>188.01120000000012</v>
      </c>
      <c r="CA42" s="14">
        <f t="shared" si="39"/>
        <v>47.099988496591031</v>
      </c>
      <c r="CB42" s="22">
        <f t="shared" si="10"/>
        <v>409.48531996489623</v>
      </c>
      <c r="CC42" s="62">
        <f t="shared" si="11"/>
        <v>702.81865329822949</v>
      </c>
      <c r="CD42" s="62">
        <f ca="1">AVERAGE(OFFSET($CC$3,0,0,'Données projet'!$E$12+1,1))-AVERAGE(OFFSET($H$3,0,0,'Données projet'!$E$12+1,1))</f>
        <v>279.69031306919914</v>
      </c>
      <c r="CE42" s="62">
        <f t="shared" si="40"/>
        <v>297.01680128882509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8.3436192010275434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8.5227140098682028</v>
      </c>
      <c r="CN42" s="24">
        <f t="shared" si="12"/>
        <v>16.866333210895746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2">
        <f t="shared" si="32"/>
        <v>7.0293584875852577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70">
        <f t="shared" si="1"/>
        <v>343.61413269921093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564</v>
      </c>
      <c r="L43" s="13">
        <f>VLOOKUP(A43,'Données projet'!$A$35:$I$55,9,0)</f>
        <v>25.6</v>
      </c>
      <c r="M43" s="13">
        <f t="array" ref="M43">INDEX(L:L,MIN(IF(ISNUMBER(L43:L239),ROW(L43:L239),"")))</f>
        <v>25.6</v>
      </c>
      <c r="N43" s="14">
        <f>IF('Données projet'!$A$36&gt;35,N42+M43-V42,IF(A43&lt;'Données projet'!$A$36,$K$205^A43,IF(A43='Données projet'!$A$36,'Données projet'!$B$36,N42+M43-V42)))</f>
        <v>564.00000000000023</v>
      </c>
      <c r="O43" s="14">
        <f>N43*VLOOKUP('Données projet'!$B$9,Paramètres!$A$1:$I$89,3,0)*VLOOKUP('Données projet'!$B$9,Paramètres!$A$1:$I$89,5,0)</f>
        <v>315.27600000000012</v>
      </c>
      <c r="P43" s="14">
        <f t="shared" si="33"/>
        <v>74.36958441265493</v>
      </c>
      <c r="Q43" s="22">
        <f t="shared" si="53"/>
        <v>678.63272618537417</v>
      </c>
      <c r="R43" s="62">
        <f t="shared" si="0"/>
        <v>971.96605951870743</v>
      </c>
      <c r="S43" s="62">
        <f ca="1">AVERAGE(OFFSET($R$3,0,0,'Données projet'!$E$9+1,1))-AVERAGE(OFFSET($H$3,0,0,'Données projet'!$E$9+1,1))</f>
        <v>378.17323480030268</v>
      </c>
      <c r="T43" s="62">
        <f t="shared" si="34"/>
        <v>471.89239871617241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72</v>
      </c>
      <c r="W43" s="17">
        <f>IF(ISNA(VLOOKUP(A43,'Données projet'!$A$35:$I$55,5,0)),0%,VLOOKUP(A43,'Données projet'!$A$35:$I$55,5,0)*VLOOKUP('Données projet'!$B$9,Paramètres!$A$1:$I$89,7,0))</f>
        <v>0.38500000000000001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0.3</v>
      </c>
      <c r="Z43" s="23">
        <f>EXP(-LN(2)/35)*Z42+(1-EXP(-LN(2)/35))/(LN(2)/35)*V43*W43*VLOOKUP('Données projet'!$B$9,Paramètres!$A$1:$I$89,3,0)*0.475*44/12</f>
        <v>35.182838240702289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19.336874844862116</v>
      </c>
      <c r="AC43" s="24">
        <f t="shared" si="3"/>
        <v>54.519713085564405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268</v>
      </c>
      <c r="AG43" s="13">
        <f>VLOOKUP(A43,'Données projet'!$A$61:$I$81,9,0)</f>
        <v>30.8</v>
      </c>
      <c r="AH43" s="13">
        <f t="array" ref="AH43">INDEX(AG:AG,MIN(IF(ISNUMBER(AG43:AG239),ROW(AG43:AG239),"")))</f>
        <v>30.8</v>
      </c>
      <c r="AI43" s="14">
        <f>IF('Données projet'!$A$62&gt;35,AI42+AH43-AQ42,IF(A43&lt;'Données projet'!$A$62,$AF$205^A43,IF(A43='Données projet'!$A$62,'Données projet'!$B$62,AI42+AH43-AQ42)))</f>
        <v>268.00000000000011</v>
      </c>
      <c r="AJ43" s="14">
        <f>AI43*VLOOKUP('Données projet'!$B$10,Paramètres!$A$1:$I$89,3,0)*VLOOKUP('Données projet'!$B$10,Paramètres!$A$1:$I$89,5,0)</f>
        <v>217.40160000000012</v>
      </c>
      <c r="AK43" s="14">
        <f t="shared" si="35"/>
        <v>53.549746395925162</v>
      </c>
      <c r="AL43" s="22">
        <f t="shared" si="4"/>
        <v>471.90692830623652</v>
      </c>
      <c r="AM43" s="62">
        <f t="shared" si="5"/>
        <v>765.24026163956978</v>
      </c>
      <c r="AN43" s="62">
        <f ca="1">AVERAGE(OFFSET($AM$3,0,0,'Données projet'!$E$10+1,1))-AVERAGE(OFFSET($H$3,0,0,'Données projet'!$E$10+1,1))</f>
        <v>199.44889029107367</v>
      </c>
      <c r="AO43" s="62">
        <f t="shared" si="36"/>
        <v>292.30544856287457</v>
      </c>
      <c r="AP43" s="16">
        <f>IF(ISNA(VLOOKUP(A43,'Données projet'!$A$61:$I$81,3,0)),0,VLOOKUP(A43,'Données projet'!$A$61:$I$81,3,0))</f>
        <v>7</v>
      </c>
      <c r="AQ43" s="16">
        <f>IF(ISNA(VLOOKUP(A43,'Données projet'!$A$61:$I$81,4,0)),0,VLOOKUP(A43,'Données projet'!$A$61:$I$81,4,0))</f>
        <v>116</v>
      </c>
      <c r="AR43" s="17">
        <f>IF(ISNA(VLOOKUP(A43,'Données projet'!$A$61:$I$81,5,0)),0%,VLOOKUP(A43,'Données projet'!$A$61:$I$81,5,0)*VLOOKUP('Données projet'!$B$10,Paramètres!$A$1:$I$89,7,0))</f>
        <v>4.3000000000000003E-2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8.5243529636604229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8.5243529636604229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350</v>
      </c>
      <c r="BB43" s="13">
        <f>VLOOKUP(A43,'Données projet'!$A$87:$I$107,9,0)</f>
        <v>15.5</v>
      </c>
      <c r="BC43" s="13">
        <f t="array" ref="BC43">INDEX(BB:BB,MIN(IF(ISNUMBER(BB43:BB239),ROW(BB43:BB239),"")))</f>
        <v>15.5</v>
      </c>
      <c r="BD43" s="13">
        <f>IF('Données projet'!$A$88&gt;35,BD42+BC43-BL42,IF(A43&lt;'Données projet'!$A$88,$BA$205^A43,IF(A43='Données projet'!$A$88,'Données projet'!$B$88,BD42+BC43-BL42)))</f>
        <v>349.99999999999989</v>
      </c>
      <c r="BE43" s="14">
        <f>BD43*VLOOKUP('Données projet'!$B$11,Paramètres!$A$1:$I$89,3,0)*VLOOKUP('Données projet'!$B$11,Paramètres!$A$1:$I$89,5,0)</f>
        <v>163.79999999999995</v>
      </c>
      <c r="BF43" s="14">
        <f t="shared" si="37"/>
        <v>41.698441627605291</v>
      </c>
      <c r="BG43" s="22">
        <f t="shared" si="7"/>
        <v>357.90978583474572</v>
      </c>
      <c r="BH43" s="62">
        <f t="shared" si="8"/>
        <v>651.24311916807903</v>
      </c>
      <c r="BI43" s="62">
        <f ca="1">AVERAGE(OFFSET($BH$3,0,0,'Données projet'!$E$11+1,1))-AVERAGE(OFFSET($H$3,0,0,'Données projet'!$E$11+1,1))</f>
        <v>256.45505140629194</v>
      </c>
      <c r="BJ43" s="62">
        <f t="shared" si="38"/>
        <v>219.6985760545686</v>
      </c>
      <c r="BK43" s="16">
        <f>IF(ISNA(VLOOKUP(A43,'Données projet'!$A$87:$I$107,3,0)),0,VLOOKUP(A43,'Données projet'!$A$87:$I$107,3,0))</f>
        <v>3</v>
      </c>
      <c r="BL43" s="16">
        <f>IF(ISNA(VLOOKUP(A43,'Données projet'!$A$87:$I$107,4,0)),0,VLOOKUP(A43,'Données projet'!$A$87:$I$107,4,0))</f>
        <v>60</v>
      </c>
      <c r="BM43" s="17">
        <f>IF(ISNA(VLOOKUP(A43,'Données projet'!$A$87:$I$107,5,0)),0%,VLOOKUP(A43,'Données projet'!$A$87:$I$107,5,0)*VLOOKUP('Données projet'!$B$11,Paramètres!$A$1:$I$89,7,0))</f>
        <v>0.13750000000000001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7.4327713474937323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7.4327713474937323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332</v>
      </c>
      <c r="BW43" s="13">
        <f>VLOOKUP(A43,'Données projet'!$A$113:$I$133,9,0)</f>
        <v>17.600000000000001</v>
      </c>
      <c r="BX43" s="13">
        <f t="array" ref="BX43">INDEX(BW:BW,MIN(IF(ISNUMBER(BW43:BW239),ROW(BW43:BW239),"")))</f>
        <v>17.600000000000001</v>
      </c>
      <c r="BY43" s="13">
        <f>IF('Données projet'!$A$114&gt;35,BY42+BX43-CG42,IF(A43&lt;'Données projet'!$A$114,$BV$205^A43,IF(A43='Données projet'!$A$114,'Données projet'!$B$114,BY42+BX43-CG42)))</f>
        <v>332.00000000000017</v>
      </c>
      <c r="BZ43" s="14">
        <f>BY43*VLOOKUP('Données projet'!$B$12,Paramètres!$A$1:$I$89,3,0)*VLOOKUP('Données projet'!$B$12,Paramètres!$A$1:$I$89,5,0)</f>
        <v>198.53600000000012</v>
      </c>
      <c r="CA43" s="14">
        <f t="shared" si="39"/>
        <v>49.42228739122875</v>
      </c>
      <c r="CB43" s="22">
        <f t="shared" si="10"/>
        <v>431.86068387305687</v>
      </c>
      <c r="CC43" s="62">
        <f t="shared" si="11"/>
        <v>725.19401720639019</v>
      </c>
      <c r="CD43" s="62">
        <f ca="1">AVERAGE(OFFSET($CC$3,0,0,'Données projet'!$E$12+1,1))-AVERAGE(OFFSET($H$3,0,0,'Données projet'!$E$12+1,1))</f>
        <v>279.69031306919914</v>
      </c>
      <c r="CE43" s="62">
        <f t="shared" si="40"/>
        <v>297.01680128882509</v>
      </c>
      <c r="CF43" s="16">
        <f>IF(ISNA(VLOOKUP(A43,'Données projet'!$A$113:$I$133,3,0)),0,VLOOKUP(A43,'Données projet'!$A$113:$I$133,3,0))</f>
        <v>6</v>
      </c>
      <c r="CG43" s="16">
        <f>IF(ISNA(VLOOKUP(A43,'Données projet'!$A$113:$I$133,4,0)),0,VLOOKUP(A43,'Données projet'!$A$113:$I$133,4,0))</f>
        <v>48</v>
      </c>
      <c r="CH43" s="17">
        <f>IF(ISNA(VLOOKUP(A43,'Données projet'!$A$113:$I$133,5,0)),0%,VLOOKUP(A43,'Données projet'!$A$113:$I$133,5,0)*VLOOKUP('Données projet'!$B$12,Paramètres!$A$1:$I$89,7,0))</f>
        <v>0.1125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0.75</v>
      </c>
      <c r="CK43" s="23">
        <f>EXP(-LN(2)/35)*CK42+(1-EXP(-LN(2)/35))/(LN(2)/35)*CG43*CH43*VLOOKUP('Données projet'!$B$12,Paramètres!$A$1:$I$89,3,0)*0.475*44/12</f>
        <v>12.463747857105961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30.401165771641157</v>
      </c>
      <c r="CN43" s="24">
        <f t="shared" si="12"/>
        <v>42.864913628747118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2">
        <f t="shared" si="32"/>
        <v>7.1844131608438397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70">
        <f t="shared" si="1"/>
        <v>344.83513625513632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22.8</v>
      </c>
      <c r="N44" s="14">
        <f>IF('Données projet'!$A$36&gt;35,N43+M44-V43,IF(A44&lt;'Données projet'!$A$36,$K$205^A44,IF(A44='Données projet'!$A$36,'Données projet'!$B$36,N43+M44-V43)))</f>
        <v>514.80000000000018</v>
      </c>
      <c r="O44" s="14">
        <f>N44*VLOOKUP('Données projet'!$B$9,Paramètres!$A$1:$I$89,3,0)*VLOOKUP('Données projet'!$B$9,Paramètres!$A$1:$I$89,5,0)</f>
        <v>287.77320000000009</v>
      </c>
      <c r="P44" s="14">
        <f t="shared" si="33"/>
        <v>68.607082381743922</v>
      </c>
      <c r="Q44" s="22">
        <f t="shared" si="53"/>
        <v>620.69565848153741</v>
      </c>
      <c r="R44" s="62">
        <f t="shared" si="0"/>
        <v>914.02899181487078</v>
      </c>
      <c r="S44" s="62">
        <f ca="1">AVERAGE(OFFSET($R$3,0,0,'Données projet'!$E$9+1,1))-AVERAGE(OFFSET($H$3,0,0,'Données projet'!$E$9+1,1))</f>
        <v>378.17323480030268</v>
      </c>
      <c r="T44" s="62">
        <f t="shared" si="34"/>
        <v>471.89239871617241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34.492924242214499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13.673235329757572</v>
      </c>
      <c r="AC44" s="24">
        <f t="shared" si="3"/>
        <v>48.166159571972074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30.8</v>
      </c>
      <c r="AI44" s="14">
        <f>IF('Données projet'!$A$62&gt;35,AI43+AH44-AQ43,IF(A44&lt;'Données projet'!$A$62,$AF$205^A44,IF(A44='Données projet'!$A$62,'Données projet'!$B$62,AI43+AH44-AQ43)))</f>
        <v>182.80000000000013</v>
      </c>
      <c r="AJ44" s="14">
        <f>AI44*VLOOKUP('Données projet'!$B$10,Paramètres!$A$1:$I$89,3,0)*VLOOKUP('Données projet'!$B$10,Paramètres!$A$1:$I$89,5,0)</f>
        <v>148.28736000000012</v>
      </c>
      <c r="AK44" s="14">
        <f t="shared" si="35"/>
        <v>38.189122302253857</v>
      </c>
      <c r="AL44" s="22">
        <f t="shared" si="4"/>
        <v>324.77987334309233</v>
      </c>
      <c r="AM44" s="62">
        <f t="shared" si="5"/>
        <v>618.11320667642565</v>
      </c>
      <c r="AN44" s="62">
        <f ca="1">AVERAGE(OFFSET($AM$3,0,0,'Données projet'!$E$10+1,1))-AVERAGE(OFFSET($H$3,0,0,'Données projet'!$E$10+1,1))</f>
        <v>199.44889029107367</v>
      </c>
      <c r="AO44" s="62">
        <f t="shared" si="36"/>
        <v>292.30544856287457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8.3571956013849569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8.3571956013849569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17.5</v>
      </c>
      <c r="BD44" s="13">
        <f>IF('Données projet'!$A$88&gt;35,BD43+BC44-BL43,IF(A44&lt;'Données projet'!$A$88,$BA$205^A44,IF(A44='Données projet'!$A$88,'Données projet'!$B$88,BD43+BC44-BL43)))</f>
        <v>307.49999999999989</v>
      </c>
      <c r="BE44" s="14">
        <f>BD44*VLOOKUP('Données projet'!$B$11,Paramètres!$A$1:$I$89,3,0)*VLOOKUP('Données projet'!$B$11,Paramètres!$A$1:$I$89,5,0)</f>
        <v>143.90999999999994</v>
      </c>
      <c r="BF44" s="14">
        <f t="shared" si="37"/>
        <v>37.191290549543396</v>
      </c>
      <c r="BG44" s="22">
        <f t="shared" si="7"/>
        <v>315.41808104045464</v>
      </c>
      <c r="BH44" s="62">
        <f t="shared" si="8"/>
        <v>608.75141437378795</v>
      </c>
      <c r="BI44" s="62">
        <f ca="1">AVERAGE(OFFSET($BH$3,0,0,'Données projet'!$E$11+1,1))-AVERAGE(OFFSET($H$3,0,0,'Données projet'!$E$11+1,1))</f>
        <v>256.45505140629194</v>
      </c>
      <c r="BJ44" s="62">
        <f t="shared" si="38"/>
        <v>219.6985760545686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7.2870192349122522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7.2870192349122522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20</v>
      </c>
      <c r="BY44" s="13">
        <f>IF('Données projet'!$A$114&gt;35,BY43+BX44-CG43,IF(A44&lt;'Données projet'!$A$114,$BV$205^A44,IF(A44='Données projet'!$A$114,'Données projet'!$B$114,BY43+BX44-CG43)))</f>
        <v>304.00000000000017</v>
      </c>
      <c r="BZ44" s="14">
        <f>BY44*VLOOKUP('Données projet'!$B$12,Paramètres!$A$1:$I$89,3,0)*VLOOKUP('Données projet'!$B$12,Paramètres!$A$1:$I$89,5,0)</f>
        <v>181.79200000000012</v>
      </c>
      <c r="CA44" s="14">
        <f t="shared" si="39"/>
        <v>45.720642997712574</v>
      </c>
      <c r="CB44" s="22">
        <f t="shared" si="10"/>
        <v>396.25118655434966</v>
      </c>
      <c r="CC44" s="62">
        <f t="shared" si="11"/>
        <v>689.58451988768297</v>
      </c>
      <c r="CD44" s="62">
        <f ca="1">AVERAGE(OFFSET($CC$3,0,0,'Données projet'!$E$12+1,1))-AVERAGE(OFFSET($H$3,0,0,'Données projet'!$E$12+1,1))</f>
        <v>279.69031306919914</v>
      </c>
      <c r="CE44" s="62">
        <f t="shared" si="40"/>
        <v>297.01680128882509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12.219341363763657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21.496870473103822</v>
      </c>
      <c r="CN44" s="24">
        <f t="shared" si="12"/>
        <v>33.71621183686748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2">
        <f t="shared" si="32"/>
        <v>7.3390282083215048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70">
        <f t="shared" si="1"/>
        <v>346.05537412949326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22.8</v>
      </c>
      <c r="N45" s="14">
        <f>IF('Données projet'!$A$36&gt;35,N44+M45-V44,IF(A45&lt;'Données projet'!$A$36,$K$205^A45,IF(A45='Données projet'!$A$36,'Données projet'!$B$36,N44+M45-V44)))</f>
        <v>537.60000000000014</v>
      </c>
      <c r="O45" s="14">
        <f>N45*VLOOKUP('Données projet'!$B$9,Paramètres!$A$1:$I$89,3,0)*VLOOKUP('Données projet'!$B$9,Paramètres!$A$1:$I$89,5,0)</f>
        <v>300.5184000000001</v>
      </c>
      <c r="P45" s="14">
        <f t="shared" si="33"/>
        <v>71.285129105116411</v>
      </c>
      <c r="Q45" s="22">
        <f t="shared" si="53"/>
        <v>647.55781319141124</v>
      </c>
      <c r="R45" s="62">
        <f t="shared" si="0"/>
        <v>940.8911465247445</v>
      </c>
      <c r="S45" s="62">
        <f ca="1">AVERAGE(OFFSET($R$3,0,0,'Données projet'!$E$9+1,1))-AVERAGE(OFFSET($H$3,0,0,'Données projet'!$E$9+1,1))</f>
        <v>378.17323480030268</v>
      </c>
      <c r="T45" s="62">
        <f t="shared" si="34"/>
        <v>471.89239871617241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33.816539036431074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9.6684374224310599</v>
      </c>
      <c r="AC45" s="24">
        <f t="shared" si="3"/>
        <v>43.484976458862135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30.8</v>
      </c>
      <c r="AI45" s="14">
        <f>IF('Données projet'!$A$62&gt;35,AI44+AH45-AQ44,IF(A45&lt;'Données projet'!$A$62,$AF$205^A45,IF(A45='Données projet'!$A$62,'Données projet'!$B$62,AI44+AH45-AQ44)))</f>
        <v>213.60000000000014</v>
      </c>
      <c r="AJ45" s="14">
        <f>AI45*VLOOKUP('Données projet'!$B$10,Paramètres!$A$1:$I$89,3,0)*VLOOKUP('Données projet'!$B$10,Paramètres!$A$1:$I$89,5,0)</f>
        <v>173.27232000000012</v>
      </c>
      <c r="AK45" s="14">
        <f t="shared" si="35"/>
        <v>43.822099182524688</v>
      </c>
      <c r="AL45" s="22">
        <f t="shared" si="4"/>
        <v>378.10611340956399</v>
      </c>
      <c r="AM45" s="62">
        <f t="shared" si="5"/>
        <v>671.4394467428973</v>
      </c>
      <c r="AN45" s="62">
        <f ca="1">AVERAGE(OFFSET($AM$3,0,0,'Données projet'!$E$10+1,1))-AVERAGE(OFFSET($H$3,0,0,'Données projet'!$E$10+1,1))</f>
        <v>199.44889029107367</v>
      </c>
      <c r="AO45" s="62">
        <f t="shared" si="36"/>
        <v>292.30544856287457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8.1933160930277893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8.1933160930277893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17.5</v>
      </c>
      <c r="BD45" s="13">
        <f>IF('Données projet'!$A$88&gt;35,BD44+BC45-BL44,IF(A45&lt;'Données projet'!$A$88,$BA$205^A45,IF(A45='Données projet'!$A$88,'Données projet'!$B$88,BD44+BC45-BL44)))</f>
        <v>324.99999999999989</v>
      </c>
      <c r="BE45" s="14">
        <f>BD45*VLOOKUP('Données projet'!$B$11,Paramètres!$A$1:$I$89,3,0)*VLOOKUP('Données projet'!$B$11,Paramètres!$A$1:$I$89,5,0)</f>
        <v>152.09999999999994</v>
      </c>
      <c r="BF45" s="14">
        <f t="shared" si="37"/>
        <v>39.055431318323095</v>
      </c>
      <c r="BG45" s="22">
        <f t="shared" si="7"/>
        <v>332.92904287941258</v>
      </c>
      <c r="BH45" s="62">
        <f t="shared" si="8"/>
        <v>626.26237621274595</v>
      </c>
      <c r="BI45" s="62">
        <f ca="1">AVERAGE(OFFSET($BH$3,0,0,'Données projet'!$E$11+1,1))-AVERAGE(OFFSET($H$3,0,0,'Données projet'!$E$11+1,1))</f>
        <v>256.45505140629194</v>
      </c>
      <c r="BJ45" s="62">
        <f t="shared" si="38"/>
        <v>219.6985760545686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7.1441252323584843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7.1441252323584843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20</v>
      </c>
      <c r="BY45" s="13">
        <f>IF('Données projet'!$A$114&gt;35,BY44+BX45-CG44,IF(A45&lt;'Données projet'!$A$114,$BV$205^A45,IF(A45='Données projet'!$A$114,'Données projet'!$B$114,BY44+BX45-CG44)))</f>
        <v>324.00000000000017</v>
      </c>
      <c r="BZ45" s="14">
        <f>BY45*VLOOKUP('Données projet'!$B$12,Paramètres!$A$1:$I$89,3,0)*VLOOKUP('Données projet'!$B$12,Paramètres!$A$1:$I$89,5,0)</f>
        <v>193.75200000000009</v>
      </c>
      <c r="CA45" s="14">
        <f t="shared" si="39"/>
        <v>48.368520355376113</v>
      </c>
      <c r="CB45" s="22">
        <f t="shared" si="10"/>
        <v>421.69323961894696</v>
      </c>
      <c r="CC45" s="62">
        <f t="shared" si="11"/>
        <v>715.02657295228028</v>
      </c>
      <c r="CD45" s="62">
        <f ca="1">AVERAGE(OFFSET($CC$3,0,0,'Données projet'!$E$12+1,1))-AVERAGE(OFFSET($H$3,0,0,'Données projet'!$E$12+1,1))</f>
        <v>279.69031306919914</v>
      </c>
      <c r="CE45" s="62">
        <f t="shared" si="40"/>
        <v>297.01680128882509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11.979727532682555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15.20058288582058</v>
      </c>
      <c r="CN45" s="24">
        <f t="shared" si="12"/>
        <v>27.180310418503133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2">
        <f t="shared" si="32"/>
        <v>7.4932153017418166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70">
        <f t="shared" si="1"/>
        <v>347.27486665053362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22.8</v>
      </c>
      <c r="N46" s="14">
        <f>IF('Données projet'!$A$36&gt;35,N45+M46-V45,IF(A46&lt;'Données projet'!$A$36,$K$205^A46,IF(A46='Données projet'!$A$36,'Données projet'!$B$36,N45+M46-V45)))</f>
        <v>560.40000000000009</v>
      </c>
      <c r="O46" s="14">
        <f>N46*VLOOKUP('Données projet'!$B$9,Paramètres!$A$1:$I$89,3,0)*VLOOKUP('Données projet'!$B$9,Paramètres!$A$1:$I$89,5,0)</f>
        <v>313.26360000000005</v>
      </c>
      <c r="P46" s="14">
        <f t="shared" si="33"/>
        <v>73.949983766039026</v>
      </c>
      <c r="Q46" s="22">
        <f t="shared" si="53"/>
        <v>674.39699172585131</v>
      </c>
      <c r="R46" s="62">
        <f t="shared" si="0"/>
        <v>967.73032505918468</v>
      </c>
      <c r="S46" s="62">
        <f ca="1">AVERAGE(OFFSET($R$3,0,0,'Données projet'!$E$9+1,1))-AVERAGE(OFFSET($H$3,0,0,'Données projet'!$E$9+1,1))</f>
        <v>378.17323480030268</v>
      </c>
      <c r="T46" s="62">
        <f t="shared" si="34"/>
        <v>471.89239871617241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33.153417331978822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6.8366176648787871</v>
      </c>
      <c r="AC46" s="24">
        <f t="shared" si="3"/>
        <v>39.990034996857609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30.8</v>
      </c>
      <c r="AI46" s="14">
        <f>IF('Données projet'!$A$62&gt;35,AI45+AH46-AQ45,IF(A46&lt;'Données projet'!$A$62,$AF$205^A46,IF(A46='Données projet'!$A$62,'Données projet'!$B$62,AI45+AH46-AQ45)))</f>
        <v>244.40000000000015</v>
      </c>
      <c r="AJ46" s="14">
        <f>AI46*VLOOKUP('Données projet'!$B$10,Paramètres!$A$1:$I$89,3,0)*VLOOKUP('Données projet'!$B$10,Paramètres!$A$1:$I$89,5,0)</f>
        <v>198.25728000000012</v>
      </c>
      <c r="AK46" s="14">
        <f t="shared" si="35"/>
        <v>49.360975753631131</v>
      </c>
      <c r="AL46" s="22">
        <f t="shared" si="4"/>
        <v>431.26846210424105</v>
      </c>
      <c r="AM46" s="62">
        <f t="shared" si="5"/>
        <v>724.60179543757431</v>
      </c>
      <c r="AN46" s="62">
        <f ca="1">AVERAGE(OFFSET($AM$3,0,0,'Données projet'!$E$10+1,1))-AVERAGE(OFFSET($H$3,0,0,'Données projet'!$E$10+1,1))</f>
        <v>199.44889029107367</v>
      </c>
      <c r="AO46" s="62">
        <f t="shared" si="36"/>
        <v>292.30544856287457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8.0326501618728763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8.0326501618728763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17.5</v>
      </c>
      <c r="BD46" s="13">
        <f>IF('Données projet'!$A$88&gt;35,BD45+BC46-BL45,IF(A46&lt;'Données projet'!$A$88,$BA$205^A46,IF(A46='Données projet'!$A$88,'Données projet'!$B$88,BD45+BC46-BL45)))</f>
        <v>342.49999999999989</v>
      </c>
      <c r="BE46" s="14">
        <f>BD46*VLOOKUP('Données projet'!$B$11,Paramètres!$A$1:$I$89,3,0)*VLOOKUP('Données projet'!$B$11,Paramètres!$A$1:$I$89,5,0)</f>
        <v>160.28999999999994</v>
      </c>
      <c r="BF46" s="14">
        <f t="shared" si="37"/>
        <v>40.907918820862015</v>
      </c>
      <c r="BG46" s="22">
        <f t="shared" si="7"/>
        <v>350.41970861300121</v>
      </c>
      <c r="BH46" s="62">
        <f t="shared" si="8"/>
        <v>643.75304194633452</v>
      </c>
      <c r="BI46" s="62">
        <f ca="1">AVERAGE(OFFSET($BH$3,0,0,'Données projet'!$E$11+1,1))-AVERAGE(OFFSET($H$3,0,0,'Données projet'!$E$11+1,1))</f>
        <v>256.45505140629194</v>
      </c>
      <c r="BJ46" s="62">
        <f t="shared" si="38"/>
        <v>219.6985760545686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7.0040332940380603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7.0040332940380603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20</v>
      </c>
      <c r="BY46" s="13">
        <f>IF('Données projet'!$A$114&gt;35,BY45+BX46-CG45,IF(A46&lt;'Données projet'!$A$114,$BV$205^A46,IF(A46='Données projet'!$A$114,'Données projet'!$B$114,BY45+BX46-CG45)))</f>
        <v>344.00000000000017</v>
      </c>
      <c r="BZ46" s="14">
        <f>BY46*VLOOKUP('Données projet'!$B$12,Paramètres!$A$1:$I$89,3,0)*VLOOKUP('Données projet'!$B$12,Paramètres!$A$1:$I$89,5,0)</f>
        <v>205.71200000000013</v>
      </c>
      <c r="CA46" s="14">
        <f t="shared" si="39"/>
        <v>50.997427696933762</v>
      </c>
      <c r="CB46" s="22">
        <f t="shared" si="10"/>
        <v>447.10225323882656</v>
      </c>
      <c r="CC46" s="62">
        <f t="shared" si="11"/>
        <v>740.43558657215988</v>
      </c>
      <c r="CD46" s="62">
        <f ca="1">AVERAGE(OFFSET($CC$3,0,0,'Données projet'!$E$12+1,1))-AVERAGE(OFFSET($H$3,0,0,'Données projet'!$E$12+1,1))</f>
        <v>279.69031306919914</v>
      </c>
      <c r="CE46" s="62">
        <f t="shared" si="40"/>
        <v>297.01680128882509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11.744812382678948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10.748435236551913</v>
      </c>
      <c r="CN46" s="24">
        <f t="shared" si="12"/>
        <v>22.493247619230861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2">
        <f t="shared" si="32"/>
        <v>7.6469855389835546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70">
        <f t="shared" si="1"/>
        <v>348.49363314706295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22.8</v>
      </c>
      <c r="N47" s="14">
        <f>IF('Données projet'!$A$36&gt;35,N46+M47-V46,IF(A47&lt;'Données projet'!$A$36,$K$205^A47,IF(A47='Données projet'!$A$36,'Données projet'!$B$36,N46+M47-V46)))</f>
        <v>583.20000000000005</v>
      </c>
      <c r="O47" s="14">
        <f>N47*VLOOKUP('Données projet'!$B$9,Paramètres!$A$1:$I$89,3,0)*VLOOKUP('Données projet'!$B$9,Paramètres!$A$1:$I$89,5,0)</f>
        <v>326.00880000000001</v>
      </c>
      <c r="P47" s="14">
        <f t="shared" si="33"/>
        <v>76.602244480772981</v>
      </c>
      <c r="Q47" s="22">
        <f t="shared" si="53"/>
        <v>701.2142358040129</v>
      </c>
      <c r="R47" s="62">
        <f t="shared" si="0"/>
        <v>994.54756913734627</v>
      </c>
      <c r="S47" s="62">
        <f ca="1">AVERAGE(OFFSET($R$3,0,0,'Données projet'!$E$9+1,1))-AVERAGE(OFFSET($H$3,0,0,'Données projet'!$E$9+1,1))</f>
        <v>378.17323480030268</v>
      </c>
      <c r="T47" s="62">
        <f t="shared" si="34"/>
        <v>471.89239871617241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32.503299039686574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4.8342187112155299</v>
      </c>
      <c r="AC47" s="24">
        <f t="shared" si="3"/>
        <v>37.337517750902101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30.8</v>
      </c>
      <c r="AI47" s="14">
        <f>IF('Données projet'!$A$62&gt;35,AI46+AH47-AQ46,IF(A47&lt;'Données projet'!$A$62,$AF$205^A47,IF(A47='Données projet'!$A$62,'Données projet'!$B$62,AI46+AH47-AQ46)))</f>
        <v>275.20000000000016</v>
      </c>
      <c r="AJ47" s="14">
        <f>AI47*VLOOKUP('Données projet'!$B$10,Paramètres!$A$1:$I$89,3,0)*VLOOKUP('Données projet'!$B$10,Paramètres!$A$1:$I$89,5,0)</f>
        <v>223.24224000000015</v>
      </c>
      <c r="AK47" s="14">
        <f t="shared" si="35"/>
        <v>54.818969432353995</v>
      </c>
      <c r="AL47" s="22">
        <f t="shared" si="4"/>
        <v>484.28993976135007</v>
      </c>
      <c r="AM47" s="62">
        <f t="shared" si="5"/>
        <v>777.62327309468333</v>
      </c>
      <c r="AN47" s="62">
        <f ca="1">AVERAGE(OFFSET($AM$3,0,0,'Données projet'!$E$10+1,1))-AVERAGE(OFFSET($H$3,0,0,'Données projet'!$E$10+1,1))</f>
        <v>199.44889029107367</v>
      </c>
      <c r="AO47" s="62">
        <f t="shared" si="36"/>
        <v>292.30544856287457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7.8751347916313694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7.8751347916313694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17.5</v>
      </c>
      <c r="BD47" s="13">
        <f>IF('Données projet'!$A$88&gt;35,BD46+BC47-BL46,IF(A47&lt;'Données projet'!$A$88,$BA$205^A47,IF(A47='Données projet'!$A$88,'Données projet'!$B$88,BD46+BC47-BL46)))</f>
        <v>359.99999999999989</v>
      </c>
      <c r="BE47" s="14">
        <f>BD47*VLOOKUP('Données projet'!$B$11,Paramètres!$A$1:$I$89,3,0)*VLOOKUP('Données projet'!$B$11,Paramètres!$A$1:$I$89,5,0)</f>
        <v>168.47999999999996</v>
      </c>
      <c r="BF47" s="14">
        <f t="shared" si="37"/>
        <v>42.74941640538534</v>
      </c>
      <c r="BG47" s="22">
        <f t="shared" si="7"/>
        <v>367.89123357271274</v>
      </c>
      <c r="BH47" s="62">
        <f t="shared" si="8"/>
        <v>661.22456690604599</v>
      </c>
      <c r="BI47" s="62">
        <f ca="1">AVERAGE(OFFSET($BH$3,0,0,'Données projet'!$E$11+1,1))-AVERAGE(OFFSET($H$3,0,0,'Données projet'!$E$11+1,1))</f>
        <v>256.45505140629194</v>
      </c>
      <c r="BJ47" s="62">
        <f t="shared" si="38"/>
        <v>219.6985760545686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6.8666884731804547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6.8666884731804547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20</v>
      </c>
      <c r="BY47" s="13">
        <f>IF('Données projet'!$A$114&gt;35,BY46+BX47-CG46,IF(A47&lt;'Données projet'!$A$114,$BV$205^A47,IF(A47='Données projet'!$A$114,'Données projet'!$B$114,BY46+BX47-CG46)))</f>
        <v>364.00000000000017</v>
      </c>
      <c r="BZ47" s="14">
        <f>BY47*VLOOKUP('Données projet'!$B$12,Paramètres!$A$1:$I$89,3,0)*VLOOKUP('Données projet'!$B$12,Paramètres!$A$1:$I$89,5,0)</f>
        <v>217.67200000000011</v>
      </c>
      <c r="CA47" s="14">
        <f t="shared" si="39"/>
        <v>53.60859357546007</v>
      </c>
      <c r="CB47" s="22">
        <f t="shared" si="10"/>
        <v>472.48036714392646</v>
      </c>
      <c r="CC47" s="62">
        <f t="shared" si="11"/>
        <v>765.81370047725977</v>
      </c>
      <c r="CD47" s="62">
        <f ca="1">AVERAGE(OFFSET($CC$3,0,0,'Données projet'!$E$12+1,1))-AVERAGE(OFFSET($H$3,0,0,'Données projet'!$E$12+1,1))</f>
        <v>279.69031306919914</v>
      </c>
      <c r="CE47" s="62">
        <f t="shared" si="40"/>
        <v>297.01680128882509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11.514503775482817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7.600291442910291</v>
      </c>
      <c r="CN47" s="24">
        <f t="shared" si="12"/>
        <v>19.114795218393109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2">
        <f t="shared" si="32"/>
        <v>7.8003494846849248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70">
        <f t="shared" si="1"/>
        <v>349.7116920191595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606</v>
      </c>
      <c r="L48" s="13">
        <f>VLOOKUP(A48,'Données projet'!$A$35:$I$55,9,0)</f>
        <v>22.8</v>
      </c>
      <c r="M48" s="13">
        <f t="array" ref="M48">INDEX(L:L,MIN(IF(ISNUMBER(L48:L244),ROW(L48:L244),"")))</f>
        <v>22.8</v>
      </c>
      <c r="N48" s="14">
        <f>IF('Données projet'!$A$36&gt;35,N47+M48-V47,IF(A48&lt;'Données projet'!$A$36,$K$205^A48,IF(A48='Données projet'!$A$36,'Données projet'!$B$36,N47+M48-V47)))</f>
        <v>606</v>
      </c>
      <c r="O48" s="14">
        <f>N48*VLOOKUP('Données projet'!$B$9,Paramètres!$A$1:$I$89,3,0)*VLOOKUP('Données projet'!$B$9,Paramètres!$A$1:$I$89,5,0)</f>
        <v>338.75400000000002</v>
      </c>
      <c r="P48" s="14">
        <f t="shared" si="33"/>
        <v>79.242459951408904</v>
      </c>
      <c r="Q48" s="22">
        <f t="shared" si="53"/>
        <v>728.01050108203719</v>
      </c>
      <c r="R48" s="62">
        <f t="shared" si="0"/>
        <v>1021.3438344153706</v>
      </c>
      <c r="S48" s="62">
        <f ca="1">AVERAGE(OFFSET($R$3,0,0,'Données projet'!$E$9+1,1))-AVERAGE(OFFSET($H$3,0,0,'Données projet'!$E$9+1,1))</f>
        <v>378.17323480030268</v>
      </c>
      <c r="T48" s="62">
        <f t="shared" si="34"/>
        <v>471.89239871617241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66</v>
      </c>
      <c r="W48" s="17">
        <f>IF(ISNA(VLOOKUP(A48,'Données projet'!$A$35:$I$55,5,0)),0%,VLOOKUP(A48,'Données projet'!$A$35:$I$55,5,0)*VLOOKUP('Données projet'!$B$9,Paramètres!$A$1:$I$89,7,0))</f>
        <v>0.38500000000000001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0.3</v>
      </c>
      <c r="Z48" s="23">
        <f>EXP(-LN(2)/35)*Z47+(1-EXP(-LN(2)/35))/(LN(2)/35)*V48*W48*VLOOKUP('Données projet'!$B$9,Paramètres!$A$1:$I$89,3,0)*0.475*44/12</f>
        <v>50.708702742882934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15.950082347921823</v>
      </c>
      <c r="AC48" s="24">
        <f t="shared" si="3"/>
        <v>66.658785090804756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306</v>
      </c>
      <c r="AG48" s="13">
        <f>VLOOKUP(A48,'Données projet'!$A$61:$I$81,9,0)</f>
        <v>30.8</v>
      </c>
      <c r="AH48" s="13">
        <f t="array" ref="AH48">INDEX(AG:AG,MIN(IF(ISNUMBER(AG48:AG244),ROW(AG48:AG244),"")))</f>
        <v>30.8</v>
      </c>
      <c r="AI48" s="14">
        <f>IF('Données projet'!$A$62&gt;35,AI47+AH48-AQ47,IF(A48&lt;'Données projet'!$A$62,$AF$205^A48,IF(A48='Données projet'!$A$62,'Données projet'!$B$62,AI47+AH48-AQ47)))</f>
        <v>306.00000000000017</v>
      </c>
      <c r="AJ48" s="14">
        <f>AI48*VLOOKUP('Données projet'!$B$10,Paramètres!$A$1:$I$89,3,0)*VLOOKUP('Données projet'!$B$10,Paramètres!$A$1:$I$89,5,0)</f>
        <v>248.22720000000015</v>
      </c>
      <c r="AK48" s="14">
        <f t="shared" si="35"/>
        <v>60.20616532763993</v>
      </c>
      <c r="AL48" s="22">
        <f t="shared" si="4"/>
        <v>537.18811127897311</v>
      </c>
      <c r="AM48" s="62">
        <f t="shared" si="5"/>
        <v>830.52144461230637</v>
      </c>
      <c r="AN48" s="62">
        <f ca="1">AVERAGE(OFFSET($AM$3,0,0,'Données projet'!$E$10+1,1))-AVERAGE(OFFSET($H$3,0,0,'Données projet'!$E$10+1,1))</f>
        <v>199.44889029107367</v>
      </c>
      <c r="AO48" s="62">
        <f t="shared" si="36"/>
        <v>292.30544856287457</v>
      </c>
      <c r="AP48" s="16">
        <f>IF(ISNA(VLOOKUP(A48,'Données projet'!$A$61:$I$81,3,0)),0,VLOOKUP(A48,'Données projet'!$A$61:$I$81,3,0))</f>
        <v>8</v>
      </c>
      <c r="AQ48" s="16">
        <f>IF(ISNA(VLOOKUP(A48,'Données projet'!$A$61:$I$81,4,0)),0,VLOOKUP(A48,'Données projet'!$A$61:$I$81,4,0))</f>
        <v>116</v>
      </c>
      <c r="AR48" s="17">
        <f>IF(ISNA(VLOOKUP(A48,'Données projet'!$A$61:$I$81,5,0)),0%,VLOOKUP(A48,'Données projet'!$A$61:$I$81,5,0)*VLOOKUP('Données projet'!$B$10,Paramètres!$A$1:$I$89,7,0))</f>
        <v>8.6000000000000007E-2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16.666761738771651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16.666761738771651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17.5</v>
      </c>
      <c r="BD48" s="13">
        <f>IF('Données projet'!$A$88&gt;35,BD47+BC48-BL47,IF(A48&lt;'Données projet'!$A$88,$BA$205^A48,IF(A48='Données projet'!$A$88,'Données projet'!$B$88,BD47+BC48-BL47)))</f>
        <v>377.49999999999989</v>
      </c>
      <c r="BE48" s="14">
        <f>BD48*VLOOKUP('Données projet'!$B$11,Paramètres!$A$1:$I$89,3,0)*VLOOKUP('Données projet'!$B$11,Paramètres!$A$1:$I$89,5,0)</f>
        <v>176.66999999999993</v>
      </c>
      <c r="BF48" s="14">
        <f t="shared" si="37"/>
        <v>44.580519284245675</v>
      </c>
      <c r="BG48" s="22">
        <f t="shared" si="7"/>
        <v>385.34465442006109</v>
      </c>
      <c r="BH48" s="62">
        <f t="shared" si="8"/>
        <v>678.6779877533944</v>
      </c>
      <c r="BI48" s="62">
        <f ca="1">AVERAGE(OFFSET($BH$3,0,0,'Données projet'!$E$11+1,1))-AVERAGE(OFFSET($H$3,0,0,'Données projet'!$E$11+1,1))</f>
        <v>256.45505140629194</v>
      </c>
      <c r="BJ48" s="62">
        <f t="shared" si="38"/>
        <v>219.6985760545686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6.732036900487798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6.732036900487798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384</v>
      </c>
      <c r="BW48" s="13">
        <f>VLOOKUP(A48,'Données projet'!$A$113:$I$133,9,0)</f>
        <v>20</v>
      </c>
      <c r="BX48" s="13">
        <f t="array" ref="BX48">INDEX(BW:BW,MIN(IF(ISNUMBER(BW48:BW244),ROW(BW48:BW244),"")))</f>
        <v>20</v>
      </c>
      <c r="BY48" s="13">
        <f>IF('Données projet'!$A$114&gt;35,BY47+BX48-CG47,IF(A48&lt;'Données projet'!$A$114,$BV$205^A48,IF(A48='Données projet'!$A$114,'Données projet'!$B$114,BY47+BX48-CG47)))</f>
        <v>384.00000000000017</v>
      </c>
      <c r="BZ48" s="14">
        <f>BY48*VLOOKUP('Données projet'!$B$12,Paramètres!$A$1:$I$89,3,0)*VLOOKUP('Données projet'!$B$12,Paramètres!$A$1:$I$89,5,0)</f>
        <v>229.63200000000015</v>
      </c>
      <c r="CA48" s="14">
        <f t="shared" si="39"/>
        <v>56.20310391330672</v>
      </c>
      <c r="CB48" s="22">
        <f t="shared" si="10"/>
        <v>497.8294726490094</v>
      </c>
      <c r="CC48" s="62">
        <f t="shared" si="11"/>
        <v>791.16280598234266</v>
      </c>
      <c r="CD48" s="62">
        <f ca="1">AVERAGE(OFFSET($CC$3,0,0,'Données projet'!$E$12+1,1))-AVERAGE(OFFSET($H$3,0,0,'Données projet'!$E$12+1,1))</f>
        <v>279.69031306919914</v>
      </c>
      <c r="CE48" s="62">
        <f t="shared" si="40"/>
        <v>297.01680128882509</v>
      </c>
      <c r="CF48" s="16">
        <f>IF(ISNA(VLOOKUP(A48,'Données projet'!$A$113:$I$133,3,0)),0,VLOOKUP(A48,'Données projet'!$A$113:$I$133,3,0))</f>
        <v>7</v>
      </c>
      <c r="CG48" s="16">
        <f>IF(ISNA(VLOOKUP(A48,'Données projet'!$A$113:$I$133,4,0)),0,VLOOKUP(A48,'Données projet'!$A$113:$I$133,4,0))</f>
        <v>57</v>
      </c>
      <c r="CH48" s="17">
        <f>IF(ISNA(VLOOKUP(A48,'Données projet'!$A$113:$I$133,5,0)),0%,VLOOKUP(A48,'Données projet'!$A$113:$I$133,5,0)*VLOOKUP('Données projet'!$B$12,Paramètres!$A$1:$I$89,7,0))</f>
        <v>0.1125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0.75</v>
      </c>
      <c r="CK48" s="23">
        <f>EXP(-LN(2)/35)*CK47+(1-EXP(-LN(2)/35))/(LN(2)/35)*CG48*CH48*VLOOKUP('Données projet'!$B$12,Paramètres!$A$1:$I$89,3,0)*0.475*44/12</f>
        <v>16.375654932762043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34.31917018839129</v>
      </c>
      <c r="CN48" s="24">
        <f t="shared" si="12"/>
        <v>50.694825121153329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2">
        <f t="shared" si="32"/>
        <v>7.9533172071366991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70">
        <f t="shared" si="1"/>
        <v>350.92906080242972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17.8</v>
      </c>
      <c r="N49" s="14">
        <f>IF('Données projet'!$A$36&gt;35,N48+M49-V48,IF(A49&lt;'Données projet'!$A$36,$K$205^A49,IF(A49='Données projet'!$A$36,'Données projet'!$B$36,N48+M49-V48)))</f>
        <v>557.79999999999995</v>
      </c>
      <c r="O49" s="14">
        <f>N49*VLOOKUP('Données projet'!$B$9,Paramètres!$A$1:$I$89,3,0)*VLOOKUP('Données projet'!$B$9,Paramètres!$A$1:$I$89,5,0)</f>
        <v>311.81020000000001</v>
      </c>
      <c r="P49" s="14">
        <f t="shared" si="33"/>
        <v>73.646743780370684</v>
      </c>
      <c r="Q49" s="22">
        <f t="shared" si="53"/>
        <v>671.33751041747894</v>
      </c>
      <c r="R49" s="62">
        <f t="shared" si="0"/>
        <v>964.67084375081231</v>
      </c>
      <c r="S49" s="62">
        <f ca="1">AVERAGE(OFFSET($R$3,0,0,'Données projet'!$E$9+1,1))-AVERAGE(OFFSET($H$3,0,0,'Données projet'!$E$9+1,1))</f>
        <v>378.17323480030268</v>
      </c>
      <c r="T49" s="62">
        <f t="shared" si="34"/>
        <v>471.89239871617241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49.714336011349666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11.278411388699372</v>
      </c>
      <c r="AC49" s="24">
        <f t="shared" si="3"/>
        <v>60.992747400049041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30.8</v>
      </c>
      <c r="AI49" s="14">
        <f>IF('Données projet'!$A$62&gt;35,AI48+AH49-AQ48,IF(A49&lt;'Données projet'!$A$62,$AF$205^A49,IF(A49='Données projet'!$A$62,'Données projet'!$B$62,AI48+AH49-AQ48)))</f>
        <v>220.80000000000018</v>
      </c>
      <c r="AJ49" s="14">
        <f>AI49*VLOOKUP('Données projet'!$B$10,Paramètres!$A$1:$I$89,3,0)*VLOOKUP('Données projet'!$B$10,Paramètres!$A$1:$I$89,5,0)</f>
        <v>179.11296000000016</v>
      </c>
      <c r="AK49" s="14">
        <f t="shared" si="35"/>
        <v>45.124779403343211</v>
      </c>
      <c r="AL49" s="22">
        <f t="shared" si="4"/>
        <v>390.54739612748972</v>
      </c>
      <c r="AM49" s="62">
        <f t="shared" si="5"/>
        <v>683.88072946082298</v>
      </c>
      <c r="AN49" s="62">
        <f ca="1">AVERAGE(OFFSET($AM$3,0,0,'Données projet'!$E$10+1,1))-AVERAGE(OFFSET($H$3,0,0,'Données projet'!$E$10+1,1))</f>
        <v>199.44889029107367</v>
      </c>
      <c r="AO49" s="62">
        <f t="shared" si="36"/>
        <v>292.30544856287457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16.339936706795218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16.339936706795218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17.5</v>
      </c>
      <c r="BD49" s="13">
        <f>IF('Données projet'!$A$88&gt;35,BD48+BC49-BL48,IF(A49&lt;'Données projet'!$A$88,$BA$205^A49,IF(A49='Données projet'!$A$88,'Données projet'!$B$88,BD48+BC49-BL48)))</f>
        <v>394.99999999999989</v>
      </c>
      <c r="BE49" s="14">
        <f>BD49*VLOOKUP('Données projet'!$B$11,Paramètres!$A$1:$I$89,3,0)*VLOOKUP('Données projet'!$B$11,Paramètres!$A$1:$I$89,5,0)</f>
        <v>184.85999999999996</v>
      </c>
      <c r="BF49" s="14">
        <f t="shared" si="37"/>
        <v>46.401764365641085</v>
      </c>
      <c r="BG49" s="22">
        <f t="shared" si="7"/>
        <v>402.78090627015814</v>
      </c>
      <c r="BH49" s="62">
        <f t="shared" si="8"/>
        <v>696.11423960349146</v>
      </c>
      <c r="BI49" s="62">
        <f ca="1">AVERAGE(OFFSET($BH$3,0,0,'Données projet'!$E$11+1,1))-AVERAGE(OFFSET($H$3,0,0,'Données projet'!$E$11+1,1))</f>
        <v>256.45505140629194</v>
      </c>
      <c r="BJ49" s="62">
        <f t="shared" si="38"/>
        <v>219.6985760545686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6.6000257630062942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6.6000257630062942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17.399999999999999</v>
      </c>
      <c r="BY49" s="13">
        <f>IF('Données projet'!$A$114&gt;35,BY48+BX49-CG48,IF(A49&lt;'Données projet'!$A$114,$BV$205^A49,IF(A49='Données projet'!$A$114,'Données projet'!$B$114,BY48+BX49-CG48)))</f>
        <v>344.40000000000015</v>
      </c>
      <c r="BZ49" s="14">
        <f>BY49*VLOOKUP('Données projet'!$B$12,Paramètres!$A$1:$I$89,3,0)*VLOOKUP('Données projet'!$B$12,Paramètres!$A$1:$I$89,5,0)</f>
        <v>205.95120000000009</v>
      </c>
      <c r="CA49" s="14">
        <f t="shared" si="39"/>
        <v>51.049821044529857</v>
      </c>
      <c r="CB49" s="22">
        <f t="shared" si="10"/>
        <v>447.61011165255627</v>
      </c>
      <c r="CC49" s="62">
        <f t="shared" si="11"/>
        <v>740.94344498588953</v>
      </c>
      <c r="CD49" s="62">
        <f ca="1">AVERAGE(OFFSET($CC$3,0,0,'Données projet'!$E$12+1,1))-AVERAGE(OFFSET($H$3,0,0,'Données projet'!$E$12+1,1))</f>
        <v>279.69031306919914</v>
      </c>
      <c r="CE49" s="62">
        <f t="shared" si="40"/>
        <v>297.01680128882509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16.054538327693837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24.267317964906688</v>
      </c>
      <c r="CN49" s="24">
        <f t="shared" si="12"/>
        <v>40.321856292600529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2">
        <f t="shared" si="32"/>
        <v>8.1058983118768051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70">
        <f t="shared" si="1"/>
        <v>352.14575622651876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17.8</v>
      </c>
      <c r="N50" s="14">
        <f>IF('Données projet'!$A$36&gt;35,N49+M50-V49,IF(A50&lt;'Données projet'!$A$36,$K$205^A50,IF(A50='Données projet'!$A$36,'Données projet'!$B$36,N49+M50-V49)))</f>
        <v>575.59999999999991</v>
      </c>
      <c r="O50" s="14">
        <f>N50*VLOOKUP('Données projet'!$B$9,Paramètres!$A$1:$I$89,3,0)*VLOOKUP('Données projet'!$B$9,Paramètres!$A$1:$I$89,5,0)</f>
        <v>321.76039999999995</v>
      </c>
      <c r="P50" s="14">
        <f t="shared" si="33"/>
        <v>75.719522083505169</v>
      </c>
      <c r="Q50" s="22">
        <f t="shared" si="53"/>
        <v>692.27753096210472</v>
      </c>
      <c r="R50" s="62">
        <f t="shared" si="0"/>
        <v>985.61086429543798</v>
      </c>
      <c r="S50" s="62">
        <f ca="1">AVERAGE(OFFSET($R$3,0,0,'Données projet'!$E$9+1,1))-AVERAGE(OFFSET($H$3,0,0,'Données projet'!$E$9+1,1))</f>
        <v>378.17323480030268</v>
      </c>
      <c r="T50" s="62">
        <f t="shared" si="34"/>
        <v>471.89239871617241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48.739468204917941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7.9750411739609124</v>
      </c>
      <c r="AC50" s="24">
        <f t="shared" si="3"/>
        <v>56.714509378878851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30.8</v>
      </c>
      <c r="AI50" s="14">
        <f>IF('Données projet'!$A$62&gt;35,AI49+AH50-AQ49,IF(A50&lt;'Données projet'!$A$62,$AF$205^A50,IF(A50='Données projet'!$A$62,'Données projet'!$B$62,AI49+AH50-AQ49)))</f>
        <v>251.60000000000019</v>
      </c>
      <c r="AJ50" s="14">
        <f>AI50*VLOOKUP('Données projet'!$B$10,Paramètres!$A$1:$I$89,3,0)*VLOOKUP('Données projet'!$B$10,Paramètres!$A$1:$I$89,5,0)</f>
        <v>204.09792000000019</v>
      </c>
      <c r="AK50" s="14">
        <f t="shared" si="35"/>
        <v>50.643700651523062</v>
      </c>
      <c r="AL50" s="22">
        <f t="shared" si="4"/>
        <v>443.67498930140295</v>
      </c>
      <c r="AM50" s="62">
        <f t="shared" si="5"/>
        <v>737.00832263473626</v>
      </c>
      <c r="AN50" s="62">
        <f ca="1">AVERAGE(OFFSET($AM$3,0,0,'Données projet'!$E$10+1,1))-AVERAGE(OFFSET($H$3,0,0,'Données projet'!$E$10+1,1))</f>
        <v>199.44889029107367</v>
      </c>
      <c r="AO50" s="62">
        <f t="shared" si="36"/>
        <v>292.30544856287457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16.019520514352255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16.019520514352255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17.5</v>
      </c>
      <c r="BD50" s="13">
        <f>IF('Données projet'!$A$88&gt;35,BD49+BC50-BL49,IF(A50&lt;'Données projet'!$A$88,$BA$205^A50,IF(A50='Données projet'!$A$88,'Données projet'!$B$88,BD49+BC50-BL49)))</f>
        <v>412.49999999999989</v>
      </c>
      <c r="BE50" s="14">
        <f>BD50*VLOOKUP('Données projet'!$B$11,Paramètres!$A$1:$I$89,3,0)*VLOOKUP('Données projet'!$B$11,Paramètres!$A$1:$I$89,5,0)</f>
        <v>193.04999999999993</v>
      </c>
      <c r="BF50" s="14">
        <f t="shared" si="37"/>
        <v>48.213638293804898</v>
      </c>
      <c r="BG50" s="22">
        <f t="shared" si="7"/>
        <v>420.20083669504339</v>
      </c>
      <c r="BH50" s="62">
        <f t="shared" si="8"/>
        <v>713.53417002837671</v>
      </c>
      <c r="BI50" s="62">
        <f ca="1">AVERAGE(OFFSET($BH$3,0,0,'Données projet'!$E$11+1,1))-AVERAGE(OFFSET($H$3,0,0,'Données projet'!$E$11+1,1))</f>
        <v>256.45505140629194</v>
      </c>
      <c r="BJ50" s="62">
        <f t="shared" si="38"/>
        <v>219.6985760545686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6.4706032834119593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6.4706032834119593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17.399999999999999</v>
      </c>
      <c r="BY50" s="13">
        <f>IF('Données projet'!$A$114&gt;35,BY49+BX50-CG49,IF(A50&lt;'Données projet'!$A$114,$BV$205^A50,IF(A50='Données projet'!$A$114,'Données projet'!$B$114,BY49+BX50-CG49)))</f>
        <v>361.80000000000013</v>
      </c>
      <c r="BZ50" s="14">
        <f>BY50*VLOOKUP('Données projet'!$B$12,Paramètres!$A$1:$I$89,3,0)*VLOOKUP('Données projet'!$B$12,Paramètres!$A$1:$I$89,5,0)</f>
        <v>216.35640000000006</v>
      </c>
      <c r="CA50" s="14">
        <f t="shared" si="39"/>
        <v>53.322199188237285</v>
      </c>
      <c r="CB50" s="22">
        <f t="shared" si="10"/>
        <v>469.69022691951341</v>
      </c>
      <c r="CC50" s="62">
        <f t="shared" si="11"/>
        <v>763.02356025284666</v>
      </c>
      <c r="CD50" s="62">
        <f ca="1">AVERAGE(OFFSET($CC$3,0,0,'Données projet'!$E$12+1,1))-AVERAGE(OFFSET($H$3,0,0,'Données projet'!$E$12+1,1))</f>
        <v>279.69031306919914</v>
      </c>
      <c r="CE50" s="62">
        <f t="shared" si="40"/>
        <v>297.01680128882509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15.739718623389232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17.159585094195648</v>
      </c>
      <c r="CN50" s="24">
        <f t="shared" si="12"/>
        <v>32.899303717584878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2">
        <f t="shared" si="32"/>
        <v>8.2581019723450915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70">
        <f t="shared" si="1"/>
        <v>353.361794268501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17.8</v>
      </c>
      <c r="N51" s="14">
        <f>IF('Données projet'!$A$36&gt;35,N50+M51-V50,IF(A51&lt;'Données projet'!$A$36,$K$205^A51,IF(A51='Données projet'!$A$36,'Données projet'!$B$36,N50+M51-V50)))</f>
        <v>593.39999999999986</v>
      </c>
      <c r="O51" s="14">
        <f>N51*VLOOKUP('Données projet'!$B$9,Paramètres!$A$1:$I$89,3,0)*VLOOKUP('Données projet'!$B$9,Paramètres!$A$1:$I$89,5,0)</f>
        <v>331.71059999999994</v>
      </c>
      <c r="P51" s="14">
        <f t="shared" si="33"/>
        <v>77.784851407016433</v>
      </c>
      <c r="Q51" s="22">
        <f t="shared" si="53"/>
        <v>713.20457786722011</v>
      </c>
      <c r="R51" s="62">
        <f t="shared" si="0"/>
        <v>1006.5379112005535</v>
      </c>
      <c r="S51" s="62">
        <f ca="1">AVERAGE(OFFSET($R$3,0,0,'Données projet'!$E$9+1,1))-AVERAGE(OFFSET($H$3,0,0,'Données projet'!$E$9+1,1))</f>
        <v>378.17323480030268</v>
      </c>
      <c r="T51" s="62">
        <f t="shared" si="34"/>
        <v>471.89239871617241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47.783716961559698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5.6392056943496867</v>
      </c>
      <c r="AC51" s="24">
        <f t="shared" si="3"/>
        <v>53.422922655909382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30.8</v>
      </c>
      <c r="AI51" s="14">
        <f>IF('Données projet'!$A$62&gt;35,AI50+AH51-AQ50,IF(A51&lt;'Données projet'!$A$62,$AF$205^A51,IF(A51='Données projet'!$A$62,'Données projet'!$B$62,AI50+AH51-AQ50)))</f>
        <v>282.4000000000002</v>
      </c>
      <c r="AJ51" s="14">
        <f>AI51*VLOOKUP('Données projet'!$B$10,Paramètres!$A$1:$I$89,3,0)*VLOOKUP('Données projet'!$B$10,Paramètres!$A$1:$I$89,5,0)</f>
        <v>229.08288000000016</v>
      </c>
      <c r="AK51" s="14">
        <f t="shared" si="35"/>
        <v>56.084332656066472</v>
      </c>
      <c r="AL51" s="22">
        <f t="shared" si="4"/>
        <v>496.66622870931604</v>
      </c>
      <c r="AM51" s="62">
        <f t="shared" si="5"/>
        <v>789.99956204264936</v>
      </c>
      <c r="AN51" s="62">
        <f ca="1">AVERAGE(OFFSET($AM$3,0,0,'Données projet'!$E$10+1,1))-AVERAGE(OFFSET($H$3,0,0,'Données projet'!$E$10+1,1))</f>
        <v>199.44889029107367</v>
      </c>
      <c r="AO51" s="62">
        <f t="shared" si="36"/>
        <v>292.30544856287457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15.705387488008521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15.705387488008521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17.5</v>
      </c>
      <c r="BD51" s="13">
        <f>IF('Données projet'!$A$88&gt;35,BD50+BC51-BL50,IF(A51&lt;'Données projet'!$A$88,$BA$205^A51,IF(A51='Données projet'!$A$88,'Données projet'!$B$88,BD50+BC51-BL50)))</f>
        <v>429.99999999999989</v>
      </c>
      <c r="BE51" s="14">
        <f>BD51*VLOOKUP('Données projet'!$B$11,Paramètres!$A$1:$I$89,3,0)*VLOOKUP('Données projet'!$B$11,Paramètres!$A$1:$I$89,5,0)</f>
        <v>201.23999999999995</v>
      </c>
      <c r="BF51" s="14">
        <f t="shared" si="37"/>
        <v>50.016584086333225</v>
      </c>
      <c r="BG51" s="22">
        <f t="shared" si="7"/>
        <v>437.60521728369696</v>
      </c>
      <c r="BH51" s="62">
        <f t="shared" si="8"/>
        <v>730.93855061703027</v>
      </c>
      <c r="BI51" s="62">
        <f ca="1">AVERAGE(OFFSET($BH$3,0,0,'Données projet'!$E$11+1,1))-AVERAGE(OFFSET($H$3,0,0,'Données projet'!$E$11+1,1))</f>
        <v>256.45505140629194</v>
      </c>
      <c r="BJ51" s="62">
        <f t="shared" si="38"/>
        <v>219.6985760545686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6.3437186997025519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6.3437186997025519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17.399999999999999</v>
      </c>
      <c r="BY51" s="13">
        <f>IF('Données projet'!$A$114&gt;35,BY50+BX51-CG50,IF(A51&lt;'Données projet'!$A$114,$BV$205^A51,IF(A51='Données projet'!$A$114,'Données projet'!$B$114,BY50+BX51-CG50)))</f>
        <v>379.2000000000001</v>
      </c>
      <c r="BZ51" s="14">
        <f>BY51*VLOOKUP('Données projet'!$B$12,Paramètres!$A$1:$I$89,3,0)*VLOOKUP('Données projet'!$B$12,Paramètres!$A$1:$I$89,5,0)</f>
        <v>226.76160000000007</v>
      </c>
      <c r="CA51" s="14">
        <f t="shared" si="39"/>
        <v>55.581886910575967</v>
      </c>
      <c r="CB51" s="22">
        <f t="shared" si="10"/>
        <v>491.74823970258649</v>
      </c>
      <c r="CC51" s="62">
        <f t="shared" si="11"/>
        <v>785.08157303591975</v>
      </c>
      <c r="CD51" s="62">
        <f ca="1">AVERAGE(OFFSET($CC$3,0,0,'Données projet'!$E$12+1,1))-AVERAGE(OFFSET($H$3,0,0,'Données projet'!$E$12+1,1))</f>
        <v>279.69031306919914</v>
      </c>
      <c r="CE51" s="62">
        <f t="shared" si="40"/>
        <v>297.01680128882509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15.431072341464979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12.133658982453346</v>
      </c>
      <c r="CN51" s="24">
        <f t="shared" si="12"/>
        <v>27.564731323918323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2">
        <f t="shared" si="32"/>
        <v>8.4099369579114391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70">
        <f t="shared" si="1"/>
        <v>354.57719020169571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17.8</v>
      </c>
      <c r="N52" s="14">
        <f>IF('Données projet'!$A$36&gt;35,N51+M52-V51,IF(A52&lt;'Données projet'!$A$36,$K$205^A52,IF(A52='Données projet'!$A$36,'Données projet'!$B$36,N51+M52-V51)))</f>
        <v>611.19999999999982</v>
      </c>
      <c r="O52" s="14">
        <f>N52*VLOOKUP('Données projet'!$B$9,Paramètres!$A$1:$I$89,3,0)*VLOOKUP('Données projet'!$B$9,Paramètres!$A$1:$I$89,5,0)</f>
        <v>341.66079999999988</v>
      </c>
      <c r="P52" s="14">
        <f t="shared" si="33"/>
        <v>79.842980844864144</v>
      </c>
      <c r="Q52" s="22">
        <f t="shared" si="53"/>
        <v>734.11908497147158</v>
      </c>
      <c r="R52" s="62">
        <f t="shared" si="0"/>
        <v>1027.452418304805</v>
      </c>
      <c r="S52" s="62">
        <f ca="1">AVERAGE(OFFSET($R$3,0,0,'Données projet'!$E$9+1,1))-AVERAGE(OFFSET($H$3,0,0,'Données projet'!$E$9+1,1))</f>
        <v>378.17323480030268</v>
      </c>
      <c r="T52" s="62">
        <f t="shared" si="34"/>
        <v>471.89239871617241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46.846707417133011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3.9875205869804571</v>
      </c>
      <c r="AC52" s="24">
        <f t="shared" si="3"/>
        <v>50.83422800411347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30.8</v>
      </c>
      <c r="AI52" s="14">
        <f>IF('Données projet'!$A$62&gt;35,AI51+AH52-AQ51,IF(A52&lt;'Données projet'!$A$62,$AF$205^A52,IF(A52='Données projet'!$A$62,'Données projet'!$B$62,AI51+AH52-AQ51)))</f>
        <v>313.20000000000022</v>
      </c>
      <c r="AJ52" s="14">
        <f>AI52*VLOOKUP('Données projet'!$B$10,Paramètres!$A$1:$I$89,3,0)*VLOOKUP('Données projet'!$B$10,Paramètres!$A$1:$I$89,5,0)</f>
        <v>254.06784000000019</v>
      </c>
      <c r="AK52" s="14">
        <f t="shared" si="35"/>
        <v>61.456187622750775</v>
      </c>
      <c r="AL52" s="22">
        <f t="shared" si="4"/>
        <v>549.53768144295793</v>
      </c>
      <c r="AM52" s="62">
        <f t="shared" si="5"/>
        <v>842.8710147762913</v>
      </c>
      <c r="AN52" s="62">
        <f ca="1">AVERAGE(OFFSET($AM$3,0,0,'Données projet'!$E$10+1,1))-AVERAGE(OFFSET($H$3,0,0,'Données projet'!$E$10+1,1))</f>
        <v>199.44889029107367</v>
      </c>
      <c r="AO52" s="62">
        <f t="shared" si="36"/>
        <v>292.30544856287457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15.397414418709159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15.397414418709159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17.5</v>
      </c>
      <c r="BD52" s="13">
        <f>IF('Données projet'!$A$88&gt;35,BD51+BC52-BL51,IF(A52&lt;'Données projet'!$A$88,$BA$205^A52,IF(A52='Données projet'!$A$88,'Données projet'!$B$88,BD51+BC52-BL51)))</f>
        <v>447.49999999999989</v>
      </c>
      <c r="BE52" s="14">
        <f>BD52*VLOOKUP('Données projet'!$B$11,Paramètres!$A$1:$I$89,3,0)*VLOOKUP('Données projet'!$B$11,Paramètres!$A$1:$I$89,5,0)</f>
        <v>209.42999999999995</v>
      </c>
      <c r="BF52" s="14">
        <f t="shared" si="37"/>
        <v>51.811006660589165</v>
      </c>
      <c r="BG52" s="22">
        <f t="shared" si="7"/>
        <v>454.99475326719266</v>
      </c>
      <c r="BH52" s="62">
        <f t="shared" si="8"/>
        <v>748.32808660052592</v>
      </c>
      <c r="BI52" s="62">
        <f ca="1">AVERAGE(OFFSET($BH$3,0,0,'Données projet'!$E$11+1,1))-AVERAGE(OFFSET($H$3,0,0,'Données projet'!$E$11+1,1))</f>
        <v>256.45505140629194</v>
      </c>
      <c r="BJ52" s="62">
        <f t="shared" si="38"/>
        <v>219.6985760545686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6.2193222452877315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6.2193222452877315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17.399999999999999</v>
      </c>
      <c r="BY52" s="13">
        <f>IF('Données projet'!$A$114&gt;35,BY51+BX52-CG51,IF(A52&lt;'Données projet'!$A$114,$BV$205^A52,IF(A52='Données projet'!$A$114,'Données projet'!$B$114,BY51+BX52-CG51)))</f>
        <v>396.60000000000008</v>
      </c>
      <c r="BZ52" s="14">
        <f>BY52*VLOOKUP('Données projet'!$B$12,Paramètres!$A$1:$I$89,3,0)*VLOOKUP('Données projet'!$B$12,Paramètres!$A$1:$I$89,5,0)</f>
        <v>237.16680000000005</v>
      </c>
      <c r="CA52" s="14">
        <f t="shared" si="39"/>
        <v>57.829533038824259</v>
      </c>
      <c r="CB52" s="22">
        <f t="shared" si="10"/>
        <v>513.78528004261909</v>
      </c>
      <c r="CC52" s="62">
        <f t="shared" si="11"/>
        <v>807.11861337595246</v>
      </c>
      <c r="CD52" s="62">
        <f ca="1">AVERAGE(OFFSET($CC$3,0,0,'Données projet'!$E$12+1,1))-AVERAGE(OFFSET($H$3,0,0,'Données projet'!$E$12+1,1))</f>
        <v>279.69031306919914</v>
      </c>
      <c r="CE52" s="62">
        <f t="shared" si="40"/>
        <v>297.01680128882509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15.128478424873618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8.579792547097826</v>
      </c>
      <c r="CN52" s="24">
        <f t="shared" si="12"/>
        <v>23.708270971971444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2">
        <f t="shared" si="32"/>
        <v>8.5614116595512399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70">
        <f t="shared" si="1"/>
        <v>355.79195864038502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629</v>
      </c>
      <c r="L53" s="13">
        <f>VLOOKUP(A53,'Données projet'!$A$35:$I$55,9,0)</f>
        <v>17.8</v>
      </c>
      <c r="M53" s="13">
        <f t="array" ref="M53">INDEX(L:L,MIN(IF(ISNUMBER(L53:L249),ROW(L53:L249),"")))</f>
        <v>17.8</v>
      </c>
      <c r="N53" s="14">
        <f>IF('Données projet'!$A$36&gt;35,N52+M53-V52,IF(A53&lt;'Données projet'!$A$36,$K$205^A53,IF(A53='Données projet'!$A$36,'Données projet'!$B$36,N52+M53-V52)))</f>
        <v>628.99999999999977</v>
      </c>
      <c r="O53" s="14">
        <f>N53*VLOOKUP('Données projet'!$B$9,Paramètres!$A$1:$I$89,3,0)*VLOOKUP('Données projet'!$B$9,Paramètres!$A$1:$I$89,5,0)</f>
        <v>351.61099999999988</v>
      </c>
      <c r="P53" s="14">
        <f t="shared" si="33"/>
        <v>81.89414415728541</v>
      </c>
      <c r="Q53" s="22">
        <f t="shared" si="53"/>
        <v>755.02145940727178</v>
      </c>
      <c r="R53" s="62">
        <f t="shared" si="0"/>
        <v>1048.354792740605</v>
      </c>
      <c r="S53" s="62">
        <f ca="1">AVERAGE(OFFSET($R$3,0,0,'Données projet'!$E$9+1,1))-AVERAGE(OFFSET($H$3,0,0,'Données projet'!$E$9+1,1))</f>
        <v>378.17323480030268</v>
      </c>
      <c r="T53" s="62">
        <f t="shared" si="34"/>
        <v>471.89239871617241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48</v>
      </c>
      <c r="W53" s="17">
        <f>IF(ISNA(VLOOKUP(A53,'Données projet'!$A$35:$I$55,5,0)),0%,VLOOKUP(A53,'Données projet'!$A$35:$I$55,5,0)*VLOOKUP('Données projet'!$B$9,Paramètres!$A$1:$I$89,7,0))</f>
        <v>0.44000000000000006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0.2</v>
      </c>
      <c r="Z53" s="23">
        <f>EXP(-LN(2)/35)*Z52+(1-EXP(-LN(2)/35))/(LN(2)/35)*V53*W53*VLOOKUP('Données projet'!$B$9,Paramètres!$A$1:$I$89,3,0)*0.475*44/12</f>
        <v>61.589598144428798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8.8956142486208698</v>
      </c>
      <c r="AC53" s="24">
        <f t="shared" si="3"/>
        <v>70.485212393049665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344</v>
      </c>
      <c r="AG53" s="13">
        <f>VLOOKUP(A53,'Données projet'!$A$61:$I$81,9,0)</f>
        <v>30.8</v>
      </c>
      <c r="AH53" s="13">
        <f t="array" ref="AH53">INDEX(AG:AG,MIN(IF(ISNUMBER(AG53:AG249),ROW(AG53:AG249),"")))</f>
        <v>30.8</v>
      </c>
      <c r="AI53" s="14">
        <f>IF('Données projet'!$A$62&gt;35,AI52+AH53-AQ52,IF(A53&lt;'Données projet'!$A$62,$AF$205^A53,IF(A53='Données projet'!$A$62,'Données projet'!$B$62,AI52+AH53-AQ52)))</f>
        <v>344.00000000000023</v>
      </c>
      <c r="AJ53" s="14">
        <f>AI53*VLOOKUP('Données projet'!$B$10,Paramètres!$A$1:$I$89,3,0)*VLOOKUP('Données projet'!$B$10,Paramètres!$A$1:$I$89,5,0)</f>
        <v>279.05280000000022</v>
      </c>
      <c r="AK53" s="14">
        <f t="shared" si="35"/>
        <v>66.766798832586389</v>
      </c>
      <c r="AL53" s="22">
        <f t="shared" si="4"/>
        <v>602.30246796675499</v>
      </c>
      <c r="AM53" s="62">
        <f t="shared" si="5"/>
        <v>895.63580130008836</v>
      </c>
      <c r="AN53" s="62">
        <f ca="1">AVERAGE(OFFSET($AM$3,0,0,'Données projet'!$E$10+1,1))-AVERAGE(OFFSET($H$3,0,0,'Données projet'!$E$10+1,1))</f>
        <v>199.44889029107367</v>
      </c>
      <c r="AO53" s="62">
        <f t="shared" si="36"/>
        <v>292.30544856287457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344</v>
      </c>
      <c r="AR53" s="17">
        <f>IF(ISNA(VLOOKUP(A53,'Données projet'!$A$61:$I$81,5,0)),0%,VLOOKUP(A53,'Données projet'!$A$61:$I$81,5,0)*VLOOKUP('Données projet'!$B$10,Paramètres!$A$1:$I$89,7,0))</f>
        <v>0.27950000000000003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101.31692753429596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101.31692753429596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465</v>
      </c>
      <c r="BB53" s="13">
        <f>VLOOKUP(A53,'Données projet'!$A$87:$I$107,9,0)</f>
        <v>17.5</v>
      </c>
      <c r="BC53" s="13">
        <f t="array" ref="BC53">INDEX(BB:BB,MIN(IF(ISNUMBER(BB53:BB249),ROW(BB53:BB249),"")))</f>
        <v>17.5</v>
      </c>
      <c r="BD53" s="13">
        <f>IF('Données projet'!$A$88&gt;35,BD52+BC53-BL52,IF(A53&lt;'Données projet'!$A$88,$BA$205^A53,IF(A53='Données projet'!$A$88,'Données projet'!$B$88,BD52+BC53-BL52)))</f>
        <v>464.99999999999989</v>
      </c>
      <c r="BE53" s="14">
        <f>BD53*VLOOKUP('Données projet'!$B$11,Paramètres!$A$1:$I$89,3,0)*VLOOKUP('Données projet'!$B$11,Paramètres!$A$1:$I$89,5,0)</f>
        <v>217.61999999999995</v>
      </c>
      <c r="BF53" s="14">
        <f t="shared" si="37"/>
        <v>53.597277471320098</v>
      </c>
      <c r="BG53" s="22">
        <f t="shared" si="7"/>
        <v>472.37009159588234</v>
      </c>
      <c r="BH53" s="62">
        <f t="shared" si="8"/>
        <v>765.70342492921566</v>
      </c>
      <c r="BI53" s="62">
        <f ca="1">AVERAGE(OFFSET($BH$3,0,0,'Données projet'!$E$11+1,1))-AVERAGE(OFFSET($H$3,0,0,'Données projet'!$E$11+1,1))</f>
        <v>256.45505140629194</v>
      </c>
      <c r="BJ53" s="62">
        <f t="shared" si="38"/>
        <v>219.6985760545686</v>
      </c>
      <c r="BK53" s="16">
        <f>IF(ISNA(VLOOKUP(A53,'Données projet'!$A$87:$I$107,3,0)),0,VLOOKUP(A53,'Données projet'!$A$87:$I$107,3,0))</f>
        <v>4</v>
      </c>
      <c r="BL53" s="16">
        <f>IF(ISNA(VLOOKUP(A53,'Données projet'!$A$87:$I$107,4,0)),0,VLOOKUP(A53,'Données projet'!$A$87:$I$107,4,0))</f>
        <v>60</v>
      </c>
      <c r="BM53" s="17">
        <f>IF(ISNA(VLOOKUP(A53,'Données projet'!$A$87:$I$107,5,0)),0%,VLOOKUP(A53,'Données projet'!$A$87:$I$107,5,0)*VLOOKUP('Données projet'!$B$11,Paramètres!$A$1:$I$89,7,0))</f>
        <v>0.1925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13.267976636902528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13.267976636902528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414</v>
      </c>
      <c r="BW53" s="13">
        <f>VLOOKUP(A53,'Données projet'!$A$113:$I$133,9,0)</f>
        <v>17.399999999999999</v>
      </c>
      <c r="BX53" s="13">
        <f t="array" ref="BX53">INDEX(BW:BW,MIN(IF(ISNUMBER(BW53:BW249),ROW(BW53:BW249),"")))</f>
        <v>17.399999999999999</v>
      </c>
      <c r="BY53" s="13">
        <f>IF('Données projet'!$A$114&gt;35,BY52+BX53-CG52,IF(A53&lt;'Données projet'!$A$114,$BV$205^A53,IF(A53='Données projet'!$A$114,'Données projet'!$B$114,BY52+BX53-CG52)))</f>
        <v>414.00000000000006</v>
      </c>
      <c r="BZ53" s="14">
        <f>BY53*VLOOKUP('Données projet'!$B$12,Paramètres!$A$1:$I$89,3,0)*VLOOKUP('Données projet'!$B$12,Paramètres!$A$1:$I$89,5,0)</f>
        <v>247.57200000000003</v>
      </c>
      <c r="CA53" s="14">
        <f t="shared" si="39"/>
        <v>60.065726249156576</v>
      </c>
      <c r="CB53" s="22">
        <f t="shared" si="10"/>
        <v>535.80237321728112</v>
      </c>
      <c r="CC53" s="62">
        <f t="shared" si="11"/>
        <v>829.13570655061449</v>
      </c>
      <c r="CD53" s="62">
        <f ca="1">AVERAGE(OFFSET($CC$3,0,0,'Données projet'!$E$12+1,1))-AVERAGE(OFFSET($H$3,0,0,'Données projet'!$E$12+1,1))</f>
        <v>279.69031306919914</v>
      </c>
      <c r="CE53" s="62">
        <f t="shared" si="40"/>
        <v>297.01680128882509</v>
      </c>
      <c r="CF53" s="16">
        <f>IF(ISNA(VLOOKUP(A53,'Données projet'!$A$113:$I$133,3,0)),0,VLOOKUP(A53,'Données projet'!$A$113:$I$133,3,0))</f>
        <v>8</v>
      </c>
      <c r="CG53" s="16">
        <f>IF(ISNA(VLOOKUP(A53,'Données projet'!$A$113:$I$133,4,0)),0,VLOOKUP(A53,'Données projet'!$A$113:$I$133,4,0))</f>
        <v>47</v>
      </c>
      <c r="CH53" s="17">
        <f>IF(ISNA(VLOOKUP(A53,'Données projet'!$A$113:$I$133,5,0)),0%,VLOOKUP(A53,'Données projet'!$A$113:$I$133,5,0)*VLOOKUP('Données projet'!$B$12,Paramètres!$A$1:$I$89,7,0))</f>
        <v>0.13500000000000001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0.7</v>
      </c>
      <c r="CK53" s="23">
        <f>EXP(-LN(2)/35)*CK52+(1-EXP(-LN(2)/35))/(LN(2)/35)*CG53*CH53*VLOOKUP('Données projet'!$B$12,Paramètres!$A$1:$I$89,3,0)*0.475*44/12</f>
        <v>19.865214969341352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28.342594159221868</v>
      </c>
      <c r="CN53" s="24">
        <f t="shared" si="12"/>
        <v>48.20780912856322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2">
        <f t="shared" si="32"/>
        <v>8.7125341134088217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70">
        <f t="shared" si="1"/>
        <v>357.00611358085365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13.8</v>
      </c>
      <c r="N54" s="14">
        <f>IF('Données projet'!$A$36&gt;35,N53+M54-V53,IF(A54&lt;'Données projet'!$A$36,$K$205^A54,IF(A54='Données projet'!$A$36,'Données projet'!$B$36,N53+M54-V53)))</f>
        <v>594.79999999999973</v>
      </c>
      <c r="O54" s="14">
        <f>N54*VLOOKUP('Données projet'!$B$9,Paramètres!$A$1:$I$89,3,0)*VLOOKUP('Données projet'!$B$9,Paramètres!$A$1:$I$89,5,0)</f>
        <v>332.49319999999983</v>
      </c>
      <c r="P54" s="14">
        <f t="shared" si="33"/>
        <v>77.946984490524827</v>
      </c>
      <c r="Q54" s="22">
        <f t="shared" si="53"/>
        <v>714.84998798766367</v>
      </c>
      <c r="R54" s="62">
        <f t="shared" si="0"/>
        <v>1008.183321320997</v>
      </c>
      <c r="S54" s="62">
        <f ca="1">AVERAGE(OFFSET($R$3,0,0,'Données projet'!$E$9+1,1))-AVERAGE(OFFSET($H$3,0,0,'Données projet'!$E$9+1,1))</f>
        <v>378.17323480030268</v>
      </c>
      <c r="T54" s="62">
        <f t="shared" si="34"/>
        <v>471.89239871617241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60.381863690762088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6.2901491580194921</v>
      </c>
      <c r="AC54" s="24">
        <f t="shared" si="3"/>
        <v>66.672012848781577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2.2737367544323206E-13</v>
      </c>
      <c r="AJ54" s="14">
        <f>AI54*VLOOKUP('Données projet'!$B$10,Paramètres!$A$1:$I$89,3,0)*VLOOKUP('Données projet'!$B$10,Paramètres!$A$1:$I$89,5,0)</f>
        <v>1.8444552551954985E-13</v>
      </c>
      <c r="AK54" s="14">
        <f t="shared" si="35"/>
        <v>2.580317449479618E-12</v>
      </c>
      <c r="AL54" s="22">
        <f t="shared" si="4"/>
        <v>4.8152955147902165E-12</v>
      </c>
      <c r="AM54" s="62">
        <f t="shared" si="5"/>
        <v>293.33333333333815</v>
      </c>
      <c r="AN54" s="62">
        <f ca="1">AVERAGE(OFFSET($AM$3,0,0,'Données projet'!$E$10+1,1))-AVERAGE(OFFSET($H$3,0,0,'Données projet'!$E$10+1,1))</f>
        <v>199.44889029107367</v>
      </c>
      <c r="AO54" s="62">
        <f t="shared" si="36"/>
        <v>292.30544856287457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99.330164382572235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99.330164382572235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19.5</v>
      </c>
      <c r="BD54" s="13">
        <f>IF('Données projet'!$A$88&gt;35,BD53+BC54-BL53,IF(A54&lt;'Données projet'!$A$88,$BA$205^A54,IF(A54='Données projet'!$A$88,'Données projet'!$B$88,BD53+BC54-BL53)))</f>
        <v>424.49999999999989</v>
      </c>
      <c r="BE54" s="14">
        <f>BD54*VLOOKUP('Données projet'!$B$11,Paramètres!$A$1:$I$89,3,0)*VLOOKUP('Données projet'!$B$11,Paramètres!$A$1:$I$89,5,0)</f>
        <v>198.66599999999997</v>
      </c>
      <c r="BF54" s="14">
        <f t="shared" si="37"/>
        <v>49.450880810128595</v>
      </c>
      <c r="BG54" s="22">
        <f t="shared" si="7"/>
        <v>432.13690074430724</v>
      </c>
      <c r="BH54" s="62">
        <f t="shared" si="8"/>
        <v>725.4702340776405</v>
      </c>
      <c r="BI54" s="62">
        <f ca="1">AVERAGE(OFFSET($BH$3,0,0,'Données projet'!$E$11+1,1))-AVERAGE(OFFSET($H$3,0,0,'Données projet'!$E$11+1,1))</f>
        <v>256.45505140629194</v>
      </c>
      <c r="BJ54" s="62">
        <f t="shared" si="38"/>
        <v>219.6985760545686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13.007799707719533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13.007799707719533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19.2</v>
      </c>
      <c r="BY54" s="13">
        <f>IF('Données projet'!$A$114&gt;35,BY53+BX54-CG53,IF(A54&lt;'Données projet'!$A$114,$BV$205^A54,IF(A54='Données projet'!$A$114,'Données projet'!$B$114,BY53+BX54-CG53)))</f>
        <v>386.20000000000005</v>
      </c>
      <c r="BZ54" s="14">
        <f>BY54*VLOOKUP('Données projet'!$B$12,Paramètres!$A$1:$I$89,3,0)*VLOOKUP('Données projet'!$B$12,Paramètres!$A$1:$I$89,5,0)</f>
        <v>230.94760000000002</v>
      </c>
      <c r="CA54" s="14">
        <f t="shared" si="39"/>
        <v>56.487525751065782</v>
      </c>
      <c r="CB54" s="22">
        <f t="shared" si="10"/>
        <v>500.61617734977295</v>
      </c>
      <c r="CC54" s="62">
        <f t="shared" si="11"/>
        <v>793.94951068310627</v>
      </c>
      <c r="CD54" s="62">
        <f ca="1">AVERAGE(OFFSET($CC$3,0,0,'Données projet'!$E$12+1,1))-AVERAGE(OFFSET($H$3,0,0,'Données projet'!$E$12+1,1))</f>
        <v>279.69031306919914</v>
      </c>
      <c r="CE54" s="62">
        <f t="shared" si="40"/>
        <v>297.01680128882509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19.475670220377285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20.041240526404017</v>
      </c>
      <c r="CN54" s="24">
        <f t="shared" si="12"/>
        <v>39.516910746781306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2">
        <f t="shared" si="32"/>
        <v>8.8633120224605459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70">
        <f t="shared" si="1"/>
        <v>358.21966843911872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13.8</v>
      </c>
      <c r="N55" s="14">
        <f>IF('Données projet'!$A$36&gt;35,N54+M55-V54,IF(A55&lt;'Données projet'!$A$36,$K$205^A55,IF(A55='Données projet'!$A$36,'Données projet'!$B$36,N54+M55-V54)))</f>
        <v>608.59999999999968</v>
      </c>
      <c r="O55" s="14">
        <f>N55*VLOOKUP('Données projet'!$B$9,Paramètres!$A$1:$I$89,3,0)*VLOOKUP('Données projet'!$B$9,Paramètres!$A$1:$I$89,5,0)</f>
        <v>340.20739999999984</v>
      </c>
      <c r="P55" s="14">
        <f t="shared" si="33"/>
        <v>79.542795053996059</v>
      </c>
      <c r="Q55" s="22">
        <f t="shared" si="53"/>
        <v>731.06492305237623</v>
      </c>
      <c r="R55" s="62">
        <f t="shared" si="0"/>
        <v>1024.3982563857096</v>
      </c>
      <c r="S55" s="62">
        <f ca="1">AVERAGE(OFFSET($R$3,0,0,'Données projet'!$E$9+1,1))-AVERAGE(OFFSET($H$3,0,0,'Données projet'!$E$9+1,1))</f>
        <v>378.17323480030268</v>
      </c>
      <c r="T55" s="62">
        <f t="shared" si="34"/>
        <v>471.89239871617241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59.197812173086504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4.4478071243104358</v>
      </c>
      <c r="AC55" s="24">
        <f t="shared" si="3"/>
        <v>63.645619297396941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2.2737367544323206E-13</v>
      </c>
      <c r="AJ55" s="14">
        <f>AI55*VLOOKUP('Données projet'!$B$10,Paramètres!$A$1:$I$89,3,0)*VLOOKUP('Données projet'!$B$10,Paramètres!$A$1:$I$89,5,0)</f>
        <v>1.8444552551954985E-13</v>
      </c>
      <c r="AK55" s="14">
        <f t="shared" si="35"/>
        <v>2.580317449479618E-12</v>
      </c>
      <c r="AL55" s="22">
        <f t="shared" si="4"/>
        <v>4.8152955147902165E-12</v>
      </c>
      <c r="AM55" s="62">
        <f t="shared" si="5"/>
        <v>293.33333333333815</v>
      </c>
      <c r="AN55" s="62">
        <f ca="1">AVERAGE(OFFSET($AM$3,0,0,'Données projet'!$E$10+1,1))-AVERAGE(OFFSET($H$3,0,0,'Données projet'!$E$10+1,1))</f>
        <v>199.44889029107367</v>
      </c>
      <c r="AO55" s="62">
        <f t="shared" si="36"/>
        <v>292.30544856287457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97.382360444447954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97.382360444447954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19.5</v>
      </c>
      <c r="BD55" s="13">
        <f>IF('Données projet'!$A$88&gt;35,BD54+BC55-BL54,IF(A55&lt;'Données projet'!$A$88,$BA$205^A55,IF(A55='Données projet'!$A$88,'Données projet'!$B$88,BD54+BC55-BL54)))</f>
        <v>443.99999999999989</v>
      </c>
      <c r="BE55" s="14">
        <f>BD55*VLOOKUP('Données projet'!$B$11,Paramètres!$A$1:$I$89,3,0)*VLOOKUP('Données projet'!$B$11,Paramètres!$A$1:$I$89,5,0)</f>
        <v>207.79199999999994</v>
      </c>
      <c r="BF55" s="14">
        <f t="shared" si="37"/>
        <v>51.452785725007864</v>
      </c>
      <c r="BG55" s="22">
        <f t="shared" si="7"/>
        <v>451.51800180438863</v>
      </c>
      <c r="BH55" s="62">
        <f t="shared" si="8"/>
        <v>744.85133513772189</v>
      </c>
      <c r="BI55" s="62">
        <f ca="1">AVERAGE(OFFSET($BH$3,0,0,'Données projet'!$E$11+1,1))-AVERAGE(OFFSET($H$3,0,0,'Données projet'!$E$11+1,1))</f>
        <v>256.45505140629194</v>
      </c>
      <c r="BJ55" s="62">
        <f t="shared" si="38"/>
        <v>219.6985760545686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12.752724689425559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12.752724689425559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19.2</v>
      </c>
      <c r="BY55" s="13">
        <f>IF('Données projet'!$A$114&gt;35,BY54+BX55-CG54,IF(A55&lt;'Données projet'!$A$114,$BV$205^A55,IF(A55='Données projet'!$A$114,'Données projet'!$B$114,BY54+BX55-CG54)))</f>
        <v>405.40000000000003</v>
      </c>
      <c r="BZ55" s="14">
        <f>BY55*VLOOKUP('Données projet'!$B$12,Paramètres!$A$1:$I$89,3,0)*VLOOKUP('Données projet'!$B$12,Paramètres!$A$1:$I$89,5,0)</f>
        <v>242.42920000000007</v>
      </c>
      <c r="CA55" s="14">
        <f t="shared" si="39"/>
        <v>58.961877963646693</v>
      </c>
      <c r="CB55" s="22">
        <f t="shared" si="10"/>
        <v>524.92279412001812</v>
      </c>
      <c r="CC55" s="62">
        <f t="shared" si="11"/>
        <v>818.25612745335138</v>
      </c>
      <c r="CD55" s="62">
        <f ca="1">AVERAGE(OFFSET($CC$3,0,0,'Données projet'!$E$12+1,1))-AVERAGE(OFFSET($H$3,0,0,'Données projet'!$E$12+1,1))</f>
        <v>279.69031306919914</v>
      </c>
      <c r="CE55" s="62">
        <f t="shared" si="40"/>
        <v>297.01680128882509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19.093764206341568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14.171297079610936</v>
      </c>
      <c r="CN55" s="24">
        <f t="shared" si="12"/>
        <v>33.265061285952505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2">
        <f t="shared" si="32"/>
        <v>9.0137527764644076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70">
        <f t="shared" si="1"/>
        <v>359.43263608567548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13.8</v>
      </c>
      <c r="N56" s="14">
        <f>IF('Données projet'!$A$36&gt;35,N55+M56-V55,IF(A56&lt;'Données projet'!$A$36,$K$205^A56,IF(A56='Données projet'!$A$36,'Données projet'!$B$36,N55+M56-V55)))</f>
        <v>622.39999999999964</v>
      </c>
      <c r="O56" s="14">
        <f>N56*VLOOKUP('Données projet'!$B$9,Paramètres!$A$1:$I$89,3,0)*VLOOKUP('Données projet'!$B$9,Paramètres!$A$1:$I$89,5,0)</f>
        <v>347.92159999999978</v>
      </c>
      <c r="P56" s="14">
        <f t="shared" si="33"/>
        <v>81.134398856989449</v>
      </c>
      <c r="Q56" s="22">
        <f t="shared" si="53"/>
        <v>747.27253134258956</v>
      </c>
      <c r="R56" s="62">
        <f t="shared" si="0"/>
        <v>1040.6058646759229</v>
      </c>
      <c r="S56" s="62">
        <f ca="1">AVERAGE(OFFSET($R$3,0,0,'Données projet'!$E$9+1,1))-AVERAGE(OFFSET($H$3,0,0,'Données projet'!$E$9+1,1))</f>
        <v>378.17323480030268</v>
      </c>
      <c r="T56" s="62">
        <f t="shared" si="34"/>
        <v>471.89239871617241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58.036979183472425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3.1450745790097465</v>
      </c>
      <c r="AC56" s="24">
        <f t="shared" si="3"/>
        <v>61.18205376248217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2.2737367544323206E-13</v>
      </c>
      <c r="AJ56" s="14">
        <f>AI56*VLOOKUP('Données projet'!$B$10,Paramètres!$A$1:$I$89,3,0)*VLOOKUP('Données projet'!$B$10,Paramètres!$A$1:$I$89,5,0)</f>
        <v>1.8444552551954985E-13</v>
      </c>
      <c r="AK56" s="14">
        <f t="shared" si="35"/>
        <v>2.580317449479618E-12</v>
      </c>
      <c r="AL56" s="22">
        <f t="shared" si="4"/>
        <v>4.8152955147902165E-12</v>
      </c>
      <c r="AM56" s="62">
        <f t="shared" si="5"/>
        <v>293.33333333333815</v>
      </c>
      <c r="AN56" s="62">
        <f ca="1">AVERAGE(OFFSET($AM$3,0,0,'Données projet'!$E$10+1,1))-AVERAGE(OFFSET($H$3,0,0,'Données projet'!$E$10+1,1))</f>
        <v>199.44889029107367</v>
      </c>
      <c r="AO56" s="62">
        <f t="shared" si="36"/>
        <v>292.30544856287457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95.472751753507197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95.472751753507197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19.5</v>
      </c>
      <c r="BD56" s="13">
        <f>IF('Données projet'!$A$88&gt;35,BD55+BC56-BL55,IF(A56&lt;'Données projet'!$A$88,$BA$205^A56,IF(A56='Données projet'!$A$88,'Données projet'!$B$88,BD55+BC56-BL55)))</f>
        <v>463.49999999999989</v>
      </c>
      <c r="BE56" s="14">
        <f>BD56*VLOOKUP('Données projet'!$B$11,Paramètres!$A$1:$I$89,3,0)*VLOOKUP('Données projet'!$B$11,Paramètres!$A$1:$I$89,5,0)</f>
        <v>216.91799999999995</v>
      </c>
      <c r="BF56" s="14">
        <f t="shared" si="37"/>
        <v>53.444479225346448</v>
      </c>
      <c r="BG56" s="22">
        <f t="shared" si="7"/>
        <v>470.88131798414497</v>
      </c>
      <c r="BH56" s="62">
        <f t="shared" si="8"/>
        <v>764.21465131747823</v>
      </c>
      <c r="BI56" s="62">
        <f ca="1">AVERAGE(OFFSET($BH$3,0,0,'Données projet'!$E$11+1,1))-AVERAGE(OFFSET($H$3,0,0,'Données projet'!$E$11+1,1))</f>
        <v>256.45505140629194</v>
      </c>
      <c r="BJ56" s="62">
        <f t="shared" si="38"/>
        <v>219.6985760545686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12.502651536659931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12.502651536659931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19.2</v>
      </c>
      <c r="BY56" s="13">
        <f>IF('Données projet'!$A$114&gt;35,BY55+BX56-CG55,IF(A56&lt;'Données projet'!$A$114,$BV$205^A56,IF(A56='Données projet'!$A$114,'Données projet'!$B$114,BY55+BX56-CG55)))</f>
        <v>424.6</v>
      </c>
      <c r="BZ56" s="14">
        <f>BY56*VLOOKUP('Données projet'!$B$12,Paramètres!$A$1:$I$89,3,0)*VLOOKUP('Données projet'!$B$12,Paramètres!$A$1:$I$89,5,0)</f>
        <v>253.91080000000005</v>
      </c>
      <c r="CA56" s="14">
        <f t="shared" si="39"/>
        <v>61.422621781167194</v>
      </c>
      <c r="CB56" s="22">
        <f t="shared" si="10"/>
        <v>549.20570960219959</v>
      </c>
      <c r="CC56" s="62">
        <f t="shared" si="11"/>
        <v>842.53904293553296</v>
      </c>
      <c r="CD56" s="62">
        <f ca="1">AVERAGE(OFFSET($CC$3,0,0,'Données projet'!$E$12+1,1))-AVERAGE(OFFSET($H$3,0,0,'Données projet'!$E$12+1,1))</f>
        <v>279.69031306919914</v>
      </c>
      <c r="CE56" s="62">
        <f t="shared" si="40"/>
        <v>297.01680128882509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18.719347136301423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10.02062026320201</v>
      </c>
      <c r="CN56" s="24">
        <f t="shared" si="12"/>
        <v>28.739967399503435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2">
        <f t="shared" si="32"/>
        <v>9.163863470361429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70">
        <f t="shared" si="1"/>
        <v>360.64502887754611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13.8</v>
      </c>
      <c r="N57" s="14">
        <f>IF('Données projet'!$A$36&gt;35,N56+M57-V56,IF(A57&lt;'Données projet'!$A$36,$K$205^A57,IF(A57='Données projet'!$A$36,'Données projet'!$B$36,N56+M57-V56)))</f>
        <v>636.19999999999959</v>
      </c>
      <c r="O57" s="14">
        <f>N57*VLOOKUP('Données projet'!$B$9,Paramètres!$A$1:$I$89,3,0)*VLOOKUP('Données projet'!$B$9,Paramètres!$A$1:$I$89,5,0)</f>
        <v>355.63579999999973</v>
      </c>
      <c r="P57" s="14">
        <f t="shared" si="33"/>
        <v>82.721899912765039</v>
      </c>
      <c r="Q57" s="22">
        <f t="shared" si="53"/>
        <v>763.47299401473185</v>
      </c>
      <c r="R57" s="62">
        <f t="shared" si="0"/>
        <v>1056.8063273480652</v>
      </c>
      <c r="S57" s="62">
        <f ca="1">AVERAGE(OFFSET($R$3,0,0,'Données projet'!$E$9+1,1))-AVERAGE(OFFSET($H$3,0,0,'Données projet'!$E$9+1,1))</f>
        <v>378.17323480030268</v>
      </c>
      <c r="T57" s="62">
        <f t="shared" si="34"/>
        <v>471.89239871617241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56.898909420746463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2.2239035621552179</v>
      </c>
      <c r="AC57" s="24">
        <f t="shared" si="3"/>
        <v>59.122812982901678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2.2737367544323206E-13</v>
      </c>
      <c r="AJ57" s="14">
        <f>AI57*VLOOKUP('Données projet'!$B$10,Paramètres!$A$1:$I$89,3,0)*VLOOKUP('Données projet'!$B$10,Paramètres!$A$1:$I$89,5,0)</f>
        <v>1.8444552551954985E-13</v>
      </c>
      <c r="AK57" s="14">
        <f t="shared" si="35"/>
        <v>2.580317449479618E-12</v>
      </c>
      <c r="AL57" s="22">
        <f t="shared" si="4"/>
        <v>4.8152955147902165E-12</v>
      </c>
      <c r="AM57" s="62">
        <f t="shared" si="5"/>
        <v>293.33333333333815</v>
      </c>
      <c r="AN57" s="62">
        <f ca="1">AVERAGE(OFFSET($AM$3,0,0,'Données projet'!$E$10+1,1))-AVERAGE(OFFSET($H$3,0,0,'Données projet'!$E$10+1,1))</f>
        <v>199.44889029107367</v>
      </c>
      <c r="AO57" s="62">
        <f t="shared" si="36"/>
        <v>292.30544856287457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93.600589324249498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93.600589324249498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19.5</v>
      </c>
      <c r="BD57" s="13">
        <f>IF('Données projet'!$A$88&gt;35,BD56+BC57-BL56,IF(A57&lt;'Données projet'!$A$88,$BA$205^A57,IF(A57='Données projet'!$A$88,'Données projet'!$B$88,BD56+BC57-BL56)))</f>
        <v>482.99999999999989</v>
      </c>
      <c r="BE57" s="14">
        <f>BD57*VLOOKUP('Données projet'!$B$11,Paramètres!$A$1:$I$89,3,0)*VLOOKUP('Données projet'!$B$11,Paramètres!$A$1:$I$89,5,0)</f>
        <v>226.04399999999993</v>
      </c>
      <c r="BF57" s="14">
        <f t="shared" si="37"/>
        <v>55.426440039423454</v>
      </c>
      <c r="BG57" s="22">
        <f t="shared" si="7"/>
        <v>490.22768306866232</v>
      </c>
      <c r="BH57" s="62">
        <f t="shared" si="8"/>
        <v>783.56101640199563</v>
      </c>
      <c r="BI57" s="62">
        <f ca="1">AVERAGE(OFFSET($BH$3,0,0,'Données projet'!$E$11+1,1))-AVERAGE(OFFSET($H$3,0,0,'Données projet'!$E$11+1,1))</f>
        <v>256.45505140629194</v>
      </c>
      <c r="BJ57" s="62">
        <f t="shared" si="38"/>
        <v>219.6985760545686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12.257482165890476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12.257482165890476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19.2</v>
      </c>
      <c r="BY57" s="13">
        <f>IF('Données projet'!$A$114&gt;35,BY56+BX57-CG56,IF(A57&lt;'Données projet'!$A$114,$BV$205^A57,IF(A57='Données projet'!$A$114,'Données projet'!$B$114,BY56+BX57-CG56)))</f>
        <v>443.8</v>
      </c>
      <c r="BZ57" s="14">
        <f>BY57*VLOOKUP('Données projet'!$B$12,Paramètres!$A$1:$I$89,3,0)*VLOOKUP('Données projet'!$B$12,Paramètres!$A$1:$I$89,5,0)</f>
        <v>265.39240000000007</v>
      </c>
      <c r="CA57" s="14">
        <f t="shared" si="39"/>
        <v>63.870442862391819</v>
      </c>
      <c r="CB57" s="22">
        <f t="shared" si="10"/>
        <v>573.46611798533252</v>
      </c>
      <c r="CC57" s="62">
        <f t="shared" si="11"/>
        <v>866.79945131866589</v>
      </c>
      <c r="CD57" s="62">
        <f ca="1">AVERAGE(OFFSET($CC$3,0,0,'Données projet'!$E$12+1,1))-AVERAGE(OFFSET($H$3,0,0,'Données projet'!$E$12+1,1))</f>
        <v>279.69031306919914</v>
      </c>
      <c r="CE57" s="62">
        <f t="shared" si="40"/>
        <v>297.01680128882509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18.352272156632903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7.0856485398054687</v>
      </c>
      <c r="CN57" s="24">
        <f t="shared" si="12"/>
        <v>25.437920696438372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2">
        <f t="shared" si="32"/>
        <v>9.3136509212754071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70">
        <f t="shared" si="1"/>
        <v>361.85685868788795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650</v>
      </c>
      <c r="L58" s="13">
        <f>VLOOKUP(A58,'Données projet'!$A$35:$I$55,9,0)</f>
        <v>13.8</v>
      </c>
      <c r="M58" s="13">
        <f t="array" ref="M58">INDEX(L:L,MIN(IF(ISNUMBER(L58:L254),ROW(L58:L254),"")))</f>
        <v>13.8</v>
      </c>
      <c r="N58" s="14">
        <f>IF('Données projet'!$A$36&gt;35,N57+M58-V57,IF(A58&lt;'Données projet'!$A$36,$K$205^A58,IF(A58='Données projet'!$A$36,'Données projet'!$B$36,N57+M58-V57)))</f>
        <v>649.99999999999955</v>
      </c>
      <c r="O58" s="14">
        <f>N58*VLOOKUP('Données projet'!$B$9,Paramètres!$A$1:$I$89,3,0)*VLOOKUP('Données projet'!$B$9,Paramètres!$A$1:$I$89,5,0)</f>
        <v>363.34999999999974</v>
      </c>
      <c r="P58" s="14">
        <f t="shared" si="33"/>
        <v>84.305397464498199</v>
      </c>
      <c r="Q58" s="22">
        <f t="shared" si="53"/>
        <v>779.66648391733395</v>
      </c>
      <c r="R58" s="62">
        <f t="shared" si="0"/>
        <v>1072.9998172506673</v>
      </c>
      <c r="S58" s="62">
        <f ca="1">AVERAGE(OFFSET($R$3,0,0,'Données projet'!$E$9+1,1))-AVERAGE(OFFSET($H$3,0,0,'Données projet'!$E$9+1,1))</f>
        <v>378.17323480030268</v>
      </c>
      <c r="T58" s="62">
        <f t="shared" si="34"/>
        <v>471.89239871617241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35</v>
      </c>
      <c r="W58" s="17">
        <f>IF(ISNA(VLOOKUP(A58,'Données projet'!$A$35:$I$55,5,0)),0%,VLOOKUP(A58,'Données projet'!$A$35:$I$55,5,0)*VLOOKUP('Données projet'!$B$9,Paramètres!$A$1:$I$89,7,0))</f>
        <v>0.44000000000000006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0.2</v>
      </c>
      <c r="Z58" s="23">
        <f>EXP(-LN(2)/35)*Z57+(1-EXP(-LN(2)/35))/(LN(2)/35)*V58*W58*VLOOKUP('Données projet'!$B$9,Paramètres!$A$1:$I$89,3,0)*0.475*44/12</f>
        <v>67.203019283010377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6.0029622697259342</v>
      </c>
      <c r="AC58" s="24">
        <f t="shared" si="3"/>
        <v>73.205981552736318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2.2737367544323206E-13</v>
      </c>
      <c r="AJ58" s="14">
        <f>AI58*VLOOKUP('Données projet'!$B$10,Paramètres!$A$1:$I$89,3,0)*VLOOKUP('Données projet'!$B$10,Paramètres!$A$1:$I$89,5,0)</f>
        <v>1.8444552551954985E-13</v>
      </c>
      <c r="AK58" s="14">
        <f t="shared" si="35"/>
        <v>2.580317449479618E-12</v>
      </c>
      <c r="AL58" s="22">
        <f t="shared" si="4"/>
        <v>4.8152955147902165E-12</v>
      </c>
      <c r="AM58" s="62">
        <f t="shared" si="5"/>
        <v>293.33333333333815</v>
      </c>
      <c r="AN58" s="62">
        <f ca="1">AVERAGE(OFFSET($AM$3,0,0,'Données projet'!$E$10+1,1))-AVERAGE(OFFSET($H$3,0,0,'Données projet'!$E$10+1,1))</f>
        <v>199.44889029107367</v>
      </c>
      <c r="AO58" s="62">
        <f t="shared" si="36"/>
        <v>292.30544856287457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91.765138858323212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91.765138858323212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19.5</v>
      </c>
      <c r="BD58" s="13">
        <f>IF('Données projet'!$A$88&gt;35,BD57+BC58-BL57,IF(A58&lt;'Données projet'!$A$88,$BA$205^A58,IF(A58='Données projet'!$A$88,'Données projet'!$B$88,BD57+BC58-BL57)))</f>
        <v>502.49999999999989</v>
      </c>
      <c r="BE58" s="14">
        <f>BD58*VLOOKUP('Données projet'!$B$11,Paramètres!$A$1:$I$89,3,0)*VLOOKUP('Données projet'!$B$11,Paramètres!$A$1:$I$89,5,0)</f>
        <v>235.16999999999993</v>
      </c>
      <c r="BF58" s="14">
        <f t="shared" si="37"/>
        <v>57.399106052685539</v>
      </c>
      <c r="BG58" s="22">
        <f t="shared" si="7"/>
        <v>509.5578597084272</v>
      </c>
      <c r="BH58" s="62">
        <f t="shared" si="8"/>
        <v>802.89119304176052</v>
      </c>
      <c r="BI58" s="62">
        <f ca="1">AVERAGE(OFFSET($BH$3,0,0,'Données projet'!$E$11+1,1))-AVERAGE(OFFSET($H$3,0,0,'Données projet'!$E$11+1,1))</f>
        <v>256.45505140629194</v>
      </c>
      <c r="BJ58" s="62">
        <f t="shared" si="38"/>
        <v>219.6985760545686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12.017120416943259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12.017120416943259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463</v>
      </c>
      <c r="BW58" s="13">
        <f>VLOOKUP(A58,'Données projet'!$A$113:$I$133,9,0)</f>
        <v>19.2</v>
      </c>
      <c r="BX58" s="13">
        <f t="array" ref="BX58">INDEX(BW:BW,MIN(IF(ISNUMBER(BW58:BW254),ROW(BW58:BW254),"")))</f>
        <v>19.2</v>
      </c>
      <c r="BY58" s="13">
        <f>IF('Données projet'!$A$114&gt;35,BY57+BX58-CG57,IF(A58&lt;'Données projet'!$A$114,$BV$205^A58,IF(A58='Données projet'!$A$114,'Données projet'!$B$114,BY57+BX58-CG57)))</f>
        <v>463</v>
      </c>
      <c r="BZ58" s="14">
        <f>BY58*VLOOKUP('Données projet'!$B$12,Paramètres!$A$1:$I$89,3,0)*VLOOKUP('Données projet'!$B$12,Paramètres!$A$1:$I$89,5,0)</f>
        <v>276.87400000000002</v>
      </c>
      <c r="CA58" s="14">
        <f t="shared" si="39"/>
        <v>66.305964184031993</v>
      </c>
      <c r="CB58" s="22">
        <f t="shared" si="10"/>
        <v>597.7051042871891</v>
      </c>
      <c r="CC58" s="62">
        <f t="shared" si="11"/>
        <v>891.03843762052247</v>
      </c>
      <c r="CD58" s="62">
        <f ca="1">AVERAGE(OFFSET($CC$3,0,0,'Données projet'!$E$12+1,1))-AVERAGE(OFFSET($H$3,0,0,'Données projet'!$E$12+1,1))</f>
        <v>279.69031306919914</v>
      </c>
      <c r="CE58" s="62">
        <f t="shared" si="40"/>
        <v>297.01680128882509</v>
      </c>
      <c r="CF58" s="16">
        <f>IF(ISNA(VLOOKUP(A58,'Données projet'!$A$113:$I$133,3,0)),0,VLOOKUP(A58,'Données projet'!$A$113:$I$133,3,0))</f>
        <v>9</v>
      </c>
      <c r="CG58" s="16">
        <f>IF(ISNA(VLOOKUP(A58,'Données projet'!$A$113:$I$133,4,0)),0,VLOOKUP(A58,'Données projet'!$A$113:$I$133,4,0))</f>
        <v>48</v>
      </c>
      <c r="CH58" s="17">
        <f>IF(ISNA(VLOOKUP(A58,'Données projet'!$A$113:$I$133,5,0)),0%,VLOOKUP(A58,'Données projet'!$A$113:$I$133,5,0)*VLOOKUP('Données projet'!$B$12,Paramètres!$A$1:$I$89,7,0))</f>
        <v>0.13500000000000001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0.7</v>
      </c>
      <c r="CK58" s="23">
        <f>EXP(-LN(2)/35)*CK57+(1-EXP(-LN(2)/35))/(LN(2)/35)*CG58*CH58*VLOOKUP('Données projet'!$B$12,Paramètres!$A$1:$I$89,3,0)*0.475*44/12</f>
        <v>23.132885620828489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27.760027239340776</v>
      </c>
      <c r="CN58" s="24">
        <f t="shared" si="12"/>
        <v>50.892912860169261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2">
        <f t="shared" si="32"/>
        <v>9.4631216842413828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70">
        <f t="shared" si="1"/>
        <v>363.068136933387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10.199999999999999</v>
      </c>
      <c r="N59" s="14">
        <f>IF('Données projet'!$A$36&gt;35,N58+M59-V58,IF(A59&lt;'Données projet'!$A$36,$K$205^A59,IF(A59='Données projet'!$A$36,'Données projet'!$B$36,N58+M59-V58)))</f>
        <v>625.19999999999959</v>
      </c>
      <c r="O59" s="14">
        <f>N59*VLOOKUP('Données projet'!$B$9,Paramètres!$A$1:$I$89,3,0)*VLOOKUP('Données projet'!$B$9,Paramètres!$A$1:$I$89,5,0)</f>
        <v>349.48679999999979</v>
      </c>
      <c r="P59" s="14">
        <f t="shared" si="33"/>
        <v>81.45682900536228</v>
      </c>
      <c r="Q59" s="22">
        <f t="shared" si="53"/>
        <v>750.56015385100557</v>
      </c>
      <c r="R59" s="62">
        <f t="shared" si="0"/>
        <v>1043.8934871843389</v>
      </c>
      <c r="S59" s="62">
        <f ca="1">AVERAGE(OFFSET($R$3,0,0,'Données projet'!$E$9+1,1))-AVERAGE(OFFSET($H$3,0,0,'Données projet'!$E$9+1,1))</f>
        <v>378.17323480030268</v>
      </c>
      <c r="T59" s="62">
        <f t="shared" si="34"/>
        <v>471.89239871617241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65.885209064664906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4.2447353281301972</v>
      </c>
      <c r="AC59" s="24">
        <f t="shared" si="3"/>
        <v>70.129944392795096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2.2737367544323206E-13</v>
      </c>
      <c r="AJ59" s="14">
        <f>AI59*VLOOKUP('Données projet'!$B$10,Paramètres!$A$1:$I$89,3,0)*VLOOKUP('Données projet'!$B$10,Paramètres!$A$1:$I$89,5,0)</f>
        <v>1.8444552551954985E-13</v>
      </c>
      <c r="AK59" s="14">
        <f t="shared" si="35"/>
        <v>2.580317449479618E-12</v>
      </c>
      <c r="AL59" s="22">
        <f t="shared" si="4"/>
        <v>4.8152955147902165E-12</v>
      </c>
      <c r="AM59" s="62">
        <f t="shared" si="5"/>
        <v>293.33333333333815</v>
      </c>
      <c r="AN59" s="62">
        <f ca="1">AVERAGE(OFFSET($AM$3,0,0,'Données projet'!$E$10+1,1))-AVERAGE(OFFSET($H$3,0,0,'Données projet'!$E$10+1,1))</f>
        <v>199.44889029107367</v>
      </c>
      <c r="AO59" s="62">
        <f t="shared" si="36"/>
        <v>292.30544856287457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89.965680456519493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89.965680456519493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19.5</v>
      </c>
      <c r="BD59" s="13">
        <f>IF('Données projet'!$A$88&gt;35,BD58+BC59-BL58,IF(A59&lt;'Données projet'!$A$88,$BA$205^A59,IF(A59='Données projet'!$A$88,'Données projet'!$B$88,BD58+BC59-BL58)))</f>
        <v>521.99999999999989</v>
      </c>
      <c r="BE59" s="14">
        <f>BD59*VLOOKUP('Données projet'!$B$11,Paramètres!$A$1:$I$89,3,0)*VLOOKUP('Données projet'!$B$11,Paramètres!$A$1:$I$89,5,0)</f>
        <v>244.29599999999996</v>
      </c>
      <c r="BF59" s="14">
        <f t="shared" si="37"/>
        <v>59.362879241040368</v>
      </c>
      <c r="BG59" s="22">
        <f t="shared" si="7"/>
        <v>528.87254801147856</v>
      </c>
      <c r="BH59" s="62">
        <f t="shared" si="8"/>
        <v>822.20588134481181</v>
      </c>
      <c r="BI59" s="62">
        <f ca="1">AVERAGE(OFFSET($BH$3,0,0,'Données projet'!$E$11+1,1))-AVERAGE(OFFSET($H$3,0,0,'Données projet'!$E$11+1,1))</f>
        <v>256.45505140629194</v>
      </c>
      <c r="BJ59" s="62">
        <f t="shared" si="38"/>
        <v>219.6985760545686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11.781472015286706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11.781472015286706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17</v>
      </c>
      <c r="BY59" s="13">
        <f>IF('Données projet'!$A$114&gt;35,BY58+BX59-CG58,IF(A59&lt;'Données projet'!$A$114,$BV$205^A59,IF(A59='Données projet'!$A$114,'Données projet'!$B$114,BY58+BX59-CG58)))</f>
        <v>432</v>
      </c>
      <c r="BZ59" s="14">
        <f>BY59*VLOOKUP('Données projet'!$B$12,Paramètres!$A$1:$I$89,3,0)*VLOOKUP('Données projet'!$B$12,Paramètres!$A$1:$I$89,5,0)</f>
        <v>258.33600000000001</v>
      </c>
      <c r="CA59" s="14">
        <f t="shared" si="39"/>
        <v>62.367547966451262</v>
      </c>
      <c r="CB59" s="22">
        <f t="shared" si="10"/>
        <v>558.55867937490257</v>
      </c>
      <c r="CC59" s="62">
        <f t="shared" si="11"/>
        <v>851.89201270823582</v>
      </c>
      <c r="CD59" s="62">
        <f ca="1">AVERAGE(OFFSET($CC$3,0,0,'Données projet'!$E$12+1,1))-AVERAGE(OFFSET($H$3,0,0,'Données projet'!$E$12+1,1))</f>
        <v>279.69031306919914</v>
      </c>
      <c r="CE59" s="62">
        <f t="shared" si="40"/>
        <v>297.01680128882509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22.679263843471055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19.629303506861138</v>
      </c>
      <c r="CN59" s="24">
        <f t="shared" si="12"/>
        <v>42.308567350332197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2">
        <f t="shared" si="32"/>
        <v>9.6122820667787945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70">
        <f t="shared" si="1"/>
        <v>364.27887459963966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10.199999999999999</v>
      </c>
      <c r="N60" s="14">
        <f>IF('Données projet'!$A$36&gt;35,N59+M60-V59,IF(A60&lt;'Données projet'!$A$36,$K$205^A60,IF(A60='Données projet'!$A$36,'Données projet'!$B$36,N59+M60-V59)))</f>
        <v>635.39999999999964</v>
      </c>
      <c r="O60" s="14">
        <f>N60*VLOOKUP('Données projet'!$B$9,Paramètres!$A$1:$I$89,3,0)*VLOOKUP('Données projet'!$B$9,Paramètres!$A$1:$I$89,5,0)</f>
        <v>355.18859999999984</v>
      </c>
      <c r="P60" s="14">
        <f t="shared" si="33"/>
        <v>82.629981116726043</v>
      </c>
      <c r="Q60" s="22">
        <f t="shared" si="53"/>
        <v>762.53402877829774</v>
      </c>
      <c r="R60" s="62">
        <f t="shared" si="0"/>
        <v>1055.8673621116311</v>
      </c>
      <c r="S60" s="62">
        <f ca="1">AVERAGE(OFFSET($R$3,0,0,'Données projet'!$E$9+1,1))-AVERAGE(OFFSET($H$3,0,0,'Données projet'!$E$9+1,1))</f>
        <v>378.17323480030268</v>
      </c>
      <c r="T60" s="62">
        <f t="shared" si="34"/>
        <v>471.89239871617241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64.593240300916321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3.0014811348629675</v>
      </c>
      <c r="AC60" s="24">
        <f t="shared" si="3"/>
        <v>67.594721435779292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2.2737367544323206E-13</v>
      </c>
      <c r="AJ60" s="14">
        <f>AI60*VLOOKUP('Données projet'!$B$10,Paramètres!$A$1:$I$89,3,0)*VLOOKUP('Données projet'!$B$10,Paramètres!$A$1:$I$89,5,0)</f>
        <v>1.8444552551954985E-13</v>
      </c>
      <c r="AK60" s="14">
        <f t="shared" si="35"/>
        <v>2.580317449479618E-12</v>
      </c>
      <c r="AL60" s="22">
        <f t="shared" si="4"/>
        <v>4.8152955147902165E-12</v>
      </c>
      <c r="AM60" s="62">
        <f t="shared" si="5"/>
        <v>293.33333333333815</v>
      </c>
      <c r="AN60" s="62">
        <f ca="1">AVERAGE(OFFSET($AM$3,0,0,'Données projet'!$E$10+1,1))-AVERAGE(OFFSET($H$3,0,0,'Données projet'!$E$10+1,1))</f>
        <v>199.44889029107367</v>
      </c>
      <c r="AO60" s="62">
        <f t="shared" si="36"/>
        <v>292.30544856287457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88.201508336413909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88.201508336413909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19.5</v>
      </c>
      <c r="BD60" s="13">
        <f>IF('Données projet'!$A$88&gt;35,BD59+BC60-BL59,IF(A60&lt;'Données projet'!$A$88,$BA$205^A60,IF(A60='Données projet'!$A$88,'Données projet'!$B$88,BD59+BC60-BL59)))</f>
        <v>541.49999999999989</v>
      </c>
      <c r="BE60" s="14">
        <f>BD60*VLOOKUP('Données projet'!$B$11,Paramètres!$A$1:$I$89,3,0)*VLOOKUP('Données projet'!$B$11,Paramètres!$A$1:$I$89,5,0)</f>
        <v>253.42199999999994</v>
      </c>
      <c r="BF60" s="14">
        <f t="shared" si="37"/>
        <v>61.318129846267041</v>
      </c>
      <c r="BG60" s="22">
        <f t="shared" si="7"/>
        <v>548.1723928155817</v>
      </c>
      <c r="BH60" s="62">
        <f t="shared" si="8"/>
        <v>841.50572614891507</v>
      </c>
      <c r="BI60" s="62">
        <f ca="1">AVERAGE(OFFSET($BH$3,0,0,'Données projet'!$E$11+1,1))-AVERAGE(OFFSET($H$3,0,0,'Données projet'!$E$11+1,1))</f>
        <v>256.45505140629194</v>
      </c>
      <c r="BJ60" s="62">
        <f t="shared" si="38"/>
        <v>219.6985760545686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11.550444535055306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11.550444535055306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17</v>
      </c>
      <c r="BY60" s="13">
        <f>IF('Données projet'!$A$114&gt;35,BY59+BX60-CG59,IF(A60&lt;'Données projet'!$A$114,$BV$205^A60,IF(A60='Données projet'!$A$114,'Données projet'!$B$114,BY59+BX60-CG59)))</f>
        <v>449</v>
      </c>
      <c r="BZ60" s="14">
        <f>BY60*VLOOKUP('Données projet'!$B$12,Paramètres!$A$1:$I$89,3,0)*VLOOKUP('Données projet'!$B$12,Paramètres!$A$1:$I$89,5,0)</f>
        <v>268.50200000000001</v>
      </c>
      <c r="CA60" s="14">
        <f t="shared" si="39"/>
        <v>64.531253013339168</v>
      </c>
      <c r="CB60" s="22">
        <f t="shared" si="10"/>
        <v>580.03291566489895</v>
      </c>
      <c r="CC60" s="62">
        <f t="shared" si="11"/>
        <v>873.36624899823232</v>
      </c>
      <c r="CD60" s="62">
        <f ca="1">AVERAGE(OFFSET($CC$3,0,0,'Données projet'!$E$12+1,1))-AVERAGE(OFFSET($H$3,0,0,'Données projet'!$E$12+1,1))</f>
        <v>279.69031306919914</v>
      </c>
      <c r="CE60" s="62">
        <f t="shared" si="40"/>
        <v>297.01680128882509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22.234537312485639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13.88001361967039</v>
      </c>
      <c r="CN60" s="24">
        <f t="shared" si="12"/>
        <v>36.114550932156028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2">
        <f t="shared" si="32"/>
        <v>9.7611381424130617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70">
        <f t="shared" si="1"/>
        <v>365.48908226470269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10.199999999999999</v>
      </c>
      <c r="N61" s="14">
        <f>IF('Données projet'!$A$36&gt;35,N60+M61-V60,IF(A61&lt;'Données projet'!$A$36,$K$205^A61,IF(A61='Données projet'!$A$36,'Données projet'!$B$36,N60+M61-V60)))</f>
        <v>645.59999999999968</v>
      </c>
      <c r="O61" s="14">
        <f>N61*VLOOKUP('Données projet'!$B$9,Paramètres!$A$1:$I$89,3,0)*VLOOKUP('Données projet'!$B$9,Paramètres!$A$1:$I$89,5,0)</f>
        <v>360.89039999999977</v>
      </c>
      <c r="P61" s="14">
        <f t="shared" si="33"/>
        <v>83.800943075865291</v>
      </c>
      <c r="Q61" s="22">
        <f t="shared" si="53"/>
        <v>774.50408919046504</v>
      </c>
      <c r="R61" s="62">
        <f t="shared" si="0"/>
        <v>1067.8374225237983</v>
      </c>
      <c r="S61" s="62">
        <f ca="1">AVERAGE(OFFSET($R$3,0,0,'Données projet'!$E$9+1,1))-AVERAGE(OFFSET($H$3,0,0,'Données projet'!$E$9+1,1))</f>
        <v>378.17323480030268</v>
      </c>
      <c r="T61" s="62">
        <f t="shared" si="34"/>
        <v>471.89239871617241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63.326606256601707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2.122367664065099</v>
      </c>
      <c r="AC61" s="24">
        <f t="shared" si="3"/>
        <v>65.448973920666802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2.2737367544323206E-13</v>
      </c>
      <c r="AJ61" s="14">
        <f>AI61*VLOOKUP('Données projet'!$B$10,Paramètres!$A$1:$I$89,3,0)*VLOOKUP('Données projet'!$B$10,Paramètres!$A$1:$I$89,5,0)</f>
        <v>1.8444552551954985E-13</v>
      </c>
      <c r="AK61" s="14">
        <f t="shared" si="35"/>
        <v>2.580317449479618E-12</v>
      </c>
      <c r="AL61" s="22">
        <f t="shared" si="4"/>
        <v>4.8152955147902165E-12</v>
      </c>
      <c r="AM61" s="62">
        <f t="shared" si="5"/>
        <v>293.33333333333815</v>
      </c>
      <c r="AN61" s="62">
        <f ca="1">AVERAGE(OFFSET($AM$3,0,0,'Données projet'!$E$10+1,1))-AVERAGE(OFFSET($H$3,0,0,'Données projet'!$E$10+1,1))</f>
        <v>199.44889029107367</v>
      </c>
      <c r="AO61" s="62">
        <f t="shared" si="36"/>
        <v>292.30544856287457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86.471930555544844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86.471930555544844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19.5</v>
      </c>
      <c r="BD61" s="13">
        <f>IF('Données projet'!$A$88&gt;35,BD60+BC61-BL60,IF(A61&lt;'Données projet'!$A$88,$BA$205^A61,IF(A61='Données projet'!$A$88,'Données projet'!$B$88,BD60+BC61-BL60)))</f>
        <v>560.99999999999989</v>
      </c>
      <c r="BE61" s="14">
        <f>BD61*VLOOKUP('Données projet'!$B$11,Paramètres!$A$1:$I$89,3,0)*VLOOKUP('Données projet'!$B$11,Paramètres!$A$1:$I$89,5,0)</f>
        <v>262.54799999999994</v>
      </c>
      <c r="BF61" s="14">
        <f t="shared" si="37"/>
        <v>63.265199933079444</v>
      </c>
      <c r="BG61" s="22">
        <f t="shared" si="7"/>
        <v>567.45798988344654</v>
      </c>
      <c r="BH61" s="62">
        <f t="shared" si="8"/>
        <v>860.7913232167798</v>
      </c>
      <c r="BI61" s="62">
        <f ca="1">AVERAGE(OFFSET($BH$3,0,0,'Données projet'!$E$11+1,1))-AVERAGE(OFFSET($H$3,0,0,'Données projet'!$E$11+1,1))</f>
        <v>256.45505140629194</v>
      </c>
      <c r="BJ61" s="62">
        <f t="shared" si="38"/>
        <v>219.6985760545686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11.323947362798394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11.323947362798394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17</v>
      </c>
      <c r="BY61" s="13">
        <f>IF('Données projet'!$A$114&gt;35,BY60+BX61-CG60,IF(A61&lt;'Données projet'!$A$114,$BV$205^A61,IF(A61='Données projet'!$A$114,'Données projet'!$B$114,BY60+BX61-CG60)))</f>
        <v>466</v>
      </c>
      <c r="BZ61" s="14">
        <f>BY61*VLOOKUP('Données projet'!$B$12,Paramètres!$A$1:$I$89,3,0)*VLOOKUP('Données projet'!$B$12,Paramètres!$A$1:$I$89,5,0)</f>
        <v>278.66800000000001</v>
      </c>
      <c r="CA61" s="14">
        <f t="shared" si="39"/>
        <v>66.685440917424543</v>
      </c>
      <c r="CB61" s="22">
        <f t="shared" si="10"/>
        <v>601.49057626451452</v>
      </c>
      <c r="CC61" s="62">
        <f t="shared" si="11"/>
        <v>894.82390959784789</v>
      </c>
      <c r="CD61" s="62">
        <f ca="1">AVERAGE(OFFSET($CC$3,0,0,'Données projet'!$E$12+1,1))-AVERAGE(OFFSET($H$3,0,0,'Données projet'!$E$12+1,1))</f>
        <v>279.69031306919914</v>
      </c>
      <c r="CE61" s="62">
        <f t="shared" si="40"/>
        <v>297.01680128882509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21.798531597516448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9.8146517534305708</v>
      </c>
      <c r="CN61" s="24">
        <f t="shared" si="12"/>
        <v>31.613183350947018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2">
        <f t="shared" si="32"/>
        <v>9.9096957632381564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70">
        <f t="shared" si="1"/>
        <v>366.69877012097305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10.199999999999999</v>
      </c>
      <c r="N62" s="14">
        <f>IF('Données projet'!$A$36&gt;35,N61+M62-V61,IF(A62&lt;'Données projet'!$A$36,$K$205^A62,IF(A62='Données projet'!$A$36,'Données projet'!$B$36,N61+M62-V61)))</f>
        <v>655.79999999999973</v>
      </c>
      <c r="O62" s="14">
        <f>N62*VLOOKUP('Données projet'!$B$9,Paramètres!$A$1:$I$89,3,0)*VLOOKUP('Données projet'!$B$9,Paramètres!$A$1:$I$89,5,0)</f>
        <v>366.59219999999982</v>
      </c>
      <c r="P62" s="14">
        <f t="shared" si="33"/>
        <v>84.969753481055022</v>
      </c>
      <c r="Q62" s="22">
        <f t="shared" si="53"/>
        <v>786.47040231283711</v>
      </c>
      <c r="R62" s="62">
        <f t="shared" si="0"/>
        <v>1079.8037356461705</v>
      </c>
      <c r="S62" s="62">
        <f ca="1">AVERAGE(OFFSET($R$3,0,0,'Données projet'!$E$9+1,1))-AVERAGE(OFFSET($H$3,0,0,'Données projet'!$E$9+1,1))</f>
        <v>378.17323480030268</v>
      </c>
      <c r="T62" s="62">
        <f t="shared" si="34"/>
        <v>471.89239871617241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62.084810133325618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1.500740567431484</v>
      </c>
      <c r="AC62" s="24">
        <f t="shared" si="3"/>
        <v>63.585550700757103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2.2737367544323206E-13</v>
      </c>
      <c r="AJ62" s="14">
        <f>AI62*VLOOKUP('Données projet'!$B$10,Paramètres!$A$1:$I$89,3,0)*VLOOKUP('Données projet'!$B$10,Paramètres!$A$1:$I$89,5,0)</f>
        <v>1.8444552551954985E-13</v>
      </c>
      <c r="AK62" s="14">
        <f t="shared" si="35"/>
        <v>2.580317449479618E-12</v>
      </c>
      <c r="AL62" s="22">
        <f t="shared" si="4"/>
        <v>4.8152955147902165E-12</v>
      </c>
      <c r="AM62" s="62">
        <f t="shared" si="5"/>
        <v>293.33333333333815</v>
      </c>
      <c r="AN62" s="62">
        <f ca="1">AVERAGE(OFFSET($AM$3,0,0,'Données projet'!$E$10+1,1))-AVERAGE(OFFSET($H$3,0,0,'Données projet'!$E$10+1,1))</f>
        <v>199.44889029107367</v>
      </c>
      <c r="AO62" s="62">
        <f t="shared" si="36"/>
        <v>292.30544856287457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84.776268740020342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84.776268740020342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19.5</v>
      </c>
      <c r="BD62" s="13">
        <f>IF('Données projet'!$A$88&gt;35,BD61+BC62-BL61,IF(A62&lt;'Données projet'!$A$88,$BA$205^A62,IF(A62='Données projet'!$A$88,'Données projet'!$B$88,BD61+BC62-BL61)))</f>
        <v>580.49999999999989</v>
      </c>
      <c r="BE62" s="14">
        <f>BD62*VLOOKUP('Données projet'!$B$11,Paramètres!$A$1:$I$89,3,0)*VLOOKUP('Données projet'!$B$11,Paramètres!$A$1:$I$89,5,0)</f>
        <v>271.67399999999998</v>
      </c>
      <c r="BF62" s="14">
        <f t="shared" si="37"/>
        <v>65.204406437729162</v>
      </c>
      <c r="BG62" s="22">
        <f t="shared" si="7"/>
        <v>586.72989121237822</v>
      </c>
      <c r="BH62" s="62">
        <f t="shared" si="8"/>
        <v>880.06322454571159</v>
      </c>
      <c r="BI62" s="62">
        <f ca="1">AVERAGE(OFFSET($BH$3,0,0,'Données projet'!$E$11+1,1))-AVERAGE(OFFSET($H$3,0,0,'Données projet'!$E$11+1,1))</f>
        <v>256.45505140629194</v>
      </c>
      <c r="BJ62" s="62">
        <f t="shared" si="38"/>
        <v>219.6985760545686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11.101891661939806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11.101891661939806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17</v>
      </c>
      <c r="BY62" s="13">
        <f>IF('Données projet'!$A$114&gt;35,BY61+BX62-CG61,IF(A62&lt;'Données projet'!$A$114,$BV$205^A62,IF(A62='Données projet'!$A$114,'Données projet'!$B$114,BY61+BX62-CG61)))</f>
        <v>483</v>
      </c>
      <c r="BZ62" s="14">
        <f>BY62*VLOOKUP('Données projet'!$B$12,Paramètres!$A$1:$I$89,3,0)*VLOOKUP('Données projet'!$B$12,Paramètres!$A$1:$I$89,5,0)</f>
        <v>288.834</v>
      </c>
      <c r="CA62" s="14">
        <f t="shared" si="39"/>
        <v>68.830498636563377</v>
      </c>
      <c r="CB62" s="22">
        <f t="shared" si="10"/>
        <v>622.93233512534789</v>
      </c>
      <c r="CC62" s="62">
        <f t="shared" si="11"/>
        <v>916.26566845868115</v>
      </c>
      <c r="CD62" s="62">
        <f ca="1">AVERAGE(OFFSET($CC$3,0,0,'Données projet'!$E$12+1,1))-AVERAGE(OFFSET($H$3,0,0,'Données projet'!$E$12+1,1))</f>
        <v>279.69031306919914</v>
      </c>
      <c r="CE62" s="62">
        <f t="shared" si="40"/>
        <v>297.01680128882509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21.371075688680573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6.9400068098351957</v>
      </c>
      <c r="CN62" s="24">
        <f t="shared" si="12"/>
        <v>28.31108249851577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2">
        <f t="shared" si="32"/>
        <v>10.05796057160342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70">
        <f t="shared" si="1"/>
        <v>367.90794799554254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666</v>
      </c>
      <c r="L63" s="13">
        <f>VLOOKUP(A63,'Données projet'!$A$35:$I$55,9,0)</f>
        <v>10.199999999999999</v>
      </c>
      <c r="M63" s="13">
        <f t="array" ref="M63">INDEX(L:L,MIN(IF(ISNUMBER(L63:L259),ROW(L63:L259),"")))</f>
        <v>10.199999999999999</v>
      </c>
      <c r="N63" s="14">
        <f>IF('Données projet'!$A$36&gt;35,N62+M63-V62,IF(A63&lt;'Données projet'!$A$36,$K$205^A63,IF(A63='Données projet'!$A$36,'Données projet'!$B$36,N62+M63-V62)))</f>
        <v>665.99999999999977</v>
      </c>
      <c r="O63" s="14">
        <f>N63*VLOOKUP('Données projet'!$B$9,Paramètres!$A$1:$I$89,3,0)*VLOOKUP('Données projet'!$B$9,Paramètres!$A$1:$I$89,5,0)</f>
        <v>372.29399999999987</v>
      </c>
      <c r="P63" s="14">
        <f t="shared" si="33"/>
        <v>86.136449661008839</v>
      </c>
      <c r="Q63" s="22">
        <f t="shared" si="53"/>
        <v>798.43303315959008</v>
      </c>
      <c r="R63" s="62">
        <f t="shared" si="0"/>
        <v>1091.7663664929235</v>
      </c>
      <c r="S63" s="62">
        <f ca="1">AVERAGE(OFFSET($R$3,0,0,'Données projet'!$E$9+1,1))-AVERAGE(OFFSET($H$3,0,0,'Données projet'!$E$9+1,1))</f>
        <v>378.17323480030268</v>
      </c>
      <c r="T63" s="62">
        <f t="shared" si="34"/>
        <v>471.89239871617241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666</v>
      </c>
      <c r="W63" s="17">
        <f>IF(ISNA(VLOOKUP(A63,'Données projet'!$A$35:$I$55,5,0)),0%,VLOOKUP(A63,'Données projet'!$A$35:$I$55,5,0)*VLOOKUP('Données projet'!$B$9,Paramètres!$A$1:$I$89,7,0))</f>
        <v>0.49500000000000005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0.1</v>
      </c>
      <c r="Z63" s="23">
        <f>EXP(-LN(2)/35)*Z62+(1-EXP(-LN(2)/35))/(LN(2)/35)*V63*W63*VLOOKUP('Données projet'!$B$9,Paramètres!$A$1:$I$89,3,0)*0.475*44/12</f>
        <v>305.33399862444321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43.213512929564359</v>
      </c>
      <c r="AC63" s="24">
        <f t="shared" si="3"/>
        <v>348.54751155400754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2.2737367544323206E-13</v>
      </c>
      <c r="AJ63" s="14">
        <f>AI63*VLOOKUP('Données projet'!$B$10,Paramètres!$A$1:$I$89,3,0)*VLOOKUP('Données projet'!$B$10,Paramètres!$A$1:$I$89,5,0)</f>
        <v>1.8444552551954985E-13</v>
      </c>
      <c r="AK63" s="14">
        <f t="shared" si="35"/>
        <v>2.580317449479618E-12</v>
      </c>
      <c r="AL63" s="22">
        <f t="shared" si="4"/>
        <v>4.8152955147902165E-12</v>
      </c>
      <c r="AM63" s="62">
        <f t="shared" si="5"/>
        <v>293.33333333333815</v>
      </c>
      <c r="AN63" s="62">
        <f ca="1">AVERAGE(OFFSET($AM$3,0,0,'Données projet'!$E$10+1,1))-AVERAGE(OFFSET($H$3,0,0,'Données projet'!$E$10+1,1))</f>
        <v>199.44889029107367</v>
      </c>
      <c r="AO63" s="62">
        <f t="shared" si="36"/>
        <v>292.30544856287457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83.113857818446689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83.113857818446689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600</v>
      </c>
      <c r="BB63" s="13">
        <f>VLOOKUP(A63,'Données projet'!$A$87:$I$107,9,0)</f>
        <v>19.5</v>
      </c>
      <c r="BC63" s="13">
        <f t="array" ref="BC63">INDEX(BB:BB,MIN(IF(ISNUMBER(BB63:BB259),ROW(BB63:BB259),"")))</f>
        <v>19.5</v>
      </c>
      <c r="BD63" s="13">
        <f>IF('Données projet'!$A$88&gt;35,BD62+BC63-BL62,IF(A63&lt;'Données projet'!$A$88,$BA$205^A63,IF(A63='Données projet'!$A$88,'Données projet'!$B$88,BD62+BC63-BL62)))</f>
        <v>599.99999999999989</v>
      </c>
      <c r="BE63" s="14">
        <f>BD63*VLOOKUP('Données projet'!$B$11,Paramètres!$A$1:$I$89,3,0)*VLOOKUP('Données projet'!$B$11,Paramètres!$A$1:$I$89,5,0)</f>
        <v>280.79999999999995</v>
      </c>
      <c r="BF63" s="14">
        <f t="shared" si="37"/>
        <v>67.136043795470286</v>
      </c>
      <c r="BG63" s="22">
        <f t="shared" si="7"/>
        <v>605.98860961044397</v>
      </c>
      <c r="BH63" s="62">
        <f t="shared" si="8"/>
        <v>899.32194294377723</v>
      </c>
      <c r="BI63" s="62">
        <f ca="1">AVERAGE(OFFSET($BH$3,0,0,'Données projet'!$E$11+1,1))-AVERAGE(OFFSET($H$3,0,0,'Données projet'!$E$11+1,1))</f>
        <v>256.45505140629194</v>
      </c>
      <c r="BJ63" s="62">
        <f t="shared" si="38"/>
        <v>219.6985760545686</v>
      </c>
      <c r="BK63" s="16">
        <f>IF(ISNA(VLOOKUP(A63,'Données projet'!$A$87:$I$107,3,0)),0,VLOOKUP(A63,'Données projet'!$A$87:$I$107,3,0))</f>
        <v>5</v>
      </c>
      <c r="BL63" s="16">
        <f>IF(ISNA(VLOOKUP(A63,'Données projet'!$A$87:$I$107,4,0)),0,VLOOKUP(A63,'Données projet'!$A$87:$I$107,4,0))</f>
        <v>65</v>
      </c>
      <c r="BM63" s="17">
        <f>IF(ISNA(VLOOKUP(A63,'Données projet'!$A$87:$I$107,5,0)),0%,VLOOKUP(A63,'Données projet'!$A$87:$I$107,5,0)*VLOOKUP('Données projet'!$B$11,Paramètres!$A$1:$I$89,7,0))</f>
        <v>0.1925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18.652352804320085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18.652352804320085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500</v>
      </c>
      <c r="BW63" s="13">
        <f>VLOOKUP(A63,'Données projet'!$A$113:$I$133,9,0)</f>
        <v>17</v>
      </c>
      <c r="BX63" s="13">
        <f t="array" ref="BX63">INDEX(BW:BW,MIN(IF(ISNUMBER(BW63:BW259),ROW(BW63:BW259),"")))</f>
        <v>17</v>
      </c>
      <c r="BY63" s="13">
        <f>IF('Données projet'!$A$114&gt;35,BY62+BX63-CG62,IF(A63&lt;'Données projet'!$A$114,$BV$205^A63,IF(A63='Données projet'!$A$114,'Données projet'!$B$114,BY62+BX63-CG62)))</f>
        <v>500</v>
      </c>
      <c r="BZ63" s="14">
        <f>BY63*VLOOKUP('Données projet'!$B$12,Paramètres!$A$1:$I$89,3,0)*VLOOKUP('Données projet'!$B$12,Paramètres!$A$1:$I$89,5,0)</f>
        <v>299</v>
      </c>
      <c r="CA63" s="14">
        <f t="shared" si="39"/>
        <v>70.966784344875109</v>
      </c>
      <c r="CB63" s="22">
        <f t="shared" si="10"/>
        <v>644.35881606732414</v>
      </c>
      <c r="CC63" s="62">
        <f t="shared" si="11"/>
        <v>937.6921494006574</v>
      </c>
      <c r="CD63" s="62">
        <f ca="1">AVERAGE(OFFSET($CC$3,0,0,'Données projet'!$E$12+1,1))-AVERAGE(OFFSET($H$3,0,0,'Données projet'!$E$12+1,1))</f>
        <v>279.69031306919914</v>
      </c>
      <c r="CE63" s="62">
        <f t="shared" si="40"/>
        <v>297.01680128882509</v>
      </c>
      <c r="CF63" s="16">
        <f>IF(ISNA(VLOOKUP(A63,'Données projet'!$A$113:$I$133,3,0)),0,VLOOKUP(A63,'Données projet'!$A$113:$I$133,3,0))</f>
        <v>10</v>
      </c>
      <c r="CG63" s="16">
        <f>IF(ISNA(VLOOKUP(A63,'Données projet'!$A$113:$I$133,4,0)),0,VLOOKUP(A63,'Données projet'!$A$113:$I$133,4,0))</f>
        <v>32</v>
      </c>
      <c r="CH63" s="17">
        <f>IF(ISNA(VLOOKUP(A63,'Données projet'!$A$113:$I$133,5,0)),0%,VLOOKUP(A63,'Données projet'!$A$113:$I$133,5,0)*VLOOKUP('Données projet'!$B$12,Paramètres!$A$1:$I$89,7,0))</f>
        <v>0.13500000000000001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0.7</v>
      </c>
      <c r="CK63" s="23">
        <f>EXP(-LN(2)/35)*CK62+(1-EXP(-LN(2)/35))/(LN(2)/35)*CG63*CH63*VLOOKUP('Données projet'!$B$12,Paramètres!$A$1:$I$89,3,0)*0.475*44/12</f>
        <v>24.378995481098901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20.073803948541798</v>
      </c>
      <c r="CN63" s="24">
        <f t="shared" si="12"/>
        <v>44.452799429640699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2">
        <f t="shared" si="32"/>
        <v>10.205938010999123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70">
        <f t="shared" si="1"/>
        <v>369.11662536915674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-2.2737367544323206E-13</v>
      </c>
      <c r="O64" s="14">
        <f>N64*VLOOKUP('Données projet'!$B$9,Paramètres!$A$1:$I$89,3,0)*VLOOKUP('Données projet'!$B$9,Paramètres!$A$1:$I$89,5,0)</f>
        <v>-1.2710188457276673E-13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378.17323480030268</v>
      </c>
      <c r="T64" s="62">
        <f t="shared" si="34"/>
        <v>471.89239871617241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299.34658514676784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30.55656803138751</v>
      </c>
      <c r="AC64" s="24">
        <f t="shared" si="3"/>
        <v>329.90315317815532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2.2737367544323206E-13</v>
      </c>
      <c r="AJ64" s="14">
        <f>AI64*VLOOKUP('Données projet'!$B$10,Paramètres!$A$1:$I$89,3,0)*VLOOKUP('Données projet'!$B$10,Paramètres!$A$1:$I$89,5,0)</f>
        <v>1.8444552551954985E-13</v>
      </c>
      <c r="AK64" s="14">
        <f t="shared" si="35"/>
        <v>2.580317449479618E-12</v>
      </c>
      <c r="AL64" s="22">
        <f t="shared" si="4"/>
        <v>4.8152955147902165E-12</v>
      </c>
      <c r="AM64" s="62">
        <f t="shared" si="5"/>
        <v>293.33333333333815</v>
      </c>
      <c r="AN64" s="62">
        <f ca="1">AVERAGE(OFFSET($AM$3,0,0,'Données projet'!$E$10+1,1))-AVERAGE(OFFSET($H$3,0,0,'Données projet'!$E$10+1,1))</f>
        <v>199.44889029107367</v>
      </c>
      <c r="AO64" s="62">
        <f t="shared" si="36"/>
        <v>292.30544856287457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81.484045761074555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81.484045761074555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22</v>
      </c>
      <c r="BD64" s="13">
        <f>IF('Données projet'!$A$88&gt;35,BD63+BC64-BL63,IF(A64&lt;'Données projet'!$A$88,$BA$205^A64,IF(A64='Données projet'!$A$88,'Données projet'!$B$88,BD63+BC64-BL63)))</f>
        <v>556.99999999999989</v>
      </c>
      <c r="BE64" s="14">
        <f>BD64*VLOOKUP('Données projet'!$B$11,Paramètres!$A$1:$I$89,3,0)*VLOOKUP('Données projet'!$B$11,Paramètres!$A$1:$I$89,5,0)</f>
        <v>260.67599999999993</v>
      </c>
      <c r="BF64" s="14">
        <f t="shared" si="37"/>
        <v>62.86645205486316</v>
      </c>
      <c r="BG64" s="22">
        <f t="shared" si="7"/>
        <v>563.50310399555315</v>
      </c>
      <c r="BH64" s="62">
        <f t="shared" si="8"/>
        <v>856.8364373288864</v>
      </c>
      <c r="BI64" s="62">
        <f ca="1">AVERAGE(OFFSET($BH$3,0,0,'Données projet'!$E$11+1,1))-AVERAGE(OFFSET($H$3,0,0,'Données projet'!$E$11+1,1))</f>
        <v>256.45505140629194</v>
      </c>
      <c r="BJ64" s="62">
        <f t="shared" si="38"/>
        <v>219.6985760545686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18.286591542639211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18.286591542639211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17.399999999999999</v>
      </c>
      <c r="BY64" s="13">
        <f>IF('Données projet'!$A$114&gt;35,BY63+BX64-CG63,IF(A64&lt;'Données projet'!$A$114,$BV$205^A64,IF(A64='Données projet'!$A$114,'Données projet'!$B$114,BY63+BX64-CG63)))</f>
        <v>485.4</v>
      </c>
      <c r="BZ64" s="14">
        <f>BY64*VLOOKUP('Données projet'!$B$12,Paramètres!$A$1:$I$89,3,0)*VLOOKUP('Données projet'!$B$12,Paramètres!$A$1:$I$89,5,0)</f>
        <v>290.26920000000001</v>
      </c>
      <c r="CA64" s="14">
        <f t="shared" si="39"/>
        <v>69.13261576818384</v>
      </c>
      <c r="CB64" s="22">
        <f t="shared" si="10"/>
        <v>625.95816246292009</v>
      </c>
      <c r="CC64" s="62">
        <f t="shared" si="11"/>
        <v>919.29149579625346</v>
      </c>
      <c r="CD64" s="62">
        <f ca="1">AVERAGE(OFFSET($CC$3,0,0,'Données projet'!$E$12+1,1))-AVERAGE(OFFSET($H$3,0,0,'Données projet'!$E$12+1,1))</f>
        <v>279.69031306919914</v>
      </c>
      <c r="CE64" s="62">
        <f t="shared" si="40"/>
        <v>297.01680128882509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23.900938249433533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14.1943228962232</v>
      </c>
      <c r="CN64" s="24">
        <f t="shared" si="12"/>
        <v>38.095261145656735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2">
        <f t="shared" si="32"/>
        <v>10.353633336208009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70">
        <f t="shared" si="1"/>
        <v>370.32481139389552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-2.2737367544323206E-13</v>
      </c>
      <c r="O65" s="14">
        <f>N65*VLOOKUP('Données projet'!$B$9,Paramètres!$A$1:$I$89,3,0)*VLOOKUP('Données projet'!$B$9,Paramètres!$A$1:$I$89,5,0)</f>
        <v>-1.2710188457276673E-13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378.17323480030268</v>
      </c>
      <c r="T65" s="62">
        <f t="shared" si="34"/>
        <v>471.89239871617241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293.47658119542803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21.606756464782183</v>
      </c>
      <c r="AC65" s="24">
        <f t="shared" si="3"/>
        <v>315.08333766021019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2.2737367544323206E-13</v>
      </c>
      <c r="AJ65" s="14">
        <f>AI65*VLOOKUP('Données projet'!$B$10,Paramètres!$A$1:$I$89,3,0)*VLOOKUP('Données projet'!$B$10,Paramètres!$A$1:$I$89,5,0)</f>
        <v>1.8444552551954985E-13</v>
      </c>
      <c r="AK65" s="14">
        <f t="shared" si="35"/>
        <v>2.580317449479618E-12</v>
      </c>
      <c r="AL65" s="22">
        <f t="shared" si="4"/>
        <v>4.8152955147902165E-12</v>
      </c>
      <c r="AM65" s="62">
        <f t="shared" si="5"/>
        <v>293.33333333333815</v>
      </c>
      <c r="AN65" s="62">
        <f ca="1">AVERAGE(OFFSET($AM$3,0,0,'Données projet'!$E$10+1,1))-AVERAGE(OFFSET($H$3,0,0,'Données projet'!$E$10+1,1))</f>
        <v>199.44889029107367</v>
      </c>
      <c r="AO65" s="62">
        <f t="shared" si="36"/>
        <v>292.30544856287457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79.886193324060301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79.886193324060301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22</v>
      </c>
      <c r="BD65" s="13">
        <f>IF('Données projet'!$A$88&gt;35,BD64+BC65-BL64,IF(A65&lt;'Données projet'!$A$88,$BA$205^A65,IF(A65='Données projet'!$A$88,'Données projet'!$B$88,BD64+BC65-BL64)))</f>
        <v>578.99999999999989</v>
      </c>
      <c r="BE65" s="14">
        <f>BD65*VLOOKUP('Données projet'!$B$11,Paramètres!$A$1:$I$89,3,0)*VLOOKUP('Données projet'!$B$11,Paramètres!$A$1:$I$89,5,0)</f>
        <v>270.97199999999992</v>
      </c>
      <c r="BF65" s="14">
        <f t="shared" si="37"/>
        <v>65.055509056864196</v>
      </c>
      <c r="BG65" s="22">
        <f t="shared" si="7"/>
        <v>585.24791160737163</v>
      </c>
      <c r="BH65" s="62">
        <f t="shared" si="8"/>
        <v>878.58124494070489</v>
      </c>
      <c r="BI65" s="62">
        <f ca="1">AVERAGE(OFFSET($BH$3,0,0,'Données projet'!$E$11+1,1))-AVERAGE(OFFSET($H$3,0,0,'Données projet'!$E$11+1,1))</f>
        <v>256.45505140629194</v>
      </c>
      <c r="BJ65" s="62">
        <f t="shared" si="38"/>
        <v>219.6985760545686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17.928002636207559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17.928002636207559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17.399999999999999</v>
      </c>
      <c r="BY65" s="13">
        <f>IF('Données projet'!$A$114&gt;35,BY64+BX65-CG64,IF(A65&lt;'Données projet'!$A$114,$BV$205^A65,IF(A65='Données projet'!$A$114,'Données projet'!$B$114,BY64+BX65-CG64)))</f>
        <v>502.79999999999995</v>
      </c>
      <c r="BZ65" s="14">
        <f>BY65*VLOOKUP('Données projet'!$B$12,Paramètres!$A$1:$I$89,3,0)*VLOOKUP('Données projet'!$B$12,Paramètres!$A$1:$I$89,5,0)</f>
        <v>300.67439999999999</v>
      </c>
      <c r="CA65" s="14">
        <f t="shared" si="39"/>
        <v>71.317825137860439</v>
      </c>
      <c r="CB65" s="22">
        <f t="shared" si="10"/>
        <v>647.88645878177363</v>
      </c>
      <c r="CC65" s="62">
        <f t="shared" si="11"/>
        <v>941.21979211510688</v>
      </c>
      <c r="CD65" s="62">
        <f ca="1">AVERAGE(OFFSET($CC$3,0,0,'Données projet'!$E$12+1,1))-AVERAGE(OFFSET($H$3,0,0,'Données projet'!$E$12+1,1))</f>
        <v>279.69031306919914</v>
      </c>
      <c r="CE65" s="62">
        <f t="shared" si="40"/>
        <v>297.01680128882509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23.432255428495004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10.036901974270901</v>
      </c>
      <c r="CN65" s="24">
        <f t="shared" si="12"/>
        <v>33.469157402765902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2">
        <f t="shared" si="32"/>
        <v>10.501051622783336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70">
        <f t="shared" si="1"/>
        <v>371.53251490968091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-2.2737367544323206E-13</v>
      </c>
      <c r="O66" s="14">
        <f>N66*VLOOKUP('Données projet'!$B$9,Paramètres!$A$1:$I$89,3,0)*VLOOKUP('Données projet'!$B$9,Paramètres!$A$1:$I$89,5,0)</f>
        <v>-1.2710188457276673E-13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378.17323480030268</v>
      </c>
      <c r="T66" s="62">
        <f t="shared" si="34"/>
        <v>471.89239871617241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287.72168444122514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15.278284015693757</v>
      </c>
      <c r="AC66" s="24">
        <f t="shared" si="3"/>
        <v>302.99996845691891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2.2737367544323206E-13</v>
      </c>
      <c r="AJ66" s="14">
        <f>AI66*VLOOKUP('Données projet'!$B$10,Paramètres!$A$1:$I$89,3,0)*VLOOKUP('Données projet'!$B$10,Paramètres!$A$1:$I$89,5,0)</f>
        <v>1.8444552551954985E-13</v>
      </c>
      <c r="AK66" s="14">
        <f t="shared" si="35"/>
        <v>2.580317449479618E-12</v>
      </c>
      <c r="AL66" s="22">
        <f t="shared" si="4"/>
        <v>4.8152955147902165E-12</v>
      </c>
      <c r="AM66" s="62">
        <f t="shared" si="5"/>
        <v>293.33333333333815</v>
      </c>
      <c r="AN66" s="62">
        <f ca="1">AVERAGE(OFFSET($AM$3,0,0,'Données projet'!$E$10+1,1))-AVERAGE(OFFSET($H$3,0,0,'Données projet'!$E$10+1,1))</f>
        <v>199.44889029107367</v>
      </c>
      <c r="AO66" s="62">
        <f t="shared" si="36"/>
        <v>292.30544856287457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78.31967379874213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78.31967379874213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22</v>
      </c>
      <c r="BD66" s="13">
        <f>IF('Données projet'!$A$88&gt;35,BD65+BC66-BL65,IF(A66&lt;'Données projet'!$A$88,$BA$205^A66,IF(A66='Données projet'!$A$88,'Données projet'!$B$88,BD65+BC66-BL65)))</f>
        <v>600.99999999999989</v>
      </c>
      <c r="BE66" s="14">
        <f>BD66*VLOOKUP('Données projet'!$B$11,Paramètres!$A$1:$I$89,3,0)*VLOOKUP('Données projet'!$B$11,Paramètres!$A$1:$I$89,5,0)</f>
        <v>281.26799999999997</v>
      </c>
      <c r="BF66" s="14">
        <f t="shared" si="37"/>
        <v>67.234903224948283</v>
      </c>
      <c r="BG66" s="22">
        <f t="shared" si="7"/>
        <v>606.97588978345141</v>
      </c>
      <c r="BH66" s="62">
        <f t="shared" si="8"/>
        <v>900.30922311678478</v>
      </c>
      <c r="BI66" s="62">
        <f ca="1">AVERAGE(OFFSET($BH$3,0,0,'Données projet'!$E$11+1,1))-AVERAGE(OFFSET($H$3,0,0,'Données projet'!$E$11+1,1))</f>
        <v>256.45505140629194</v>
      </c>
      <c r="BJ66" s="62">
        <f t="shared" si="38"/>
        <v>219.6985760545686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17.576445439513396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17.576445439513396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17.399999999999999</v>
      </c>
      <c r="BY66" s="13">
        <f>IF('Données projet'!$A$114&gt;35,BY65+BX66-CG65,IF(A66&lt;'Données projet'!$A$114,$BV$205^A66,IF(A66='Données projet'!$A$114,'Données projet'!$B$114,BY65+BX66-CG65)))</f>
        <v>520.19999999999993</v>
      </c>
      <c r="BZ66" s="14">
        <f>BY66*VLOOKUP('Données projet'!$B$12,Paramètres!$A$1:$I$89,3,0)*VLOOKUP('Données projet'!$B$12,Paramètres!$A$1:$I$89,5,0)</f>
        <v>311.07959999999997</v>
      </c>
      <c r="CA66" s="14">
        <f t="shared" si="39"/>
        <v>73.49424798183118</v>
      </c>
      <c r="CB66" s="22">
        <f t="shared" si="10"/>
        <v>669.79945190168917</v>
      </c>
      <c r="CC66" s="62">
        <f t="shared" si="11"/>
        <v>963.13278523502254</v>
      </c>
      <c r="CD66" s="62">
        <f ca="1">AVERAGE(OFFSET($CC$3,0,0,'Données projet'!$E$12+1,1))-AVERAGE(OFFSET($H$3,0,0,'Données projet'!$E$12+1,1))</f>
        <v>279.69031306919914</v>
      </c>
      <c r="CE66" s="62">
        <f t="shared" si="40"/>
        <v>297.01680128882509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22.972763191806784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7.097161448111601</v>
      </c>
      <c r="CN66" s="24">
        <f t="shared" si="12"/>
        <v>30.069924639918383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2">
        <f t="shared" si="32"/>
        <v>10.648197775908036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70">
        <f t="shared" si="1"/>
        <v>372.73974445970646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-2.2737367544323206E-13</v>
      </c>
      <c r="O67" s="14">
        <f>N67*VLOOKUP('Données projet'!$B$9,Paramètres!$A$1:$I$89,3,0)*VLOOKUP('Données projet'!$B$9,Paramètres!$A$1:$I$89,5,0)</f>
        <v>-1.2710188457276673E-13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378.17323480030268</v>
      </c>
      <c r="T67" s="62">
        <f t="shared" si="34"/>
        <v>471.89239871617241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282.07963770223176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10.803378232391093</v>
      </c>
      <c r="AC67" s="24">
        <f t="shared" si="3"/>
        <v>292.88301593462285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2.2737367544323206E-13</v>
      </c>
      <c r="AJ67" s="14">
        <f>AI67*VLOOKUP('Données projet'!$B$10,Paramètres!$A$1:$I$89,3,0)*VLOOKUP('Données projet'!$B$10,Paramètres!$A$1:$I$89,5,0)</f>
        <v>1.8444552551954985E-13</v>
      </c>
      <c r="AK67" s="14">
        <f t="shared" si="35"/>
        <v>2.580317449479618E-12</v>
      </c>
      <c r="AL67" s="22">
        <f t="shared" si="4"/>
        <v>4.8152955147902165E-12</v>
      </c>
      <c r="AM67" s="62">
        <f t="shared" si="5"/>
        <v>293.33333333333815</v>
      </c>
      <c r="AN67" s="62">
        <f ca="1">AVERAGE(OFFSET($AM$3,0,0,'Données projet'!$E$10+1,1))-AVERAGE(OFFSET($H$3,0,0,'Données projet'!$E$10+1,1))</f>
        <v>199.44889029107367</v>
      </c>
      <c r="AO67" s="62">
        <f t="shared" si="36"/>
        <v>292.30544856287457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76.783872765832896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76.783872765832896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22</v>
      </c>
      <c r="BD67" s="13">
        <f>IF('Données projet'!$A$88&gt;35,BD66+BC67-BL66,IF(A67&lt;'Données projet'!$A$88,$BA$205^A67,IF(A67='Données projet'!$A$88,'Données projet'!$B$88,BD66+BC67-BL66)))</f>
        <v>622.99999999999989</v>
      </c>
      <c r="BE67" s="14">
        <f>BD67*VLOOKUP('Données projet'!$B$11,Paramètres!$A$1:$I$89,3,0)*VLOOKUP('Données projet'!$B$11,Paramètres!$A$1:$I$89,5,0)</f>
        <v>291.56399999999996</v>
      </c>
      <c r="BF67" s="14">
        <f t="shared" si="37"/>
        <v>69.40502878487861</v>
      </c>
      <c r="BG67" s="22">
        <f t="shared" si="7"/>
        <v>628.68772513366355</v>
      </c>
      <c r="BH67" s="62">
        <f t="shared" si="8"/>
        <v>922.02105846699692</v>
      </c>
      <c r="BI67" s="62">
        <f ca="1">AVERAGE(OFFSET($BH$3,0,0,'Données projet'!$E$11+1,1))-AVERAGE(OFFSET($H$3,0,0,'Données projet'!$E$11+1,1))</f>
        <v>256.45505140629194</v>
      </c>
      <c r="BJ67" s="62">
        <f t="shared" si="38"/>
        <v>219.6985760545686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17.231782065017686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17.231782065017686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17.399999999999999</v>
      </c>
      <c r="BY67" s="13">
        <f>IF('Données projet'!$A$114&gt;35,BY66+BX67-CG66,IF(A67&lt;'Données projet'!$A$114,$BV$205^A67,IF(A67='Données projet'!$A$114,'Données projet'!$B$114,BY66+BX67-CG66)))</f>
        <v>537.59999999999991</v>
      </c>
      <c r="BZ67" s="14">
        <f>BY67*VLOOKUP('Données projet'!$B$12,Paramètres!$A$1:$I$89,3,0)*VLOOKUP('Données projet'!$B$12,Paramètres!$A$1:$I$89,5,0)</f>
        <v>321.48479999999995</v>
      </c>
      <c r="CA67" s="14">
        <f t="shared" si="39"/>
        <v>75.662211893590367</v>
      </c>
      <c r="CB67" s="22">
        <f t="shared" si="10"/>
        <v>691.69771238133637</v>
      </c>
      <c r="CC67" s="62">
        <f t="shared" si="11"/>
        <v>985.03104571466974</v>
      </c>
      <c r="CD67" s="62">
        <f ca="1">AVERAGE(OFFSET($CC$3,0,0,'Données projet'!$E$12+1,1))-AVERAGE(OFFSET($H$3,0,0,'Données projet'!$E$12+1,1))</f>
        <v>279.69031306919914</v>
      </c>
      <c r="CE67" s="62">
        <f t="shared" si="40"/>
        <v>297.01680128882509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22.522281317617431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5.0184509871354512</v>
      </c>
      <c r="CN67" s="24">
        <f t="shared" si="12"/>
        <v>27.540732304752883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2">
        <f t="shared" si="32"/>
        <v>10.795076538684501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70">
        <f t="shared" ref="H68:H131" si="56">(B68+E68+F68)*44/12+(C68+D68)*0.475*44/12</f>
        <v>373.94650830487547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-2.2737367544323206E-13</v>
      </c>
      <c r="O68" s="14">
        <f>N68*VLOOKUP('Données projet'!$B$9,Paramètres!$A$1:$I$89,3,0)*VLOOKUP('Données projet'!$B$9,Paramètres!$A$1:$I$89,5,0)</f>
        <v>-1.2710188457276673E-13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378.17323480030268</v>
      </c>
      <c r="T68" s="62">
        <f t="shared" si="34"/>
        <v>471.89239871617241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276.5482280584813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7.6391420078468801</v>
      </c>
      <c r="AC68" s="24">
        <f t="shared" ref="AC68:AC131" si="57">SUM(Z68:AB68)</f>
        <v>284.18737006632819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2.2737367544323206E-13</v>
      </c>
      <c r="AJ68" s="14">
        <f>AI68*VLOOKUP('Données projet'!$B$10,Paramètres!$A$1:$I$89,3,0)*VLOOKUP('Données projet'!$B$10,Paramètres!$A$1:$I$89,5,0)</f>
        <v>1.8444552551954985E-13</v>
      </c>
      <c r="AK68" s="14">
        <f t="shared" si="35"/>
        <v>2.580317449479618E-12</v>
      </c>
      <c r="AL68" s="22">
        <f t="shared" ref="AL68:AL131" si="58">(AJ68+AK68)*0.475*44/12</f>
        <v>4.8152955147902165E-12</v>
      </c>
      <c r="AM68" s="62">
        <f t="shared" ref="AM68:AM131" si="59">AL68+(AD68+AE68)*44/12</f>
        <v>293.33333333333815</v>
      </c>
      <c r="AN68" s="62">
        <f ca="1">AVERAGE(OFFSET($AM$3,0,0,'Données projet'!$E$10+1,1))-AVERAGE(OFFSET($H$3,0,0,'Données projet'!$E$10+1,1))</f>
        <v>199.44889029107367</v>
      </c>
      <c r="AO68" s="62">
        <f t="shared" si="36"/>
        <v>292.30544856287457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75.278187854432872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75.278187854432872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22</v>
      </c>
      <c r="BD68" s="13">
        <f>IF('Données projet'!$A$88&gt;35,BD67+BC68-BL67,IF(A68&lt;'Données projet'!$A$88,$BA$205^A68,IF(A68='Données projet'!$A$88,'Données projet'!$B$88,BD67+BC68-BL67)))</f>
        <v>644.99999999999989</v>
      </c>
      <c r="BE68" s="14">
        <f>BD68*VLOOKUP('Données projet'!$B$11,Paramètres!$A$1:$I$89,3,0)*VLOOKUP('Données projet'!$B$11,Paramètres!$A$1:$I$89,5,0)</f>
        <v>301.85999999999996</v>
      </c>
      <c r="BF68" s="14">
        <f t="shared" si="37"/>
        <v>71.566250541226992</v>
      </c>
      <c r="BG68" s="22">
        <f t="shared" ref="BG68:BG131" si="61">(BE68+BF68)*0.475*44/12</f>
        <v>650.38405302597027</v>
      </c>
      <c r="BH68" s="62">
        <f t="shared" ref="BH68:BH131" si="62">BG68+(AY68+AZ68)*44/12</f>
        <v>943.71738635930365</v>
      </c>
      <c r="BI68" s="62">
        <f ca="1">AVERAGE(OFFSET($BH$3,0,0,'Données projet'!$E$11+1,1))-AVERAGE(OFFSET($H$3,0,0,'Données projet'!$E$11+1,1))</f>
        <v>256.45505140629194</v>
      </c>
      <c r="BJ68" s="62">
        <f t="shared" si="38"/>
        <v>219.6985760545686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16.893877329071938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16.893877329071938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555</v>
      </c>
      <c r="BW68" s="13">
        <f>VLOOKUP(A68,'Données projet'!$A$113:$I$133,9,0)</f>
        <v>17.399999999999999</v>
      </c>
      <c r="BX68" s="13">
        <f t="array" ref="BX68">INDEX(BW:BW,MIN(IF(ISNUMBER(BW68:BW264),ROW(BW68:BW264),"")))</f>
        <v>17.399999999999999</v>
      </c>
      <c r="BY68" s="13">
        <f>IF('Données projet'!$A$114&gt;35,BY67+BX68-CG67,IF(A68&lt;'Données projet'!$A$114,$BV$205^A68,IF(A68='Données projet'!$A$114,'Données projet'!$B$114,BY67+BX68-CG67)))</f>
        <v>554.99999999999989</v>
      </c>
      <c r="BZ68" s="14">
        <f>BY68*VLOOKUP('Données projet'!$B$12,Paramètres!$A$1:$I$89,3,0)*VLOOKUP('Données projet'!$B$12,Paramètres!$A$1:$I$89,5,0)</f>
        <v>331.88999999999993</v>
      </c>
      <c r="CA68" s="14">
        <f t="shared" si="39"/>
        <v>77.822022056956186</v>
      </c>
      <c r="CB68" s="22">
        <f t="shared" ref="CB68:CB131" si="64">(BZ68+CA68)*0.475*44/12</f>
        <v>713.58177174919854</v>
      </c>
      <c r="CC68" s="62">
        <f t="shared" ref="CC68:CC131" si="65">CB68+(BT68+BU68)*44/12</f>
        <v>1006.9151050825319</v>
      </c>
      <c r="CD68" s="62">
        <f ca="1">AVERAGE(OFFSET($CC$3,0,0,'Données projet'!$E$12+1,1))-AVERAGE(OFFSET($H$3,0,0,'Données projet'!$E$12+1,1))</f>
        <v>279.69031306919914</v>
      </c>
      <c r="CE68" s="62">
        <f t="shared" si="40"/>
        <v>297.01680128882509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555</v>
      </c>
      <c r="CH68" s="17">
        <f>IF(ISNA(VLOOKUP(A68,'Données projet'!$A$113:$I$133,5,0)),0%,VLOOKUP(A68,'Données projet'!$A$113:$I$133,5,0)*VLOOKUP('Données projet'!$B$12,Paramètres!$A$1:$I$89,7,0))</f>
        <v>0.36000000000000004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0.2</v>
      </c>
      <c r="CK68" s="23">
        <f>EXP(-LN(2)/35)*CK67+(1-EXP(-LN(2)/35))/(LN(2)/35)*CG68*CH68*VLOOKUP('Données projet'!$B$12,Paramètres!$A$1:$I$89,3,0)*0.475*44/12</f>
        <v>180.57908487991256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78.703896169267537</v>
      </c>
      <c r="CN68" s="24">
        <f t="shared" ref="CN68:CN131" si="66">SUM(CK68:CM68)</f>
        <v>259.28298104918008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2">
        <f t="shared" ref="D69:D132" si="86">IFERROR(EXP(-1.0587+0.8836*LN(C69)+0.284),0)</f>
        <v>10.941692499899732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70">
        <f t="shared" si="56"/>
        <v>375.15281443732528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-2.2737367544323206E-13</v>
      </c>
      <c r="O69" s="14">
        <f>N69*VLOOKUP('Données projet'!$B$9,Paramètres!$A$1:$I$89,3,0)*VLOOKUP('Données projet'!$B$9,Paramètres!$A$1:$I$89,5,0)</f>
        <v>-1.2710188457276673E-13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378.17323480030268</v>
      </c>
      <c r="T69" s="62">
        <f t="shared" ref="T69:T132" si="88">$T$3</f>
        <v>471.89239871617241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271.12528598401803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5.4016891161955476</v>
      </c>
      <c r="AC69" s="24">
        <f t="shared" si="57"/>
        <v>276.52697510021358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2.2737367544323206E-13</v>
      </c>
      <c r="AJ69" s="14">
        <f>AI69*VLOOKUP('Données projet'!$B$10,Paramètres!$A$1:$I$89,3,0)*VLOOKUP('Données projet'!$B$10,Paramètres!$A$1:$I$89,5,0)</f>
        <v>1.8444552551954985E-13</v>
      </c>
      <c r="AK69" s="14">
        <f t="shared" ref="AK69:AK132" si="89">EXP(-1.0587+0.8836*LN(AJ69)+0.284)</f>
        <v>2.580317449479618E-12</v>
      </c>
      <c r="AL69" s="22">
        <f t="shared" si="58"/>
        <v>4.8152955147902165E-12</v>
      </c>
      <c r="AM69" s="62">
        <f t="shared" si="59"/>
        <v>293.33333333333815</v>
      </c>
      <c r="AN69" s="62">
        <f ca="1">AVERAGE(OFFSET($AM$3,0,0,'Données projet'!$E$10+1,1))-AVERAGE(OFFSET($H$3,0,0,'Données projet'!$E$10+1,1))</f>
        <v>199.44889029107367</v>
      </c>
      <c r="AO69" s="62">
        <f t="shared" ref="AO69:AO132" si="90">$AO$3</f>
        <v>292.30544856287457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73.802028505768291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73.802028505768291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22</v>
      </c>
      <c r="BD69" s="13">
        <f>IF('Données projet'!$A$88&gt;35,BD68+BC69-BL68,IF(A69&lt;'Données projet'!$A$88,$BA$205^A69,IF(A69='Données projet'!$A$88,'Données projet'!$B$88,BD68+BC69-BL68)))</f>
        <v>666.99999999999989</v>
      </c>
      <c r="BE69" s="14">
        <f>BD69*VLOOKUP('Données projet'!$B$11,Paramètres!$A$1:$I$89,3,0)*VLOOKUP('Données projet'!$B$11,Paramètres!$A$1:$I$89,5,0)</f>
        <v>312.15599999999995</v>
      </c>
      <c r="BF69" s="14">
        <f t="shared" ref="BF69:BF132" si="91">EXP(-1.0587+0.8836*LN(BE69)+0.284)</f>
        <v>73.718907001002549</v>
      </c>
      <c r="BG69" s="22">
        <f t="shared" si="61"/>
        <v>672.06546302674599</v>
      </c>
      <c r="BH69" s="62">
        <f t="shared" si="62"/>
        <v>965.39879636007936</v>
      </c>
      <c r="BI69" s="62">
        <f ca="1">AVERAGE(OFFSET($BH$3,0,0,'Données projet'!$E$11+1,1))-AVERAGE(OFFSET($H$3,0,0,'Données projet'!$E$11+1,1))</f>
        <v>256.45505140629194</v>
      </c>
      <c r="BJ69" s="62">
        <f t="shared" ref="BJ69:BJ132" si="92">$BJ$3</f>
        <v>219.6985760545686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16.562598698896547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16.562598698896547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-1.1368683772161603E-13</v>
      </c>
      <c r="BZ69" s="14">
        <f>BY69*VLOOKUP('Données projet'!$B$12,Paramètres!$A$1:$I$89,3,0)*VLOOKUP('Données projet'!$B$12,Paramètres!$A$1:$I$89,5,0)</f>
        <v>-6.7984728957526396E-14</v>
      </c>
      <c r="CA69" s="14" t="e">
        <f t="shared" ref="CA69:CA132" si="93">EXP(-1.0587+0.8836*LN(BZ69)+0.284)</f>
        <v>#NUM!</v>
      </c>
      <c r="CB69" s="22" t="e">
        <f t="shared" si="64"/>
        <v>#NUM!</v>
      </c>
      <c r="CC69" s="62" t="e">
        <f t="shared" si="65"/>
        <v>#NUM!</v>
      </c>
      <c r="CD69" s="62">
        <f ca="1">AVERAGE(OFFSET($CC$3,0,0,'Données projet'!$E$12+1,1))-AVERAGE(OFFSET($H$3,0,0,'Données projet'!$E$12+1,1))</f>
        <v>279.69031306919914</v>
      </c>
      <c r="CE69" s="62">
        <f t="shared" ref="CE69:CE132" si="94">$CE$3</f>
        <v>297.01680128882509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177.03803916778358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55.652058687091021</v>
      </c>
      <c r="CN69" s="24">
        <f t="shared" si="66"/>
        <v>232.69009785487461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2">
        <f t="shared" si="86"/>
        <v>11.088050101306514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70">
        <f t="shared" si="56"/>
        <v>376.3586705931088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-2.2737367544323206E-13</v>
      </c>
      <c r="O70" s="14">
        <f>N70*VLOOKUP('Données projet'!$B$9,Paramètres!$A$1:$I$89,3,0)*VLOOKUP('Données projet'!$B$9,Paramètres!$A$1:$I$89,5,0)</f>
        <v>-1.2710188457276673E-13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378.17323480030268</v>
      </c>
      <c r="T70" s="62">
        <f t="shared" si="88"/>
        <v>471.89239871617241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265.80868449596693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3.8195710039234405</v>
      </c>
      <c r="AC70" s="24">
        <f t="shared" si="57"/>
        <v>269.62825549989037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2.2737367544323206E-13</v>
      </c>
      <c r="AJ70" s="14">
        <f>AI70*VLOOKUP('Données projet'!$B$10,Paramètres!$A$1:$I$89,3,0)*VLOOKUP('Données projet'!$B$10,Paramètres!$A$1:$I$89,5,0)</f>
        <v>1.8444552551954985E-13</v>
      </c>
      <c r="AK70" s="14">
        <f t="shared" si="89"/>
        <v>2.580317449479618E-12</v>
      </c>
      <c r="AL70" s="22">
        <f t="shared" si="58"/>
        <v>4.8152955147902165E-12</v>
      </c>
      <c r="AM70" s="62">
        <f t="shared" si="59"/>
        <v>293.33333333333815</v>
      </c>
      <c r="AN70" s="62">
        <f ca="1">AVERAGE(OFFSET($AM$3,0,0,'Données projet'!$E$10+1,1))-AVERAGE(OFFSET($H$3,0,0,'Données projet'!$E$10+1,1))</f>
        <v>199.44889029107367</v>
      </c>
      <c r="AO70" s="62">
        <f t="shared" si="90"/>
        <v>292.30544856287457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72.354815741562717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72.354815741562717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22</v>
      </c>
      <c r="BD70" s="13">
        <f>IF('Données projet'!$A$88&gt;35,BD69+BC70-BL69,IF(A70&lt;'Données projet'!$A$88,$BA$205^A70,IF(A70='Données projet'!$A$88,'Données projet'!$B$88,BD69+BC70-BL69)))</f>
        <v>688.99999999999989</v>
      </c>
      <c r="BE70" s="14">
        <f>BD70*VLOOKUP('Données projet'!$B$11,Paramètres!$A$1:$I$89,3,0)*VLOOKUP('Données projet'!$B$11,Paramètres!$A$1:$I$89,5,0)</f>
        <v>322.45199999999994</v>
      </c>
      <c r="BF70" s="14">
        <f t="shared" si="91"/>
        <v>75.863313073590803</v>
      </c>
      <c r="BG70" s="22">
        <f t="shared" si="61"/>
        <v>693.73250360317058</v>
      </c>
      <c r="BH70" s="62">
        <f t="shared" si="62"/>
        <v>987.06583693650396</v>
      </c>
      <c r="BI70" s="62">
        <f ca="1">AVERAGE(OFFSET($BH$3,0,0,'Données projet'!$E$11+1,1))-AVERAGE(OFFSET($H$3,0,0,'Données projet'!$E$11+1,1))</f>
        <v>256.45505140629194</v>
      </c>
      <c r="BJ70" s="62">
        <f t="shared" si="92"/>
        <v>219.6985760545686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16.237816240598885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16.237816240598885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-1.1368683772161603E-13</v>
      </c>
      <c r="BZ70" s="14">
        <f>BY70*VLOOKUP('Données projet'!$B$12,Paramètres!$A$1:$I$89,3,0)*VLOOKUP('Données projet'!$B$12,Paramètres!$A$1:$I$89,5,0)</f>
        <v>-6.7984728957526396E-14</v>
      </c>
      <c r="CA70" s="14" t="e">
        <f t="shared" si="93"/>
        <v>#NUM!</v>
      </c>
      <c r="CB70" s="22" t="e">
        <f t="shared" si="64"/>
        <v>#NUM!</v>
      </c>
      <c r="CC70" s="62" t="e">
        <f t="shared" si="65"/>
        <v>#NUM!</v>
      </c>
      <c r="CD70" s="62">
        <f ca="1">AVERAGE(OFFSET($CC$3,0,0,'Données projet'!$E$12+1,1))-AVERAGE(OFFSET($H$3,0,0,'Données projet'!$E$12+1,1))</f>
        <v>279.69031306919914</v>
      </c>
      <c r="CE70" s="62">
        <f t="shared" si="94"/>
        <v>297.01680128882509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173.56643120224484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39.351948084633776</v>
      </c>
      <c r="CN70" s="24">
        <f t="shared" si="66"/>
        <v>212.91837928687863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2">
        <f t="shared" si="86"/>
        <v>11.234153644457548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70">
        <f t="shared" si="56"/>
        <v>377.56408426409683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-2.2737367544323206E-13</v>
      </c>
      <c r="O71" s="14">
        <f>N71*VLOOKUP('Données projet'!$B$9,Paramètres!$A$1:$I$89,3,0)*VLOOKUP('Données projet'!$B$9,Paramètres!$A$1:$I$89,5,0)</f>
        <v>-1.2710188457276673E-13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378.17323480030268</v>
      </c>
      <c r="T71" s="62">
        <f t="shared" si="88"/>
        <v>471.89239871617241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260.59633832028982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2.7008445580977742</v>
      </c>
      <c r="AC71" s="24">
        <f t="shared" si="57"/>
        <v>263.29718287838762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2.2737367544323206E-13</v>
      </c>
      <c r="AJ71" s="14">
        <f>AI71*VLOOKUP('Données projet'!$B$10,Paramètres!$A$1:$I$89,3,0)*VLOOKUP('Données projet'!$B$10,Paramètres!$A$1:$I$89,5,0)</f>
        <v>1.8444552551954985E-13</v>
      </c>
      <c r="AK71" s="14">
        <f t="shared" si="89"/>
        <v>2.580317449479618E-12</v>
      </c>
      <c r="AL71" s="22">
        <f t="shared" si="58"/>
        <v>4.8152955147902165E-12</v>
      </c>
      <c r="AM71" s="62">
        <f t="shared" si="59"/>
        <v>293.33333333333815</v>
      </c>
      <c r="AN71" s="62">
        <f ca="1">AVERAGE(OFFSET($AM$3,0,0,'Données projet'!$E$10+1,1))-AVERAGE(OFFSET($H$3,0,0,'Données projet'!$E$10+1,1))</f>
        <v>199.44889029107367</v>
      </c>
      <c r="AO71" s="62">
        <f t="shared" si="90"/>
        <v>292.30544856287457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70.935981936950597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70.935981936950597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22</v>
      </c>
      <c r="BD71" s="13">
        <f>IF('Données projet'!$A$88&gt;35,BD70+BC71-BL70,IF(A71&lt;'Données projet'!$A$88,$BA$205^A71,IF(A71='Données projet'!$A$88,'Données projet'!$B$88,BD70+BC71-BL70)))</f>
        <v>710.99999999999989</v>
      </c>
      <c r="BE71" s="14">
        <f>BD71*VLOOKUP('Données projet'!$B$11,Paramètres!$A$1:$I$89,3,0)*VLOOKUP('Données projet'!$B$11,Paramètres!$A$1:$I$89,5,0)</f>
        <v>332.74799999999993</v>
      </c>
      <c r="BF71" s="14">
        <f t="shared" si="91"/>
        <v>77.999762416165765</v>
      </c>
      <c r="BG71" s="22">
        <f t="shared" si="61"/>
        <v>715.38568620815522</v>
      </c>
      <c r="BH71" s="62">
        <f t="shared" si="62"/>
        <v>1008.7190195414885</v>
      </c>
      <c r="BI71" s="62">
        <f ca="1">AVERAGE(OFFSET($BH$3,0,0,'Données projet'!$E$11+1,1))-AVERAGE(OFFSET($H$3,0,0,'Données projet'!$E$11+1,1))</f>
        <v>256.45505140629194</v>
      </c>
      <c r="BJ71" s="62">
        <f t="shared" si="92"/>
        <v>219.6985760545686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15.9194025682107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15.9194025682107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-1.1368683772161603E-13</v>
      </c>
      <c r="BZ71" s="14">
        <f>BY71*VLOOKUP('Données projet'!$B$12,Paramètres!$A$1:$I$89,3,0)*VLOOKUP('Données projet'!$B$12,Paramètres!$A$1:$I$89,5,0)</f>
        <v>-6.7984728957526396E-14</v>
      </c>
      <c r="CA71" s="14" t="e">
        <f t="shared" si="93"/>
        <v>#NUM!</v>
      </c>
      <c r="CB71" s="22" t="e">
        <f t="shared" si="64"/>
        <v>#NUM!</v>
      </c>
      <c r="CC71" s="62" t="e">
        <f t="shared" si="65"/>
        <v>#NUM!</v>
      </c>
      <c r="CD71" s="62">
        <f ca="1">AVERAGE(OFFSET($CC$3,0,0,'Données projet'!$E$12+1,1))-AVERAGE(OFFSET($H$3,0,0,'Données projet'!$E$12+1,1))</f>
        <v>279.69031306919914</v>
      </c>
      <c r="CE71" s="62">
        <f t="shared" si="94"/>
        <v>297.01680128882509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170.16289935143854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27.826029343545514</v>
      </c>
      <c r="CN71" s="24">
        <f t="shared" si="66"/>
        <v>197.98892869498405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2">
        <f t="shared" si="86"/>
        <v>11.380007297126165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70">
        <f t="shared" si="56"/>
        <v>378.76906270916135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-2.2737367544323206E-13</v>
      </c>
      <c r="O72" s="14">
        <f>N72*VLOOKUP('Données projet'!$B$9,Paramètres!$A$1:$I$89,3,0)*VLOOKUP('Données projet'!$B$9,Paramètres!$A$1:$I$89,5,0)</f>
        <v>-1.2710188457276673E-13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378.17323480030268</v>
      </c>
      <c r="T72" s="62">
        <f t="shared" si="88"/>
        <v>471.89239871617241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255.4862030739005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1.9097855019617207</v>
      </c>
      <c r="AC72" s="24">
        <f t="shared" si="57"/>
        <v>257.39598857586219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2.2737367544323206E-13</v>
      </c>
      <c r="AJ72" s="14">
        <f>AI72*VLOOKUP('Données projet'!$B$10,Paramètres!$A$1:$I$89,3,0)*VLOOKUP('Données projet'!$B$10,Paramètres!$A$1:$I$89,5,0)</f>
        <v>1.8444552551954985E-13</v>
      </c>
      <c r="AK72" s="14">
        <f t="shared" si="89"/>
        <v>2.580317449479618E-12</v>
      </c>
      <c r="AL72" s="22">
        <f t="shared" si="58"/>
        <v>4.8152955147902165E-12</v>
      </c>
      <c r="AM72" s="62">
        <f t="shared" si="59"/>
        <v>293.33333333333815</v>
      </c>
      <c r="AN72" s="62">
        <f ca="1">AVERAGE(OFFSET($AM$3,0,0,'Données projet'!$E$10+1,1))-AVERAGE(OFFSET($H$3,0,0,'Données projet'!$E$10+1,1))</f>
        <v>199.44889029107367</v>
      </c>
      <c r="AO72" s="62">
        <f t="shared" si="90"/>
        <v>292.30544856287457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69.544970597843744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69.544970597843744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22</v>
      </c>
      <c r="BD72" s="13">
        <f>IF('Données projet'!$A$88&gt;35,BD71+BC72-BL71,IF(A72&lt;'Données projet'!$A$88,$BA$205^A72,IF(A72='Données projet'!$A$88,'Données projet'!$B$88,BD71+BC72-BL71)))</f>
        <v>732.99999999999989</v>
      </c>
      <c r="BE72" s="14">
        <f>BD72*VLOOKUP('Données projet'!$B$11,Paramètres!$A$1:$I$89,3,0)*VLOOKUP('Données projet'!$B$11,Paramètres!$A$1:$I$89,5,0)</f>
        <v>343.04399999999993</v>
      </c>
      <c r="BF72" s="14">
        <f t="shared" si="91"/>
        <v>80.128529480656951</v>
      </c>
      <c r="BG72" s="22">
        <f t="shared" si="61"/>
        <v>737.0254888454773</v>
      </c>
      <c r="BH72" s="62">
        <f t="shared" si="62"/>
        <v>1030.3588221788107</v>
      </c>
      <c r="BI72" s="62">
        <f ca="1">AVERAGE(OFFSET($BH$3,0,0,'Données projet'!$E$11+1,1))-AVERAGE(OFFSET($H$3,0,0,'Données projet'!$E$11+1,1))</f>
        <v>256.45505140629194</v>
      </c>
      <c r="BJ72" s="62">
        <f t="shared" si="92"/>
        <v>219.6985760545686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15.607232793724883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15.607232793724883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-1.1368683772161603E-13</v>
      </c>
      <c r="BZ72" s="14">
        <f>BY72*VLOOKUP('Données projet'!$B$12,Paramètres!$A$1:$I$89,3,0)*VLOOKUP('Données projet'!$B$12,Paramètres!$A$1:$I$89,5,0)</f>
        <v>-6.7984728957526396E-14</v>
      </c>
      <c r="CA72" s="14" t="e">
        <f t="shared" si="93"/>
        <v>#NUM!</v>
      </c>
      <c r="CB72" s="22" t="e">
        <f t="shared" si="64"/>
        <v>#NUM!</v>
      </c>
      <c r="CC72" s="62" t="e">
        <f t="shared" si="65"/>
        <v>#NUM!</v>
      </c>
      <c r="CD72" s="62">
        <f ca="1">AVERAGE(OFFSET($CC$3,0,0,'Données projet'!$E$12+1,1))-AVERAGE(OFFSET($H$3,0,0,'Données projet'!$E$12+1,1))</f>
        <v>279.69031306919914</v>
      </c>
      <c r="CE72" s="62">
        <f t="shared" si="94"/>
        <v>297.01680128882509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166.8261086842771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19.675974042316891</v>
      </c>
      <c r="CN72" s="24">
        <f t="shared" si="66"/>
        <v>186.50208272659398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2">
        <f t="shared" si="86"/>
        <v>11.525615099344252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70">
        <f t="shared" si="56"/>
        <v>379.97361296469114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-2.2737367544323206E-13</v>
      </c>
      <c r="O73" s="14">
        <f>N73*VLOOKUP('Données projet'!$B$9,Paramètres!$A$1:$I$89,3,0)*VLOOKUP('Données projet'!$B$9,Paramètres!$A$1:$I$89,5,0)</f>
        <v>-1.2710188457276673E-13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378.17323480030268</v>
      </c>
      <c r="T73" s="62">
        <f t="shared" si="88"/>
        <v>471.89239871617241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250.47627446281814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1.3504222790488873</v>
      </c>
      <c r="AC73" s="24">
        <f t="shared" si="57"/>
        <v>251.82669674186704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2.2737367544323206E-13</v>
      </c>
      <c r="AJ73" s="14">
        <f>AI73*VLOOKUP('Données projet'!$B$10,Paramètres!$A$1:$I$89,3,0)*VLOOKUP('Données projet'!$B$10,Paramètres!$A$1:$I$89,5,0)</f>
        <v>1.8444552551954985E-13</v>
      </c>
      <c r="AK73" s="14">
        <f t="shared" si="89"/>
        <v>2.580317449479618E-12</v>
      </c>
      <c r="AL73" s="22">
        <f t="shared" si="58"/>
        <v>4.8152955147902165E-12</v>
      </c>
      <c r="AM73" s="62">
        <f t="shared" si="59"/>
        <v>293.33333333333815</v>
      </c>
      <c r="AN73" s="62">
        <f ca="1">AVERAGE(OFFSET($AM$3,0,0,'Données projet'!$E$10+1,1))-AVERAGE(OFFSET($H$3,0,0,'Données projet'!$E$10+1,1))</f>
        <v>199.44889029107367</v>
      </c>
      <c r="AO73" s="62">
        <f t="shared" si="90"/>
        <v>292.30544856287457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68.181236142663636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68.181236142663636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755</v>
      </c>
      <c r="BB73" s="13">
        <f>VLOOKUP(A73,'Données projet'!$A$87:$I$107,9,0)</f>
        <v>22</v>
      </c>
      <c r="BC73" s="13">
        <f t="array" ref="BC73">INDEX(BB:BB,MIN(IF(ISNUMBER(BB73:BB269),ROW(BB73:BB269),"")))</f>
        <v>22</v>
      </c>
      <c r="BD73" s="13">
        <f>IF('Données projet'!$A$88&gt;35,BD72+BC73-BL72,IF(A73&lt;'Données projet'!$A$88,$BA$205^A73,IF(A73='Données projet'!$A$88,'Données projet'!$B$88,BD72+BC73-BL72)))</f>
        <v>754.99999999999989</v>
      </c>
      <c r="BE73" s="14">
        <f>BD73*VLOOKUP('Données projet'!$B$11,Paramètres!$A$1:$I$89,3,0)*VLOOKUP('Données projet'!$B$11,Paramètres!$A$1:$I$89,5,0)</f>
        <v>353.34</v>
      </c>
      <c r="BF73" s="14">
        <f t="shared" si="91"/>
        <v>82.249871308063717</v>
      </c>
      <c r="BG73" s="22">
        <f t="shared" si="61"/>
        <v>758.65235919487759</v>
      </c>
      <c r="BH73" s="62">
        <f t="shared" si="62"/>
        <v>1051.9856925282108</v>
      </c>
      <c r="BI73" s="62">
        <f ca="1">AVERAGE(OFFSET($BH$3,0,0,'Données projet'!$E$11+1,1))-AVERAGE(OFFSET($H$3,0,0,'Données projet'!$E$11+1,1))</f>
        <v>256.45505140629194</v>
      </c>
      <c r="BJ73" s="62">
        <f t="shared" si="92"/>
        <v>219.6985760545686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225</v>
      </c>
      <c r="BM73" s="17">
        <f>IF(ISNA(VLOOKUP(A73,'Données projet'!$A$87:$I$107,5,0)),0%,VLOOKUP(A73,'Données projet'!$A$87:$I$107,5,0)*VLOOKUP('Données projet'!$B$11,Paramètres!$A$1:$I$89,7,0))</f>
        <v>0.44000000000000006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76.763568827536758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76.763568827536758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-1.1368683772161603E-13</v>
      </c>
      <c r="BZ73" s="14">
        <f>BY73*VLOOKUP('Données projet'!$B$12,Paramètres!$A$1:$I$89,3,0)*VLOOKUP('Données projet'!$B$12,Paramètres!$A$1:$I$89,5,0)</f>
        <v>-6.7984728957526396E-14</v>
      </c>
      <c r="CA73" s="14" t="e">
        <f t="shared" si="93"/>
        <v>#NUM!</v>
      </c>
      <c r="CB73" s="22" t="e">
        <f t="shared" si="64"/>
        <v>#NUM!</v>
      </c>
      <c r="CC73" s="62" t="e">
        <f t="shared" si="65"/>
        <v>#NUM!</v>
      </c>
      <c r="CD73" s="62">
        <f ca="1">AVERAGE(OFFSET($CC$3,0,0,'Données projet'!$E$12+1,1))-AVERAGE(OFFSET($H$3,0,0,'Données projet'!$E$12+1,1))</f>
        <v>279.69031306919914</v>
      </c>
      <c r="CE73" s="62">
        <f t="shared" si="94"/>
        <v>297.01680128882509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163.55475044685735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13.913014671772761</v>
      </c>
      <c r="CN73" s="24">
        <f t="shared" si="66"/>
        <v>177.46776511863013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2">
        <f t="shared" si="86"/>
        <v>11.670980969085333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70">
        <f t="shared" si="56"/>
        <v>381.17774185449025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-2.2737367544323206E-13</v>
      </c>
      <c r="O74" s="14">
        <f>N74*VLOOKUP('Données projet'!$B$9,Paramètres!$A$1:$I$89,3,0)*VLOOKUP('Données projet'!$B$9,Paramètres!$A$1:$I$89,5,0)</f>
        <v>-1.2710188457276673E-13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378.17323480030268</v>
      </c>
      <c r="T74" s="62">
        <f t="shared" si="88"/>
        <v>471.89239871617241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245.56458749604437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0.95489275098086046</v>
      </c>
      <c r="AC74" s="24">
        <f t="shared" si="57"/>
        <v>246.51948024702523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2.2737367544323206E-13</v>
      </c>
      <c r="AJ74" s="14">
        <f>AI74*VLOOKUP('Données projet'!$B$10,Paramètres!$A$1:$I$89,3,0)*VLOOKUP('Données projet'!$B$10,Paramètres!$A$1:$I$89,5,0)</f>
        <v>1.8444552551954985E-13</v>
      </c>
      <c r="AK74" s="14">
        <f t="shared" si="89"/>
        <v>2.580317449479618E-12</v>
      </c>
      <c r="AL74" s="22">
        <f t="shared" si="58"/>
        <v>4.8152955147902165E-12</v>
      </c>
      <c r="AM74" s="62">
        <f t="shared" si="59"/>
        <v>293.33333333333815</v>
      </c>
      <c r="AN74" s="62">
        <f ca="1">AVERAGE(OFFSET($AM$3,0,0,'Données projet'!$E$10+1,1))-AVERAGE(OFFSET($H$3,0,0,'Données projet'!$E$10+1,1))</f>
        <v>199.44889029107367</v>
      </c>
      <c r="AO74" s="62">
        <f t="shared" si="90"/>
        <v>292.30544856287457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66.844243688353728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66.844243688353728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529.99999999999989</v>
      </c>
      <c r="BE74" s="14">
        <f>BD74*VLOOKUP('Données projet'!$B$11,Paramètres!$A$1:$I$89,3,0)*VLOOKUP('Données projet'!$B$11,Paramètres!$A$1:$I$89,5,0)</f>
        <v>248.03999999999994</v>
      </c>
      <c r="BF74" s="14">
        <f t="shared" si="91"/>
        <v>60.166044284441391</v>
      </c>
      <c r="BG74" s="22">
        <f t="shared" si="61"/>
        <v>536.79219379540189</v>
      </c>
      <c r="BH74" s="62">
        <f t="shared" si="62"/>
        <v>830.12552712873526</v>
      </c>
      <c r="BI74" s="62">
        <f ca="1">AVERAGE(OFFSET($BH$3,0,0,'Données projet'!$E$11+1,1))-AVERAGE(OFFSET($H$3,0,0,'Données projet'!$E$11+1,1))</f>
        <v>256.45505140629194</v>
      </c>
      <c r="BJ74" s="62">
        <f t="shared" si="92"/>
        <v>219.6985760545686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75.258282063982548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75.258282063982548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-1.1368683772161603E-13</v>
      </c>
      <c r="BZ74" s="14">
        <f>BY74*VLOOKUP('Données projet'!$B$12,Paramètres!$A$1:$I$89,3,0)*VLOOKUP('Données projet'!$B$12,Paramètres!$A$1:$I$89,5,0)</f>
        <v>-6.7984728957526396E-14</v>
      </c>
      <c r="CA74" s="14" t="e">
        <f t="shared" si="93"/>
        <v>#NUM!</v>
      </c>
      <c r="CB74" s="22" t="e">
        <f t="shared" si="64"/>
        <v>#NUM!</v>
      </c>
      <c r="CC74" s="62" t="e">
        <f t="shared" si="65"/>
        <v>#NUM!</v>
      </c>
      <c r="CD74" s="62">
        <f ca="1">AVERAGE(OFFSET($CC$3,0,0,'Données projet'!$E$12+1,1))-AVERAGE(OFFSET($H$3,0,0,'Données projet'!$E$12+1,1))</f>
        <v>279.69031306919914</v>
      </c>
      <c r="CE74" s="62">
        <f t="shared" si="94"/>
        <v>297.01680128882509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160.34754154914191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9.8379870211584475</v>
      </c>
      <c r="CN74" s="24">
        <f t="shared" si="66"/>
        <v>170.18552857030036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2">
        <f t="shared" si="86"/>
        <v>11.816108707618389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70">
        <f t="shared" si="56"/>
        <v>382.38145599910195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-2.2737367544323206E-13</v>
      </c>
      <c r="O75" s="14">
        <f>N75*VLOOKUP('Données projet'!$B$9,Paramètres!$A$1:$I$89,3,0)*VLOOKUP('Données projet'!$B$9,Paramètres!$A$1:$I$89,5,0)</f>
        <v>-1.2710188457276673E-13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378.17323480030268</v>
      </c>
      <c r="T75" s="62">
        <f t="shared" si="88"/>
        <v>471.89239871617241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240.74921571485581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0.67521113952444378</v>
      </c>
      <c r="AC75" s="24">
        <f t="shared" si="57"/>
        <v>241.42442685438024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2.2737367544323206E-13</v>
      </c>
      <c r="AJ75" s="14">
        <f>AI75*VLOOKUP('Données projet'!$B$10,Paramètres!$A$1:$I$89,3,0)*VLOOKUP('Données projet'!$B$10,Paramètres!$A$1:$I$89,5,0)</f>
        <v>1.8444552551954985E-13</v>
      </c>
      <c r="AK75" s="14">
        <f t="shared" si="89"/>
        <v>2.580317449479618E-12</v>
      </c>
      <c r="AL75" s="22">
        <f t="shared" si="58"/>
        <v>4.8152955147902165E-12</v>
      </c>
      <c r="AM75" s="62">
        <f t="shared" si="59"/>
        <v>293.33333333333815</v>
      </c>
      <c r="AN75" s="62">
        <f ca="1">AVERAGE(OFFSET($AM$3,0,0,'Données projet'!$E$10+1,1))-AVERAGE(OFFSET($H$3,0,0,'Données projet'!$E$10+1,1))</f>
        <v>199.44889029107367</v>
      </c>
      <c r="AO75" s="62">
        <f t="shared" si="90"/>
        <v>292.30544856287457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65.533468840587958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65.533468840587958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529.99999999999989</v>
      </c>
      <c r="BE75" s="14">
        <f>BD75*VLOOKUP('Données projet'!$B$11,Paramètres!$A$1:$I$89,3,0)*VLOOKUP('Données projet'!$B$11,Paramètres!$A$1:$I$89,5,0)</f>
        <v>248.03999999999994</v>
      </c>
      <c r="BF75" s="14">
        <f t="shared" si="91"/>
        <v>60.166044284441391</v>
      </c>
      <c r="BG75" s="22">
        <f t="shared" si="61"/>
        <v>536.79219379540189</v>
      </c>
      <c r="BH75" s="62">
        <f t="shared" si="62"/>
        <v>830.12552712873526</v>
      </c>
      <c r="BI75" s="62">
        <f ca="1">AVERAGE(OFFSET($BH$3,0,0,'Données projet'!$E$11+1,1))-AVERAGE(OFFSET($H$3,0,0,'Données projet'!$E$11+1,1))</f>
        <v>256.45505140629194</v>
      </c>
      <c r="BJ75" s="62">
        <f t="shared" si="92"/>
        <v>219.6985760545686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73.782513055727364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73.782513055727364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-1.1368683772161603E-13</v>
      </c>
      <c r="BZ75" s="14">
        <f>BY75*VLOOKUP('Données projet'!$B$12,Paramètres!$A$1:$I$89,3,0)*VLOOKUP('Données projet'!$B$12,Paramètres!$A$1:$I$89,5,0)</f>
        <v>-6.7984728957526396E-14</v>
      </c>
      <c r="CA75" s="14" t="e">
        <f t="shared" si="93"/>
        <v>#NUM!</v>
      </c>
      <c r="CB75" s="22" t="e">
        <f t="shared" si="64"/>
        <v>#NUM!</v>
      </c>
      <c r="CC75" s="62" t="e">
        <f t="shared" si="65"/>
        <v>#NUM!</v>
      </c>
      <c r="CD75" s="62">
        <f ca="1">AVERAGE(OFFSET($CC$3,0,0,'Données projet'!$E$12+1,1))-AVERAGE(OFFSET($H$3,0,0,'Données projet'!$E$12+1,1))</f>
        <v>279.69031306919914</v>
      </c>
      <c r="CE75" s="62">
        <f t="shared" si="94"/>
        <v>297.01680128882509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157.20322406170641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6.9565073358863811</v>
      </c>
      <c r="CN75" s="24">
        <f t="shared" si="66"/>
        <v>164.15973139759279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2">
        <f t="shared" si="86"/>
        <v>11.961002004555786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70">
        <f t="shared" si="56"/>
        <v>383.58476182460123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-2.2737367544323206E-13</v>
      </c>
      <c r="O76" s="14">
        <f>N76*VLOOKUP('Données projet'!$B$9,Paramètres!$A$1:$I$89,3,0)*VLOOKUP('Données projet'!$B$9,Paramètres!$A$1:$I$89,5,0)</f>
        <v>-1.2710188457276673E-13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378.17323480030268</v>
      </c>
      <c r="T76" s="62">
        <f t="shared" si="88"/>
        <v>471.89239871617241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236.02827043720958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0.47744637549043029</v>
      </c>
      <c r="AC76" s="24">
        <f t="shared" si="57"/>
        <v>236.5057168127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2.2737367544323206E-13</v>
      </c>
      <c r="AJ76" s="14">
        <f>AI76*VLOOKUP('Données projet'!$B$10,Paramètres!$A$1:$I$89,3,0)*VLOOKUP('Données projet'!$B$10,Paramètres!$A$1:$I$89,5,0)</f>
        <v>1.8444552551954985E-13</v>
      </c>
      <c r="AK76" s="14">
        <f t="shared" si="89"/>
        <v>2.580317449479618E-12</v>
      </c>
      <c r="AL76" s="22">
        <f t="shared" si="58"/>
        <v>4.8152955147902165E-12</v>
      </c>
      <c r="AM76" s="62">
        <f t="shared" si="59"/>
        <v>293.33333333333815</v>
      </c>
      <c r="AN76" s="62">
        <f ca="1">AVERAGE(OFFSET($AM$3,0,0,'Données projet'!$E$10+1,1))-AVERAGE(OFFSET($H$3,0,0,'Données projet'!$E$10+1,1))</f>
        <v>199.44889029107367</v>
      </c>
      <c r="AO76" s="62">
        <f t="shared" si="90"/>
        <v>292.30544856287457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64.248397488093161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64.248397488093161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529.99999999999989</v>
      </c>
      <c r="BE76" s="14">
        <f>BD76*VLOOKUP('Données projet'!$B$11,Paramètres!$A$1:$I$89,3,0)*VLOOKUP('Données projet'!$B$11,Paramètres!$A$1:$I$89,5,0)</f>
        <v>248.03999999999994</v>
      </c>
      <c r="BF76" s="14">
        <f t="shared" si="91"/>
        <v>60.166044284441391</v>
      </c>
      <c r="BG76" s="22">
        <f t="shared" si="61"/>
        <v>536.79219379540189</v>
      </c>
      <c r="BH76" s="62">
        <f t="shared" si="62"/>
        <v>830.12552712873526</v>
      </c>
      <c r="BI76" s="62">
        <f ca="1">AVERAGE(OFFSET($BH$3,0,0,'Données projet'!$E$11+1,1))-AVERAGE(OFFSET($H$3,0,0,'Données projet'!$E$11+1,1))</f>
        <v>256.45505140629194</v>
      </c>
      <c r="BJ76" s="62">
        <f t="shared" si="92"/>
        <v>219.6985760545686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72.335682977593848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72.335682977593848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-1.1368683772161603E-13</v>
      </c>
      <c r="BZ76" s="14">
        <f>BY76*VLOOKUP('Données projet'!$B$12,Paramètres!$A$1:$I$89,3,0)*VLOOKUP('Données projet'!$B$12,Paramètres!$A$1:$I$89,5,0)</f>
        <v>-6.7984728957526396E-14</v>
      </c>
      <c r="CA76" s="14" t="e">
        <f t="shared" si="93"/>
        <v>#NUM!</v>
      </c>
      <c r="CB76" s="22" t="e">
        <f t="shared" si="64"/>
        <v>#NUM!</v>
      </c>
      <c r="CC76" s="62" t="e">
        <f t="shared" si="65"/>
        <v>#NUM!</v>
      </c>
      <c r="CD76" s="62">
        <f ca="1">AVERAGE(OFFSET($CC$3,0,0,'Données projet'!$E$12+1,1))-AVERAGE(OFFSET($H$3,0,0,'Données projet'!$E$12+1,1))</f>
        <v>279.69031306919914</v>
      </c>
      <c r="CE76" s="62">
        <f t="shared" si="94"/>
        <v>297.01680128882509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154.12056472235523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4.9189935105792246</v>
      </c>
      <c r="CN76" s="24">
        <f t="shared" si="66"/>
        <v>159.03955823293444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2">
        <f t="shared" si="86"/>
        <v>12.105664442616701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70">
        <f t="shared" si="56"/>
        <v>384.78766557089068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-2.2737367544323206E-13</v>
      </c>
      <c r="O77" s="14">
        <f>N77*VLOOKUP('Données projet'!$B$9,Paramètres!$A$1:$I$89,3,0)*VLOOKUP('Données projet'!$B$9,Paramètres!$A$1:$I$89,5,0)</f>
        <v>-1.2710188457276673E-13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378.17323480030268</v>
      </c>
      <c r="T77" s="62">
        <f t="shared" si="88"/>
        <v>471.89239871617241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231.39990001696572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0.33760556976222189</v>
      </c>
      <c r="AC77" s="24">
        <f t="shared" si="57"/>
        <v>231.73750558672793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2.2737367544323206E-13</v>
      </c>
      <c r="AJ77" s="14">
        <f>AI77*VLOOKUP('Données projet'!$B$10,Paramètres!$A$1:$I$89,3,0)*VLOOKUP('Données projet'!$B$10,Paramètres!$A$1:$I$89,5,0)</f>
        <v>1.8444552551954985E-13</v>
      </c>
      <c r="AK77" s="14">
        <f t="shared" si="89"/>
        <v>2.580317449479618E-12</v>
      </c>
      <c r="AL77" s="22">
        <f t="shared" si="58"/>
        <v>4.8152955147902165E-12</v>
      </c>
      <c r="AM77" s="62">
        <f t="shared" si="59"/>
        <v>293.33333333333815</v>
      </c>
      <c r="AN77" s="62">
        <f ca="1">AVERAGE(OFFSET($AM$3,0,0,'Données projet'!$E$10+1,1))-AVERAGE(OFFSET($H$3,0,0,'Données projet'!$E$10+1,1))</f>
        <v>199.44889029107367</v>
      </c>
      <c r="AO77" s="62">
        <f t="shared" si="90"/>
        <v>292.30544856287457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62.98852560100466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62.98852560100466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529.99999999999989</v>
      </c>
      <c r="BE77" s="14">
        <f>BD77*VLOOKUP('Données projet'!$B$11,Paramètres!$A$1:$I$89,3,0)*VLOOKUP('Données projet'!$B$11,Paramètres!$A$1:$I$89,5,0)</f>
        <v>248.03999999999994</v>
      </c>
      <c r="BF77" s="14">
        <f t="shared" si="91"/>
        <v>60.166044284441391</v>
      </c>
      <c r="BG77" s="22">
        <f t="shared" si="61"/>
        <v>536.79219379540189</v>
      </c>
      <c r="BH77" s="62">
        <f t="shared" si="62"/>
        <v>830.12552712873526</v>
      </c>
      <c r="BI77" s="62">
        <f ca="1">AVERAGE(OFFSET($BH$3,0,0,'Données projet'!$E$11+1,1))-AVERAGE(OFFSET($H$3,0,0,'Données projet'!$E$11+1,1))</f>
        <v>256.45505140629194</v>
      </c>
      <c r="BJ77" s="62">
        <f t="shared" si="92"/>
        <v>219.6985760545686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70.917224354813314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70.917224354813314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-1.1368683772161603E-13</v>
      </c>
      <c r="BZ77" s="14">
        <f>BY77*VLOOKUP('Données projet'!$B$12,Paramètres!$A$1:$I$89,3,0)*VLOOKUP('Données projet'!$B$12,Paramètres!$A$1:$I$89,5,0)</f>
        <v>-6.7984728957526396E-14</v>
      </c>
      <c r="CA77" s="14" t="e">
        <f t="shared" si="93"/>
        <v>#NUM!</v>
      </c>
      <c r="CB77" s="22" t="e">
        <f t="shared" si="64"/>
        <v>#NUM!</v>
      </c>
      <c r="CC77" s="62" t="e">
        <f t="shared" si="65"/>
        <v>#NUM!</v>
      </c>
      <c r="CD77" s="62">
        <f ca="1">AVERAGE(OFFSET($CC$3,0,0,'Données projet'!$E$12+1,1))-AVERAGE(OFFSET($H$3,0,0,'Données projet'!$E$12+1,1))</f>
        <v>279.69031306919914</v>
      </c>
      <c r="CE77" s="62">
        <f t="shared" si="94"/>
        <v>297.01680128882509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151.09835445241217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3.4782536679431915</v>
      </c>
      <c r="CN77" s="24">
        <f t="shared" si="66"/>
        <v>154.57660812035536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2">
        <f t="shared" si="86"/>
        <v>12.250099502125838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70">
        <f t="shared" si="56"/>
        <v>385.99017329953574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-2.2737367544323206E-13</v>
      </c>
      <c r="O78" s="14">
        <f>N78*VLOOKUP('Données projet'!$B$9,Paramètres!$A$1:$I$89,3,0)*VLOOKUP('Données projet'!$B$9,Paramètres!$A$1:$I$89,5,0)</f>
        <v>-1.2710188457276673E-13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378.17323480030268</v>
      </c>
      <c r="T78" s="62">
        <f t="shared" si="88"/>
        <v>471.89239871617241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226.86228911763561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0.23872318774521514</v>
      </c>
      <c r="AC78" s="24">
        <f t="shared" si="57"/>
        <v>227.10101230538083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2.2737367544323206E-13</v>
      </c>
      <c r="AJ78" s="14">
        <f>AI78*VLOOKUP('Données projet'!$B$10,Paramètres!$A$1:$I$89,3,0)*VLOOKUP('Données projet'!$B$10,Paramètres!$A$1:$I$89,5,0)</f>
        <v>1.8444552551954985E-13</v>
      </c>
      <c r="AK78" s="14">
        <f t="shared" si="89"/>
        <v>2.580317449479618E-12</v>
      </c>
      <c r="AL78" s="22">
        <f t="shared" si="58"/>
        <v>4.8152955147902165E-12</v>
      </c>
      <c r="AM78" s="62">
        <f t="shared" si="59"/>
        <v>293.33333333333815</v>
      </c>
      <c r="AN78" s="62">
        <f ca="1">AVERAGE(OFFSET($AM$3,0,0,'Données projet'!$E$10+1,1))-AVERAGE(OFFSET($H$3,0,0,'Données projet'!$E$10+1,1))</f>
        <v>199.44889029107367</v>
      </c>
      <c r="AO78" s="62">
        <f t="shared" si="90"/>
        <v>292.30544856287457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61.753359033175997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61.753359033175997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529.99999999999989</v>
      </c>
      <c r="BE78" s="14">
        <f>BD78*VLOOKUP('Données projet'!$B$11,Paramètres!$A$1:$I$89,3,0)*VLOOKUP('Données projet'!$B$11,Paramètres!$A$1:$I$89,5,0)</f>
        <v>248.03999999999994</v>
      </c>
      <c r="BF78" s="14">
        <f t="shared" si="91"/>
        <v>60.166044284441391</v>
      </c>
      <c r="BG78" s="22">
        <f t="shared" si="61"/>
        <v>536.79219379540189</v>
      </c>
      <c r="BH78" s="62">
        <f t="shared" si="62"/>
        <v>830.12552712873526</v>
      </c>
      <c r="BI78" s="62">
        <f ca="1">AVERAGE(OFFSET($BH$3,0,0,'Données projet'!$E$11+1,1))-AVERAGE(OFFSET($H$3,0,0,'Données projet'!$E$11+1,1))</f>
        <v>256.45505140629194</v>
      </c>
      <c r="BJ78" s="62">
        <f t="shared" si="92"/>
        <v>219.6985760545686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69.526580840451174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69.526580840451174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-1.1368683772161603E-13</v>
      </c>
      <c r="BZ78" s="14">
        <f>BY78*VLOOKUP('Données projet'!$B$12,Paramètres!$A$1:$I$89,3,0)*VLOOKUP('Données projet'!$B$12,Paramètres!$A$1:$I$89,5,0)</f>
        <v>-6.7984728957526396E-14</v>
      </c>
      <c r="CA78" s="14" t="e">
        <f t="shared" si="93"/>
        <v>#NUM!</v>
      </c>
      <c r="CB78" s="22" t="e">
        <f t="shared" si="64"/>
        <v>#NUM!</v>
      </c>
      <c r="CC78" s="62" t="e">
        <f t="shared" si="65"/>
        <v>#NUM!</v>
      </c>
      <c r="CD78" s="62">
        <f ca="1">AVERAGE(OFFSET($CC$3,0,0,'Données projet'!$E$12+1,1))-AVERAGE(OFFSET($H$3,0,0,'Données projet'!$E$12+1,1))</f>
        <v>279.69031306919914</v>
      </c>
      <c r="CE78" s="62">
        <f t="shared" si="94"/>
        <v>297.01680128882509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148.13540788249645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2.4594967552896128</v>
      </c>
      <c r="CN78" s="24">
        <f t="shared" si="66"/>
        <v>150.59490463778607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2">
        <f t="shared" si="86"/>
        <v>12.394310565265254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70">
        <f t="shared" si="56"/>
        <v>387.19229090117022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-2.2737367544323206E-13</v>
      </c>
      <c r="O79" s="14">
        <f>N79*VLOOKUP('Données projet'!$B$9,Paramètres!$A$1:$I$89,3,0)*VLOOKUP('Données projet'!$B$9,Paramètres!$A$1:$I$89,5,0)</f>
        <v>-1.2710188457276673E-13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378.17323480030268</v>
      </c>
      <c r="T79" s="62">
        <f t="shared" si="88"/>
        <v>471.89239871617241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222.41365800037201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0.16880278488111095</v>
      </c>
      <c r="AC79" s="24">
        <f t="shared" si="57"/>
        <v>222.58246078525312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2.2737367544323206E-13</v>
      </c>
      <c r="AJ79" s="14">
        <f>AI79*VLOOKUP('Données projet'!$B$10,Paramètres!$A$1:$I$89,3,0)*VLOOKUP('Données projet'!$B$10,Paramètres!$A$1:$I$89,5,0)</f>
        <v>1.8444552551954985E-13</v>
      </c>
      <c r="AK79" s="14">
        <f t="shared" si="89"/>
        <v>2.580317449479618E-12</v>
      </c>
      <c r="AL79" s="22">
        <f t="shared" si="58"/>
        <v>4.8152955147902165E-12</v>
      </c>
      <c r="AM79" s="62">
        <f t="shared" si="59"/>
        <v>293.33333333333815</v>
      </c>
      <c r="AN79" s="62">
        <f ca="1">AVERAGE(OFFSET($AM$3,0,0,'Données projet'!$E$10+1,1))-AVERAGE(OFFSET($H$3,0,0,'Données projet'!$E$10+1,1))</f>
        <v>199.44889029107367</v>
      </c>
      <c r="AO79" s="62">
        <f t="shared" si="90"/>
        <v>292.30544856287457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60.542413328365235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60.542413328365235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529.99999999999989</v>
      </c>
      <c r="BE79" s="14">
        <f>BD79*VLOOKUP('Données projet'!$B$11,Paramètres!$A$1:$I$89,3,0)*VLOOKUP('Données projet'!$B$11,Paramètres!$A$1:$I$89,5,0)</f>
        <v>248.03999999999994</v>
      </c>
      <c r="BF79" s="14">
        <f t="shared" si="91"/>
        <v>60.166044284441391</v>
      </c>
      <c r="BG79" s="22">
        <f t="shared" si="61"/>
        <v>536.79219379540189</v>
      </c>
      <c r="BH79" s="62">
        <f t="shared" si="62"/>
        <v>830.12552712873526</v>
      </c>
      <c r="BI79" s="62">
        <f ca="1">AVERAGE(OFFSET($BH$3,0,0,'Données projet'!$E$11+1,1))-AVERAGE(OFFSET($H$3,0,0,'Données projet'!$E$11+1,1))</f>
        <v>256.45505140629194</v>
      </c>
      <c r="BJ79" s="62">
        <f t="shared" si="92"/>
        <v>219.6985760545686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68.163206997196895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68.163206997196895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-1.1368683772161603E-13</v>
      </c>
      <c r="BZ79" s="14">
        <f>BY79*VLOOKUP('Données projet'!$B$12,Paramètres!$A$1:$I$89,3,0)*VLOOKUP('Données projet'!$B$12,Paramètres!$A$1:$I$89,5,0)</f>
        <v>-6.7984728957526396E-14</v>
      </c>
      <c r="CA79" s="14" t="e">
        <f t="shared" si="93"/>
        <v>#NUM!</v>
      </c>
      <c r="CB79" s="22" t="e">
        <f t="shared" si="64"/>
        <v>#NUM!</v>
      </c>
      <c r="CC79" s="62" t="e">
        <f t="shared" si="65"/>
        <v>#NUM!</v>
      </c>
      <c r="CD79" s="62">
        <f ca="1">AVERAGE(OFFSET($CC$3,0,0,'Données projet'!$E$12+1,1))-AVERAGE(OFFSET($H$3,0,0,'Données projet'!$E$12+1,1))</f>
        <v>279.69031306919914</v>
      </c>
      <c r="CE79" s="62">
        <f t="shared" si="94"/>
        <v>297.01680128882509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145.23056288759781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1.739126833971596</v>
      </c>
      <c r="CN79" s="24">
        <f t="shared" si="66"/>
        <v>146.96968972156941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2">
        <f t="shared" si="86"/>
        <v>12.538300920096166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70">
        <f t="shared" si="56"/>
        <v>388.39402410250074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-2.2737367544323206E-13</v>
      </c>
      <c r="O80" s="14">
        <f>N80*VLOOKUP('Données projet'!$B$9,Paramètres!$A$1:$I$89,3,0)*VLOOKUP('Données projet'!$B$9,Paramètres!$A$1:$I$89,5,0)</f>
        <v>-1.2710188457276673E-13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378.17323480030268</v>
      </c>
      <c r="T80" s="62">
        <f t="shared" si="88"/>
        <v>471.89239871617241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218.05226182592088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0.11936159387260757</v>
      </c>
      <c r="AC80" s="24">
        <f t="shared" si="57"/>
        <v>218.17162341979349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2.2737367544323206E-13</v>
      </c>
      <c r="AJ80" s="14">
        <f>AI80*VLOOKUP('Données projet'!$B$10,Paramètres!$A$1:$I$89,3,0)*VLOOKUP('Données projet'!$B$10,Paramètres!$A$1:$I$89,5,0)</f>
        <v>1.8444552551954985E-13</v>
      </c>
      <c r="AK80" s="14">
        <f t="shared" si="89"/>
        <v>2.580317449479618E-12</v>
      </c>
      <c r="AL80" s="22">
        <f t="shared" si="58"/>
        <v>4.8152955147902165E-12</v>
      </c>
      <c r="AM80" s="62">
        <f t="shared" si="59"/>
        <v>293.33333333333815</v>
      </c>
      <c r="AN80" s="62">
        <f ca="1">AVERAGE(OFFSET($AM$3,0,0,'Données projet'!$E$10+1,1))-AVERAGE(OFFSET($H$3,0,0,'Données projet'!$E$10+1,1))</f>
        <v>199.44889029107367</v>
      </c>
      <c r="AO80" s="62">
        <f t="shared" si="90"/>
        <v>292.30544856287457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59.35521353022186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59.35521353022186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529.99999999999989</v>
      </c>
      <c r="BE80" s="14">
        <f>BD80*VLOOKUP('Données projet'!$B$11,Paramètres!$A$1:$I$89,3,0)*VLOOKUP('Données projet'!$B$11,Paramètres!$A$1:$I$89,5,0)</f>
        <v>248.03999999999994</v>
      </c>
      <c r="BF80" s="14">
        <f t="shared" si="91"/>
        <v>60.166044284441391</v>
      </c>
      <c r="BG80" s="22">
        <f t="shared" si="61"/>
        <v>536.79219379540189</v>
      </c>
      <c r="BH80" s="62">
        <f t="shared" si="62"/>
        <v>830.12552712873526</v>
      </c>
      <c r="BI80" s="62">
        <f ca="1">AVERAGE(OFFSET($BH$3,0,0,'Données projet'!$E$11+1,1))-AVERAGE(OFFSET($H$3,0,0,'Données projet'!$E$11+1,1))</f>
        <v>256.45505140629194</v>
      </c>
      <c r="BJ80" s="62">
        <f t="shared" si="92"/>
        <v>219.6985760545686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66.826568083432903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66.826568083432903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-1.1368683772161603E-13</v>
      </c>
      <c r="BZ80" s="14">
        <f>BY80*VLOOKUP('Données projet'!$B$12,Paramètres!$A$1:$I$89,3,0)*VLOOKUP('Données projet'!$B$12,Paramètres!$A$1:$I$89,5,0)</f>
        <v>-6.7984728957526396E-14</v>
      </c>
      <c r="CA80" s="14" t="e">
        <f t="shared" si="93"/>
        <v>#NUM!</v>
      </c>
      <c r="CB80" s="22" t="e">
        <f t="shared" si="64"/>
        <v>#NUM!</v>
      </c>
      <c r="CC80" s="62" t="e">
        <f t="shared" si="65"/>
        <v>#NUM!</v>
      </c>
      <c r="CD80" s="62">
        <f ca="1">AVERAGE(OFFSET($CC$3,0,0,'Données projet'!$E$12+1,1))-AVERAGE(OFFSET($H$3,0,0,'Données projet'!$E$12+1,1))</f>
        <v>279.69031306919914</v>
      </c>
      <c r="CE80" s="62">
        <f t="shared" si="94"/>
        <v>297.01680128882509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142.38268013126864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1.2297483776448066</v>
      </c>
      <c r="CN80" s="24">
        <f t="shared" si="66"/>
        <v>143.61242850891344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2">
        <f t="shared" si="86"/>
        <v>12.682073764365757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70">
        <f t="shared" si="56"/>
        <v>389.59537847293694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-2.2737367544323206E-13</v>
      </c>
      <c r="O81" s="14">
        <f>N81*VLOOKUP('Données projet'!$B$9,Paramètres!$A$1:$I$89,3,0)*VLOOKUP('Données projet'!$B$9,Paramètres!$A$1:$I$89,5,0)</f>
        <v>-1.2710188457276673E-13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378.17323480030268</v>
      </c>
      <c r="T81" s="62">
        <f t="shared" si="88"/>
        <v>471.89239871617241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213.77638997026176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8.4401392440555473E-2</v>
      </c>
      <c r="AC81" s="24">
        <f t="shared" si="57"/>
        <v>213.86079136270232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2.2737367544323206E-13</v>
      </c>
      <c r="AJ81" s="14">
        <f>AI81*VLOOKUP('Données projet'!$B$10,Paramètres!$A$1:$I$89,3,0)*VLOOKUP('Données projet'!$B$10,Paramètres!$A$1:$I$89,5,0)</f>
        <v>1.8444552551954985E-13</v>
      </c>
      <c r="AK81" s="14">
        <f t="shared" si="89"/>
        <v>2.580317449479618E-12</v>
      </c>
      <c r="AL81" s="22">
        <f t="shared" si="58"/>
        <v>4.8152955147902165E-12</v>
      </c>
      <c r="AM81" s="62">
        <f t="shared" si="59"/>
        <v>293.33333333333815</v>
      </c>
      <c r="AN81" s="62">
        <f ca="1">AVERAGE(OFFSET($AM$3,0,0,'Données projet'!$E$10+1,1))-AVERAGE(OFFSET($H$3,0,0,'Données projet'!$E$10+1,1))</f>
        <v>199.44889029107367</v>
      </c>
      <c r="AO81" s="62">
        <f t="shared" si="90"/>
        <v>292.30544856287457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58.1912939959997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58.1912939959997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529.99999999999989</v>
      </c>
      <c r="BE81" s="14">
        <f>BD81*VLOOKUP('Données projet'!$B$11,Paramètres!$A$1:$I$89,3,0)*VLOOKUP('Données projet'!$B$11,Paramètres!$A$1:$I$89,5,0)</f>
        <v>248.03999999999994</v>
      </c>
      <c r="BF81" s="14">
        <f t="shared" si="91"/>
        <v>60.166044284441391</v>
      </c>
      <c r="BG81" s="22">
        <f t="shared" si="61"/>
        <v>536.79219379540189</v>
      </c>
      <c r="BH81" s="62">
        <f t="shared" si="62"/>
        <v>830.12552712873526</v>
      </c>
      <c r="BI81" s="62">
        <f ca="1">AVERAGE(OFFSET($BH$3,0,0,'Données projet'!$E$11+1,1))-AVERAGE(OFFSET($H$3,0,0,'Données projet'!$E$11+1,1))</f>
        <v>256.45505140629194</v>
      </c>
      <c r="BJ81" s="62">
        <f t="shared" si="92"/>
        <v>219.6985760545686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65.516139843498578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65.516139843498578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-1.1368683772161603E-13</v>
      </c>
      <c r="BZ81" s="14">
        <f>BY81*VLOOKUP('Données projet'!$B$12,Paramètres!$A$1:$I$89,3,0)*VLOOKUP('Données projet'!$B$12,Paramètres!$A$1:$I$89,5,0)</f>
        <v>-6.7984728957526396E-14</v>
      </c>
      <c r="CA81" s="14" t="e">
        <f t="shared" si="93"/>
        <v>#NUM!</v>
      </c>
      <c r="CB81" s="22" t="e">
        <f t="shared" si="64"/>
        <v>#NUM!</v>
      </c>
      <c r="CC81" s="62" t="e">
        <f t="shared" si="65"/>
        <v>#NUM!</v>
      </c>
      <c r="CD81" s="62">
        <f ca="1">AVERAGE(OFFSET($CC$3,0,0,'Données projet'!$E$12+1,1))-AVERAGE(OFFSET($H$3,0,0,'Données projet'!$E$12+1,1))</f>
        <v>279.69031306919914</v>
      </c>
      <c r="CE81" s="62">
        <f t="shared" si="94"/>
        <v>297.01680128882509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139.59064261875412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0.86956341698579809</v>
      </c>
      <c r="CN81" s="24">
        <f t="shared" si="66"/>
        <v>140.4602060357399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2">
        <f t="shared" si="86"/>
        <v>12.82563220911333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70">
        <f t="shared" si="56"/>
        <v>390.79635943087231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-2.2737367544323206E-13</v>
      </c>
      <c r="O82" s="14">
        <f>N82*VLOOKUP('Données projet'!$B$9,Paramètres!$A$1:$I$89,3,0)*VLOOKUP('Données projet'!$B$9,Paramètres!$A$1:$I$89,5,0)</f>
        <v>-1.2710188457276673E-13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378.17323480030268</v>
      </c>
      <c r="T82" s="62">
        <f t="shared" si="88"/>
        <v>471.89239871617241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209.58436535366781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5.9680796936303786E-2</v>
      </c>
      <c r="AC82" s="24">
        <f t="shared" si="57"/>
        <v>209.64404615060411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2.2737367544323206E-13</v>
      </c>
      <c r="AJ82" s="14">
        <f>AI82*VLOOKUP('Données projet'!$B$10,Paramètres!$A$1:$I$89,3,0)*VLOOKUP('Données projet'!$B$10,Paramètres!$A$1:$I$89,5,0)</f>
        <v>1.8444552551954985E-13</v>
      </c>
      <c r="AK82" s="14">
        <f t="shared" si="89"/>
        <v>2.580317449479618E-12</v>
      </c>
      <c r="AL82" s="22">
        <f t="shared" si="58"/>
        <v>4.8152955147902165E-12</v>
      </c>
      <c r="AM82" s="62">
        <f t="shared" si="59"/>
        <v>293.33333333333815</v>
      </c>
      <c r="AN82" s="62">
        <f ca="1">AVERAGE(OFFSET($AM$3,0,0,'Données projet'!$E$10+1,1))-AVERAGE(OFFSET($H$3,0,0,'Données projet'!$E$10+1,1))</f>
        <v>199.44889029107367</v>
      </c>
      <c r="AO82" s="62">
        <f t="shared" si="90"/>
        <v>292.30544856287457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57.050198213922826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57.050198213922826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529.99999999999989</v>
      </c>
      <c r="BE82" s="14">
        <f>BD82*VLOOKUP('Données projet'!$B$11,Paramètres!$A$1:$I$89,3,0)*VLOOKUP('Données projet'!$B$11,Paramètres!$A$1:$I$89,5,0)</f>
        <v>248.03999999999994</v>
      </c>
      <c r="BF82" s="14">
        <f t="shared" si="91"/>
        <v>60.166044284441391</v>
      </c>
      <c r="BG82" s="22">
        <f t="shared" si="61"/>
        <v>536.79219379540189</v>
      </c>
      <c r="BH82" s="62">
        <f t="shared" si="62"/>
        <v>830.12552712873526</v>
      </c>
      <c r="BI82" s="62">
        <f ca="1">AVERAGE(OFFSET($BH$3,0,0,'Données projet'!$E$11+1,1))-AVERAGE(OFFSET($H$3,0,0,'Données projet'!$E$11+1,1))</f>
        <v>256.45505140629194</v>
      </c>
      <c r="BJ82" s="62">
        <f t="shared" si="92"/>
        <v>219.6985760545686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64.231408302067067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64.231408302067067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-1.1368683772161603E-13</v>
      </c>
      <c r="BZ82" s="14">
        <f>BY82*VLOOKUP('Données projet'!$B$12,Paramètres!$A$1:$I$89,3,0)*VLOOKUP('Données projet'!$B$12,Paramètres!$A$1:$I$89,5,0)</f>
        <v>-6.7984728957526396E-14</v>
      </c>
      <c r="CA82" s="14" t="e">
        <f t="shared" si="93"/>
        <v>#NUM!</v>
      </c>
      <c r="CB82" s="22" t="e">
        <f t="shared" si="64"/>
        <v>#NUM!</v>
      </c>
      <c r="CC82" s="62" t="e">
        <f t="shared" si="65"/>
        <v>#NUM!</v>
      </c>
      <c r="CD82" s="62">
        <f ca="1">AVERAGE(OFFSET($CC$3,0,0,'Données projet'!$E$12+1,1))-AVERAGE(OFFSET($H$3,0,0,'Données projet'!$E$12+1,1))</f>
        <v>279.69031306919914</v>
      </c>
      <c r="CE82" s="62">
        <f t="shared" si="94"/>
        <v>297.01680128882509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136.85335525888527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0.6148741888224033</v>
      </c>
      <c r="CN82" s="24">
        <f t="shared" si="66"/>
        <v>137.46822944770767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2">
        <f t="shared" si="86"/>
        <v>12.968979282088567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70">
        <f t="shared" si="56"/>
        <v>391.99697224963751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-2.2737367544323206E-13</v>
      </c>
      <c r="O83" s="14">
        <f>N83*VLOOKUP('Données projet'!$B$9,Paramètres!$A$1:$I$89,3,0)*VLOOKUP('Données projet'!$B$9,Paramètres!$A$1:$I$89,5,0)</f>
        <v>-1.2710188457276673E-13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378.17323480030268</v>
      </c>
      <c r="T83" s="62">
        <f t="shared" si="88"/>
        <v>471.89239871617241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205.47454378292269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4.2200696220277736E-2</v>
      </c>
      <c r="AC83" s="24">
        <f t="shared" si="57"/>
        <v>205.51674447914297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2.2737367544323206E-13</v>
      </c>
      <c r="AJ83" s="14">
        <f>AI83*VLOOKUP('Données projet'!$B$10,Paramètres!$A$1:$I$89,3,0)*VLOOKUP('Données projet'!$B$10,Paramètres!$A$1:$I$89,5,0)</f>
        <v>1.8444552551954985E-13</v>
      </c>
      <c r="AK83" s="14">
        <f t="shared" si="89"/>
        <v>2.580317449479618E-12</v>
      </c>
      <c r="AL83" s="22">
        <f t="shared" si="58"/>
        <v>4.8152955147902165E-12</v>
      </c>
      <c r="AM83" s="62">
        <f t="shared" si="59"/>
        <v>293.33333333333815</v>
      </c>
      <c r="AN83" s="62">
        <f ca="1">AVERAGE(OFFSET($AM$3,0,0,'Données projet'!$E$10+1,1))-AVERAGE(OFFSET($H$3,0,0,'Données projet'!$E$10+1,1))</f>
        <v>199.44889029107367</v>
      </c>
      <c r="AO83" s="62">
        <f t="shared" si="90"/>
        <v>292.30544856287457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55.931478624132772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55.931478624132772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529.99999999999989</v>
      </c>
      <c r="BE83" s="14">
        <f>BD83*VLOOKUP('Données projet'!$B$11,Paramètres!$A$1:$I$89,3,0)*VLOOKUP('Données projet'!$B$11,Paramètres!$A$1:$I$89,5,0)</f>
        <v>248.03999999999994</v>
      </c>
      <c r="BF83" s="14">
        <f t="shared" si="91"/>
        <v>60.166044284441391</v>
      </c>
      <c r="BG83" s="22">
        <f t="shared" si="61"/>
        <v>536.79219379540189</v>
      </c>
      <c r="BH83" s="62">
        <f t="shared" si="62"/>
        <v>830.12552712873526</v>
      </c>
      <c r="BI83" s="62">
        <f ca="1">AVERAGE(OFFSET($BH$3,0,0,'Données projet'!$E$11+1,1))-AVERAGE(OFFSET($H$3,0,0,'Données projet'!$E$11+1,1))</f>
        <v>256.45505140629194</v>
      </c>
      <c r="BJ83" s="62">
        <f t="shared" si="92"/>
        <v>219.6985760545686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62.971869562554161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62.971869562554161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-1.1368683772161603E-13</v>
      </c>
      <c r="BZ83" s="14">
        <f>BY83*VLOOKUP('Données projet'!$B$12,Paramètres!$A$1:$I$89,3,0)*VLOOKUP('Données projet'!$B$12,Paramètres!$A$1:$I$89,5,0)</f>
        <v>-6.7984728957526396E-14</v>
      </c>
      <c r="CA83" s="14" t="e">
        <f t="shared" si="93"/>
        <v>#NUM!</v>
      </c>
      <c r="CB83" s="22" t="e">
        <f t="shared" si="64"/>
        <v>#NUM!</v>
      </c>
      <c r="CC83" s="62" t="e">
        <f t="shared" si="65"/>
        <v>#NUM!</v>
      </c>
      <c r="CD83" s="62">
        <f ca="1">AVERAGE(OFFSET($CC$3,0,0,'Données projet'!$E$12+1,1))-AVERAGE(OFFSET($H$3,0,0,'Données projet'!$E$12+1,1))</f>
        <v>279.69031306919914</v>
      </c>
      <c r="CE83" s="62">
        <f t="shared" si="94"/>
        <v>297.01680128882509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134.16974443456303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0.43478170849289904</v>
      </c>
      <c r="CN83" s="24">
        <f t="shared" si="66"/>
        <v>134.60452614305592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2">
        <f t="shared" si="86"/>
        <v>13.112117930994097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70">
        <f t="shared" si="56"/>
        <v>393.19722206314799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-2.2737367544323206E-13</v>
      </c>
      <c r="O84" s="14">
        <f>N84*VLOOKUP('Données projet'!$B$9,Paramètres!$A$1:$I$89,3,0)*VLOOKUP('Données projet'!$B$9,Paramètres!$A$1:$I$89,5,0)</f>
        <v>-1.2710188457276673E-13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378.17323480030268</v>
      </c>
      <c r="T84" s="62">
        <f t="shared" si="88"/>
        <v>471.89239871617241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201.44531330643628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2.9840398468151893E-2</v>
      </c>
      <c r="AC84" s="24">
        <f t="shared" si="57"/>
        <v>201.47515370490441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2.2737367544323206E-13</v>
      </c>
      <c r="AJ84" s="14">
        <f>AI84*VLOOKUP('Données projet'!$B$10,Paramètres!$A$1:$I$89,3,0)*VLOOKUP('Données projet'!$B$10,Paramètres!$A$1:$I$89,5,0)</f>
        <v>1.8444552551954985E-13</v>
      </c>
      <c r="AK84" s="14">
        <f t="shared" si="89"/>
        <v>2.580317449479618E-12</v>
      </c>
      <c r="AL84" s="22">
        <f t="shared" si="58"/>
        <v>4.8152955147902165E-12</v>
      </c>
      <c r="AM84" s="62">
        <f t="shared" si="59"/>
        <v>293.33333333333815</v>
      </c>
      <c r="AN84" s="62">
        <f ca="1">AVERAGE(OFFSET($AM$3,0,0,'Données projet'!$E$10+1,1))-AVERAGE(OFFSET($H$3,0,0,'Données projet'!$E$10+1,1))</f>
        <v>199.44889029107367</v>
      </c>
      <c r="AO84" s="62">
        <f t="shared" si="90"/>
        <v>292.30544856287457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54.834696443146932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54.834696443146932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529.99999999999989</v>
      </c>
      <c r="BE84" s="14">
        <f>BD84*VLOOKUP('Données projet'!$B$11,Paramètres!$A$1:$I$89,3,0)*VLOOKUP('Données projet'!$B$11,Paramètres!$A$1:$I$89,5,0)</f>
        <v>248.03999999999994</v>
      </c>
      <c r="BF84" s="14">
        <f t="shared" si="91"/>
        <v>60.166044284441391</v>
      </c>
      <c r="BG84" s="22">
        <f t="shared" si="61"/>
        <v>536.79219379540189</v>
      </c>
      <c r="BH84" s="62">
        <f t="shared" si="62"/>
        <v>830.12552712873526</v>
      </c>
      <c r="BI84" s="62">
        <f ca="1">AVERAGE(OFFSET($BH$3,0,0,'Données projet'!$E$11+1,1))-AVERAGE(OFFSET($H$3,0,0,'Données projet'!$E$11+1,1))</f>
        <v>256.45505140629194</v>
      </c>
      <c r="BJ84" s="62">
        <f t="shared" si="92"/>
        <v>219.6985760545686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61.737029609480331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61.737029609480331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-1.1368683772161603E-13</v>
      </c>
      <c r="BZ84" s="14">
        <f>BY84*VLOOKUP('Données projet'!$B$12,Paramètres!$A$1:$I$89,3,0)*VLOOKUP('Données projet'!$B$12,Paramètres!$A$1:$I$89,5,0)</f>
        <v>-6.7984728957526396E-14</v>
      </c>
      <c r="CA84" s="14" t="e">
        <f t="shared" si="93"/>
        <v>#NUM!</v>
      </c>
      <c r="CB84" s="22" t="e">
        <f t="shared" si="64"/>
        <v>#NUM!</v>
      </c>
      <c r="CC84" s="62" t="e">
        <f t="shared" si="65"/>
        <v>#NUM!</v>
      </c>
      <c r="CD84" s="62">
        <f ca="1">AVERAGE(OFFSET($CC$3,0,0,'Données projet'!$E$12+1,1))-AVERAGE(OFFSET($H$3,0,0,'Données projet'!$E$12+1,1))</f>
        <v>279.69031306919914</v>
      </c>
      <c r="CE84" s="62">
        <f t="shared" si="94"/>
        <v>297.01680128882509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131.53875758166478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0.30743709441120165</v>
      </c>
      <c r="CN84" s="24">
        <f t="shared" si="66"/>
        <v>131.84619467607598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2">
        <f t="shared" si="86"/>
        <v>13.255051026563269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70">
        <f t="shared" si="56"/>
        <v>394.39711387126425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-2.2737367544323206E-13</v>
      </c>
      <c r="O85" s="14">
        <f>N85*VLOOKUP('Données projet'!$B$9,Paramètres!$A$1:$I$89,3,0)*VLOOKUP('Données projet'!$B$9,Paramètres!$A$1:$I$89,5,0)</f>
        <v>-1.2710188457276673E-13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378.17323480030268</v>
      </c>
      <c r="T85" s="62">
        <f t="shared" si="88"/>
        <v>471.89239871617241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197.49509358200581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2.1100348110138868E-2</v>
      </c>
      <c r="AC85" s="24">
        <f t="shared" si="57"/>
        <v>197.51619393011595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2.2737367544323206E-13</v>
      </c>
      <c r="AJ85" s="14">
        <f>AI85*VLOOKUP('Données projet'!$B$10,Paramètres!$A$1:$I$89,3,0)*VLOOKUP('Données projet'!$B$10,Paramètres!$A$1:$I$89,5,0)</f>
        <v>1.8444552551954985E-13</v>
      </c>
      <c r="AK85" s="14">
        <f t="shared" si="89"/>
        <v>2.580317449479618E-12</v>
      </c>
      <c r="AL85" s="22">
        <f t="shared" si="58"/>
        <v>4.8152955147902165E-12</v>
      </c>
      <c r="AM85" s="62">
        <f t="shared" si="59"/>
        <v>293.33333333333815</v>
      </c>
      <c r="AN85" s="62">
        <f ca="1">AVERAGE(OFFSET($AM$3,0,0,'Données projet'!$E$10+1,1))-AVERAGE(OFFSET($H$3,0,0,'Données projet'!$E$10+1,1))</f>
        <v>199.44889029107367</v>
      </c>
      <c r="AO85" s="62">
        <f t="shared" si="90"/>
        <v>292.30544856287457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53.759421491759149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53.759421491759149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529.99999999999989</v>
      </c>
      <c r="BE85" s="14">
        <f>BD85*VLOOKUP('Données projet'!$B$11,Paramètres!$A$1:$I$89,3,0)*VLOOKUP('Données projet'!$B$11,Paramètres!$A$1:$I$89,5,0)</f>
        <v>248.03999999999994</v>
      </c>
      <c r="BF85" s="14">
        <f t="shared" si="91"/>
        <v>60.166044284441391</v>
      </c>
      <c r="BG85" s="22">
        <f t="shared" si="61"/>
        <v>536.79219379540189</v>
      </c>
      <c r="BH85" s="62">
        <f t="shared" si="62"/>
        <v>830.12552712873526</v>
      </c>
      <c r="BI85" s="62">
        <f ca="1">AVERAGE(OFFSET($BH$3,0,0,'Données projet'!$E$11+1,1))-AVERAGE(OFFSET($H$3,0,0,'Données projet'!$E$11+1,1))</f>
        <v>256.45505140629194</v>
      </c>
      <c r="BJ85" s="62">
        <f t="shared" si="92"/>
        <v>219.6985760545686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60.526404114708278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60.526404114708278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-1.1368683772161603E-13</v>
      </c>
      <c r="BZ85" s="14">
        <f>BY85*VLOOKUP('Données projet'!$B$12,Paramètres!$A$1:$I$89,3,0)*VLOOKUP('Données projet'!$B$12,Paramètres!$A$1:$I$89,5,0)</f>
        <v>-6.7984728957526396E-14</v>
      </c>
      <c r="CA85" s="14" t="e">
        <f t="shared" si="93"/>
        <v>#NUM!</v>
      </c>
      <c r="CB85" s="22" t="e">
        <f t="shared" si="64"/>
        <v>#NUM!</v>
      </c>
      <c r="CC85" s="62" t="e">
        <f t="shared" si="65"/>
        <v>#NUM!</v>
      </c>
      <c r="CD85" s="62">
        <f ca="1">AVERAGE(OFFSET($CC$3,0,0,'Données projet'!$E$12+1,1))-AVERAGE(OFFSET($H$3,0,0,'Données projet'!$E$12+1,1))</f>
        <v>279.69031306919914</v>
      </c>
      <c r="CE85" s="62">
        <f t="shared" si="94"/>
        <v>297.01680128882509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128.95936277620834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0.21739085424644952</v>
      </c>
      <c r="CN85" s="24">
        <f t="shared" si="66"/>
        <v>129.17675363045478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2">
        <f t="shared" si="86"/>
        <v>13.397781365483624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70">
        <f t="shared" si="56"/>
        <v>395.59665254488391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-2.2737367544323206E-13</v>
      </c>
      <c r="O86" s="14">
        <f>N86*VLOOKUP('Données projet'!$B$9,Paramètres!$A$1:$I$89,3,0)*VLOOKUP('Données projet'!$B$9,Paramètres!$A$1:$I$89,5,0)</f>
        <v>-1.2710188457276673E-13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378.17323480030268</v>
      </c>
      <c r="T86" s="62">
        <f t="shared" si="88"/>
        <v>471.89239871617241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193.6223352569753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1.4920199234075946E-2</v>
      </c>
      <c r="AC86" s="24">
        <f t="shared" si="57"/>
        <v>193.63725545620937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2.2737367544323206E-13</v>
      </c>
      <c r="AJ86" s="14">
        <f>AI86*VLOOKUP('Données projet'!$B$10,Paramètres!$A$1:$I$89,3,0)*VLOOKUP('Données projet'!$B$10,Paramètres!$A$1:$I$89,5,0)</f>
        <v>1.8444552551954985E-13</v>
      </c>
      <c r="AK86" s="14">
        <f t="shared" si="89"/>
        <v>2.580317449479618E-12</v>
      </c>
      <c r="AL86" s="22">
        <f t="shared" si="58"/>
        <v>4.8152955147902165E-12</v>
      </c>
      <c r="AM86" s="62">
        <f t="shared" si="59"/>
        <v>293.33333333333815</v>
      </c>
      <c r="AN86" s="62">
        <f ca="1">AVERAGE(OFFSET($AM$3,0,0,'Données projet'!$E$10+1,1))-AVERAGE(OFFSET($H$3,0,0,'Données projet'!$E$10+1,1))</f>
        <v>199.44889029107367</v>
      </c>
      <c r="AO86" s="62">
        <f t="shared" si="90"/>
        <v>292.30544856287457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52.705232026315116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52.705232026315116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529.99999999999989</v>
      </c>
      <c r="BE86" s="14">
        <f>BD86*VLOOKUP('Données projet'!$B$11,Paramètres!$A$1:$I$89,3,0)*VLOOKUP('Données projet'!$B$11,Paramètres!$A$1:$I$89,5,0)</f>
        <v>248.03999999999994</v>
      </c>
      <c r="BF86" s="14">
        <f t="shared" si="91"/>
        <v>60.166044284441391</v>
      </c>
      <c r="BG86" s="22">
        <f t="shared" si="61"/>
        <v>536.79219379540189</v>
      </c>
      <c r="BH86" s="62">
        <f t="shared" si="62"/>
        <v>830.12552712873526</v>
      </c>
      <c r="BI86" s="62">
        <f ca="1">AVERAGE(OFFSET($BH$3,0,0,'Données projet'!$E$11+1,1))-AVERAGE(OFFSET($H$3,0,0,'Données projet'!$E$11+1,1))</f>
        <v>256.45505140629194</v>
      </c>
      <c r="BJ86" s="62">
        <f t="shared" si="92"/>
        <v>219.6985760545686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59.339518247480065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59.339518247480065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-1.1368683772161603E-13</v>
      </c>
      <c r="BZ86" s="14">
        <f>BY86*VLOOKUP('Données projet'!$B$12,Paramètres!$A$1:$I$89,3,0)*VLOOKUP('Données projet'!$B$12,Paramètres!$A$1:$I$89,5,0)</f>
        <v>-6.7984728957526396E-14</v>
      </c>
      <c r="CA86" s="14" t="e">
        <f t="shared" si="93"/>
        <v>#NUM!</v>
      </c>
      <c r="CB86" s="22" t="e">
        <f t="shared" si="64"/>
        <v>#NUM!</v>
      </c>
      <c r="CC86" s="62" t="e">
        <f t="shared" si="65"/>
        <v>#NUM!</v>
      </c>
      <c r="CD86" s="62">
        <f ca="1">AVERAGE(OFFSET($CC$3,0,0,'Données projet'!$E$12+1,1))-AVERAGE(OFFSET($H$3,0,0,'Données projet'!$E$12+1,1))</f>
        <v>279.69031306919914</v>
      </c>
      <c r="CE86" s="62">
        <f t="shared" si="94"/>
        <v>297.01680128882509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126.43054832961141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0.15371854720560083</v>
      </c>
      <c r="CN86" s="24">
        <f t="shared" si="66"/>
        <v>126.58426687681701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2">
        <f t="shared" si="86"/>
        <v>13.540311673175388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70">
        <f t="shared" si="56"/>
        <v>396.79584283078037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-2.2737367544323206E-13</v>
      </c>
      <c r="O87" s="14">
        <f>N87*VLOOKUP('Données projet'!$B$9,Paramètres!$A$1:$I$89,3,0)*VLOOKUP('Données projet'!$B$9,Paramètres!$A$1:$I$89,5,0)</f>
        <v>-1.2710188457276673E-13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378.17323480030268</v>
      </c>
      <c r="T87" s="62">
        <f t="shared" si="88"/>
        <v>471.89239871617241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189.82551936054932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1.0550174055069434E-2</v>
      </c>
      <c r="AC87" s="24">
        <f t="shared" si="57"/>
        <v>189.83606953460441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2.2737367544323206E-13</v>
      </c>
      <c r="AJ87" s="14">
        <f>AI87*VLOOKUP('Données projet'!$B$10,Paramètres!$A$1:$I$89,3,0)*VLOOKUP('Données projet'!$B$10,Paramètres!$A$1:$I$89,5,0)</f>
        <v>1.8444552551954985E-13</v>
      </c>
      <c r="AK87" s="14">
        <f t="shared" si="89"/>
        <v>2.580317449479618E-12</v>
      </c>
      <c r="AL87" s="22">
        <f t="shared" si="58"/>
        <v>4.8152955147902165E-12</v>
      </c>
      <c r="AM87" s="62">
        <f t="shared" si="59"/>
        <v>293.33333333333815</v>
      </c>
      <c r="AN87" s="62">
        <f ca="1">AVERAGE(OFFSET($AM$3,0,0,'Données projet'!$E$10+1,1))-AVERAGE(OFFSET($H$3,0,0,'Données projet'!$E$10+1,1))</f>
        <v>199.44889029107367</v>
      </c>
      <c r="AO87" s="62">
        <f t="shared" si="90"/>
        <v>292.30544856287457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51.671714573296356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51.671714573296356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529.99999999999989</v>
      </c>
      <c r="BE87" s="14">
        <f>BD87*VLOOKUP('Données projet'!$B$11,Paramètres!$A$1:$I$89,3,0)*VLOOKUP('Données projet'!$B$11,Paramètres!$A$1:$I$89,5,0)</f>
        <v>248.03999999999994</v>
      </c>
      <c r="BF87" s="14">
        <f t="shared" si="91"/>
        <v>60.166044284441391</v>
      </c>
      <c r="BG87" s="22">
        <f t="shared" si="61"/>
        <v>536.79219379540189</v>
      </c>
      <c r="BH87" s="62">
        <f t="shared" si="62"/>
        <v>830.12552712873526</v>
      </c>
      <c r="BI87" s="62">
        <f ca="1">AVERAGE(OFFSET($BH$3,0,0,'Données projet'!$E$11+1,1))-AVERAGE(OFFSET($H$3,0,0,'Données projet'!$E$11+1,1))</f>
        <v>256.45505140629194</v>
      </c>
      <c r="BJ87" s="62">
        <f t="shared" si="92"/>
        <v>219.6985760545686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58.175906488179294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58.175906488179294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-1.1368683772161603E-13</v>
      </c>
      <c r="BZ87" s="14">
        <f>BY87*VLOOKUP('Données projet'!$B$12,Paramètres!$A$1:$I$89,3,0)*VLOOKUP('Données projet'!$B$12,Paramètres!$A$1:$I$89,5,0)</f>
        <v>-6.7984728957526396E-14</v>
      </c>
      <c r="CA87" s="14" t="e">
        <f t="shared" si="93"/>
        <v>#NUM!</v>
      </c>
      <c r="CB87" s="22" t="e">
        <f t="shared" si="64"/>
        <v>#NUM!</v>
      </c>
      <c r="CC87" s="62" t="e">
        <f t="shared" si="65"/>
        <v>#NUM!</v>
      </c>
      <c r="CD87" s="62">
        <f ca="1">AVERAGE(OFFSET($CC$3,0,0,'Données projet'!$E$12+1,1))-AVERAGE(OFFSET($H$3,0,0,'Données projet'!$E$12+1,1))</f>
        <v>279.69031306919914</v>
      </c>
      <c r="CE87" s="62">
        <f t="shared" si="94"/>
        <v>297.01680128882509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123.95132239188774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0.10869542712322476</v>
      </c>
      <c r="CN87" s="24">
        <f t="shared" si="66"/>
        <v>124.06001781901097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2">
        <f t="shared" si="86"/>
        <v>13.68264460643392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70">
        <f t="shared" si="56"/>
        <v>397.99468935620564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-2.2737367544323206E-13</v>
      </c>
      <c r="O88" s="14">
        <f>N88*VLOOKUP('Données projet'!$B$9,Paramètres!$A$1:$I$89,3,0)*VLOOKUP('Données projet'!$B$9,Paramètres!$A$1:$I$89,5,0)</f>
        <v>-1.2710188457276673E-13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378.17323480030268</v>
      </c>
      <c r="T88" s="62">
        <f t="shared" si="88"/>
        <v>471.89239871617241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186.10315670802322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7.4600996170379732E-3</v>
      </c>
      <c r="AC88" s="24">
        <f t="shared" si="57"/>
        <v>186.11061680764027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2.2737367544323206E-13</v>
      </c>
      <c r="AJ88" s="14">
        <f>AI88*VLOOKUP('Données projet'!$B$10,Paramètres!$A$1:$I$89,3,0)*VLOOKUP('Données projet'!$B$10,Paramètres!$A$1:$I$89,5,0)</f>
        <v>1.8444552551954985E-13</v>
      </c>
      <c r="AK88" s="14">
        <f t="shared" si="89"/>
        <v>2.580317449479618E-12</v>
      </c>
      <c r="AL88" s="22">
        <f t="shared" si="58"/>
        <v>4.8152955147902165E-12</v>
      </c>
      <c r="AM88" s="62">
        <f t="shared" si="59"/>
        <v>293.33333333333815</v>
      </c>
      <c r="AN88" s="62">
        <f ca="1">AVERAGE(OFFSET($AM$3,0,0,'Données projet'!$E$10+1,1))-AVERAGE(OFFSET($H$3,0,0,'Données projet'!$E$10+1,1))</f>
        <v>199.44889029107367</v>
      </c>
      <c r="AO88" s="62">
        <f t="shared" si="90"/>
        <v>292.30544856287457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50.658463767147893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50.658463767147893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529.99999999999989</v>
      </c>
      <c r="BE88" s="14">
        <f>BD88*VLOOKUP('Données projet'!$B$11,Paramètres!$A$1:$I$89,3,0)*VLOOKUP('Données projet'!$B$11,Paramètres!$A$1:$I$89,5,0)</f>
        <v>248.03999999999994</v>
      </c>
      <c r="BF88" s="14">
        <f t="shared" si="91"/>
        <v>60.166044284441391</v>
      </c>
      <c r="BG88" s="22">
        <f t="shared" si="61"/>
        <v>536.79219379540189</v>
      </c>
      <c r="BH88" s="62">
        <f t="shared" si="62"/>
        <v>830.12552712873526</v>
      </c>
      <c r="BI88" s="62">
        <f ca="1">AVERAGE(OFFSET($BH$3,0,0,'Données projet'!$E$11+1,1))-AVERAGE(OFFSET($H$3,0,0,'Données projet'!$E$11+1,1))</f>
        <v>256.45505140629194</v>
      </c>
      <c r="BJ88" s="62">
        <f t="shared" si="92"/>
        <v>219.6985760545686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57.03511244574532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57.03511244574532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-1.1368683772161603E-13</v>
      </c>
      <c r="BZ88" s="14">
        <f>BY88*VLOOKUP('Données projet'!$B$12,Paramètres!$A$1:$I$89,3,0)*VLOOKUP('Données projet'!$B$12,Paramètres!$A$1:$I$89,5,0)</f>
        <v>-6.7984728957526396E-14</v>
      </c>
      <c r="CA88" s="14" t="e">
        <f t="shared" si="93"/>
        <v>#NUM!</v>
      </c>
      <c r="CB88" s="22" t="e">
        <f t="shared" si="64"/>
        <v>#NUM!</v>
      </c>
      <c r="CC88" s="62" t="e">
        <f t="shared" si="65"/>
        <v>#NUM!</v>
      </c>
      <c r="CD88" s="62">
        <f ca="1">AVERAGE(OFFSET($CC$3,0,0,'Données projet'!$E$12+1,1))-AVERAGE(OFFSET($H$3,0,0,'Données projet'!$E$12+1,1))</f>
        <v>279.69031306919914</v>
      </c>
      <c r="CE88" s="62">
        <f t="shared" si="94"/>
        <v>297.01680128882509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121.52071256262433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7.6859273602800413E-2</v>
      </c>
      <c r="CN88" s="24">
        <f t="shared" si="66"/>
        <v>121.59757183622713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2">
        <f t="shared" si="86"/>
        <v>13.824782755944199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70">
        <f t="shared" si="56"/>
        <v>399.19319663326939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-2.2737367544323206E-13</v>
      </c>
      <c r="O89" s="14">
        <f>N89*VLOOKUP('Données projet'!$B$9,Paramètres!$A$1:$I$89,3,0)*VLOOKUP('Données projet'!$B$9,Paramètres!$A$1:$I$89,5,0)</f>
        <v>-1.2710188457276673E-13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378.17323480030268</v>
      </c>
      <c r="T89" s="62">
        <f t="shared" si="88"/>
        <v>471.89239871617241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182.45378731669612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5.275087027534717E-3</v>
      </c>
      <c r="AC89" s="24">
        <f t="shared" si="57"/>
        <v>182.45906240372366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2.2737367544323206E-13</v>
      </c>
      <c r="AJ89" s="14">
        <f>AI89*VLOOKUP('Données projet'!$B$10,Paramètres!$A$1:$I$89,3,0)*VLOOKUP('Données projet'!$B$10,Paramètres!$A$1:$I$89,5,0)</f>
        <v>1.8444552551954985E-13</v>
      </c>
      <c r="AK89" s="14">
        <f t="shared" si="89"/>
        <v>2.580317449479618E-12</v>
      </c>
      <c r="AL89" s="22">
        <f t="shared" si="58"/>
        <v>4.8152955147902165E-12</v>
      </c>
      <c r="AM89" s="62">
        <f t="shared" si="59"/>
        <v>293.33333333333815</v>
      </c>
      <c r="AN89" s="62">
        <f ca="1">AVERAGE(OFFSET($AM$3,0,0,'Données projet'!$E$10+1,1))-AVERAGE(OFFSET($H$3,0,0,'Données projet'!$E$10+1,1))</f>
        <v>199.44889029107367</v>
      </c>
      <c r="AO89" s="62">
        <f t="shared" si="90"/>
        <v>292.30544856287457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49.665082191286039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49.665082191286039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529.99999999999989</v>
      </c>
      <c r="BE89" s="14">
        <f>BD89*VLOOKUP('Données projet'!$B$11,Paramètres!$A$1:$I$89,3,0)*VLOOKUP('Données projet'!$B$11,Paramètres!$A$1:$I$89,5,0)</f>
        <v>248.03999999999994</v>
      </c>
      <c r="BF89" s="14">
        <f t="shared" si="91"/>
        <v>60.166044284441391</v>
      </c>
      <c r="BG89" s="22">
        <f t="shared" si="61"/>
        <v>536.79219379540189</v>
      </c>
      <c r="BH89" s="62">
        <f t="shared" si="62"/>
        <v>830.12552712873526</v>
      </c>
      <c r="BI89" s="62">
        <f ca="1">AVERAGE(OFFSET($BH$3,0,0,'Données projet'!$E$11+1,1))-AVERAGE(OFFSET($H$3,0,0,'Données projet'!$E$11+1,1))</f>
        <v>256.45505140629194</v>
      </c>
      <c r="BJ89" s="62">
        <f t="shared" si="92"/>
        <v>219.6985760545686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55.916688678667818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55.916688678667818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-1.1368683772161603E-13</v>
      </c>
      <c r="BZ89" s="14">
        <f>BY89*VLOOKUP('Données projet'!$B$12,Paramètres!$A$1:$I$89,3,0)*VLOOKUP('Données projet'!$B$12,Paramètres!$A$1:$I$89,5,0)</f>
        <v>-6.7984728957526396E-14</v>
      </c>
      <c r="CA89" s="14" t="e">
        <f t="shared" si="93"/>
        <v>#NUM!</v>
      </c>
      <c r="CB89" s="22" t="e">
        <f t="shared" si="64"/>
        <v>#NUM!</v>
      </c>
      <c r="CC89" s="62" t="e">
        <f t="shared" si="65"/>
        <v>#NUM!</v>
      </c>
      <c r="CD89" s="62">
        <f ca="1">AVERAGE(OFFSET($CC$3,0,0,'Données projet'!$E$12+1,1))-AVERAGE(OFFSET($H$3,0,0,'Données projet'!$E$12+1,1))</f>
        <v>279.69031306919914</v>
      </c>
      <c r="CE89" s="62">
        <f t="shared" si="94"/>
        <v>297.01680128882509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119.13776550958715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5.434771356161238E-2</v>
      </c>
      <c r="CN89" s="24">
        <f t="shared" si="66"/>
        <v>119.19211322314877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2">
        <f t="shared" si="86"/>
        <v>13.966728648675151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70">
        <f t="shared" si="56"/>
        <v>400.39136906310915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-2.2737367544323206E-13</v>
      </c>
      <c r="O90" s="14">
        <f>N90*VLOOKUP('Données projet'!$B$9,Paramètres!$A$1:$I$89,3,0)*VLOOKUP('Données projet'!$B$9,Paramètres!$A$1:$I$89,5,0)</f>
        <v>-1.2710188457276673E-13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378.17323480030268</v>
      </c>
      <c r="T90" s="62">
        <f t="shared" si="88"/>
        <v>471.89239871617241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178.87597983323741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3.7300498085189866E-3</v>
      </c>
      <c r="AC90" s="24">
        <f t="shared" si="57"/>
        <v>178.87970988304593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2.2737367544323206E-13</v>
      </c>
      <c r="AJ90" s="14">
        <f>AI90*VLOOKUP('Données projet'!$B$10,Paramètres!$A$1:$I$89,3,0)*VLOOKUP('Données projet'!$B$10,Paramètres!$A$1:$I$89,5,0)</f>
        <v>1.8444552551954985E-13</v>
      </c>
      <c r="AK90" s="14">
        <f t="shared" si="89"/>
        <v>2.580317449479618E-12</v>
      </c>
      <c r="AL90" s="22">
        <f t="shared" si="58"/>
        <v>4.8152955147902165E-12</v>
      </c>
      <c r="AM90" s="62">
        <f t="shared" si="59"/>
        <v>293.33333333333815</v>
      </c>
      <c r="AN90" s="62">
        <f ca="1">AVERAGE(OFFSET($AM$3,0,0,'Données projet'!$E$10+1,1))-AVERAGE(OFFSET($H$3,0,0,'Données projet'!$E$10+1,1))</f>
        <v>199.44889029107367</v>
      </c>
      <c r="AO90" s="62">
        <f t="shared" si="90"/>
        <v>292.30544856287457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48.691180222223899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48.691180222223899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529.99999999999989</v>
      </c>
      <c r="BE90" s="14">
        <f>BD90*VLOOKUP('Données projet'!$B$11,Paramètres!$A$1:$I$89,3,0)*VLOOKUP('Données projet'!$B$11,Paramètres!$A$1:$I$89,5,0)</f>
        <v>248.03999999999994</v>
      </c>
      <c r="BF90" s="14">
        <f t="shared" si="91"/>
        <v>60.166044284441391</v>
      </c>
      <c r="BG90" s="22">
        <f t="shared" si="61"/>
        <v>536.79219379540189</v>
      </c>
      <c r="BH90" s="62">
        <f t="shared" si="62"/>
        <v>830.12552712873526</v>
      </c>
      <c r="BI90" s="62">
        <f ca="1">AVERAGE(OFFSET($BH$3,0,0,'Données projet'!$E$11+1,1))-AVERAGE(OFFSET($H$3,0,0,'Données projet'!$E$11+1,1))</f>
        <v>256.45505140629194</v>
      </c>
      <c r="BJ90" s="62">
        <f t="shared" si="92"/>
        <v>219.6985760545686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54.820196519491567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54.820196519491567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-1.1368683772161603E-13</v>
      </c>
      <c r="BZ90" s="14">
        <f>BY90*VLOOKUP('Données projet'!$B$12,Paramètres!$A$1:$I$89,3,0)*VLOOKUP('Données projet'!$B$12,Paramètres!$A$1:$I$89,5,0)</f>
        <v>-6.7984728957526396E-14</v>
      </c>
      <c r="CA90" s="14" t="e">
        <f t="shared" si="93"/>
        <v>#NUM!</v>
      </c>
      <c r="CB90" s="22" t="e">
        <f t="shared" si="64"/>
        <v>#NUM!</v>
      </c>
      <c r="CC90" s="62" t="e">
        <f t="shared" si="65"/>
        <v>#NUM!</v>
      </c>
      <c r="CD90" s="62">
        <f ca="1">AVERAGE(OFFSET($CC$3,0,0,'Données projet'!$E$12+1,1))-AVERAGE(OFFSET($H$3,0,0,'Données projet'!$E$12+1,1))</f>
        <v>279.69031306919914</v>
      </c>
      <c r="CE90" s="62">
        <f t="shared" si="94"/>
        <v>297.01680128882509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116.80154659480586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3.8429636801400206E-2</v>
      </c>
      <c r="CN90" s="24">
        <f t="shared" si="66"/>
        <v>116.83997623160725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2">
        <f t="shared" si="86"/>
        <v>14.10848475016061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70">
        <f t="shared" si="56"/>
        <v>401.58921093986299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-2.2737367544323206E-13</v>
      </c>
      <c r="O91" s="14">
        <f>N91*VLOOKUP('Données projet'!$B$9,Paramètres!$A$1:$I$89,3,0)*VLOOKUP('Données projet'!$B$9,Paramètres!$A$1:$I$89,5,0)</f>
        <v>-1.2710188457276673E-13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378.17323480030268</v>
      </c>
      <c r="T91" s="62">
        <f t="shared" si="88"/>
        <v>471.89239871617241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175.36833097228225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2.6375435137673585E-3</v>
      </c>
      <c r="AC91" s="24">
        <f t="shared" si="57"/>
        <v>175.37096851579602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2.2737367544323206E-13</v>
      </c>
      <c r="AJ91" s="14">
        <f>AI91*VLOOKUP('Données projet'!$B$10,Paramètres!$A$1:$I$89,3,0)*VLOOKUP('Données projet'!$B$10,Paramètres!$A$1:$I$89,5,0)</f>
        <v>1.8444552551954985E-13</v>
      </c>
      <c r="AK91" s="14">
        <f t="shared" si="89"/>
        <v>2.580317449479618E-12</v>
      </c>
      <c r="AL91" s="22">
        <f t="shared" si="58"/>
        <v>4.8152955147902165E-12</v>
      </c>
      <c r="AM91" s="62">
        <f t="shared" si="59"/>
        <v>293.33333333333815</v>
      </c>
      <c r="AN91" s="62">
        <f ca="1">AVERAGE(OFFSET($AM$3,0,0,'Données projet'!$E$10+1,1))-AVERAGE(OFFSET($H$3,0,0,'Données projet'!$E$10+1,1))</f>
        <v>199.44889029107367</v>
      </c>
      <c r="AO91" s="62">
        <f t="shared" si="90"/>
        <v>292.30544856287457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47.73637587675352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47.73637587675352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529.99999999999989</v>
      </c>
      <c r="BE91" s="14">
        <f>BD91*VLOOKUP('Données projet'!$B$11,Paramètres!$A$1:$I$89,3,0)*VLOOKUP('Données projet'!$B$11,Paramètres!$A$1:$I$89,5,0)</f>
        <v>248.03999999999994</v>
      </c>
      <c r="BF91" s="14">
        <f t="shared" si="91"/>
        <v>60.166044284441391</v>
      </c>
      <c r="BG91" s="22">
        <f t="shared" si="61"/>
        <v>536.79219379540189</v>
      </c>
      <c r="BH91" s="62">
        <f t="shared" si="62"/>
        <v>830.12552712873526</v>
      </c>
      <c r="BI91" s="62">
        <f ca="1">AVERAGE(OFFSET($BH$3,0,0,'Données projet'!$E$11+1,1))-AVERAGE(OFFSET($H$3,0,0,'Données projet'!$E$11+1,1))</f>
        <v>256.45505140629194</v>
      </c>
      <c r="BJ91" s="62">
        <f t="shared" si="92"/>
        <v>219.6985760545686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53.745205902762585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53.745205902762585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-1.1368683772161603E-13</v>
      </c>
      <c r="BZ91" s="14">
        <f>BY91*VLOOKUP('Données projet'!$B$12,Paramètres!$A$1:$I$89,3,0)*VLOOKUP('Données projet'!$B$12,Paramètres!$A$1:$I$89,5,0)</f>
        <v>-6.7984728957526396E-14</v>
      </c>
      <c r="CA91" s="14" t="e">
        <f t="shared" si="93"/>
        <v>#NUM!</v>
      </c>
      <c r="CB91" s="22" t="e">
        <f t="shared" si="64"/>
        <v>#NUM!</v>
      </c>
      <c r="CC91" s="62" t="e">
        <f t="shared" si="65"/>
        <v>#NUM!</v>
      </c>
      <c r="CD91" s="62">
        <f ca="1">AVERAGE(OFFSET($CC$3,0,0,'Données projet'!$E$12+1,1))-AVERAGE(OFFSET($H$3,0,0,'Données projet'!$E$12+1,1))</f>
        <v>279.69031306919914</v>
      </c>
      <c r="CE91" s="62">
        <f t="shared" si="94"/>
        <v>297.01680128882509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114.51113950799058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2.717385678080619E-2</v>
      </c>
      <c r="CN91" s="24">
        <f t="shared" si="66"/>
        <v>114.53831336477138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2">
        <f t="shared" si="86"/>
        <v>14.250053466673728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70">
        <f t="shared" si="56"/>
        <v>402.78672645445664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-2.2737367544323206E-13</v>
      </c>
      <c r="O92" s="14">
        <f>N92*VLOOKUP('Données projet'!$B$9,Paramètres!$A$1:$I$89,3,0)*VLOOKUP('Données projet'!$B$9,Paramètres!$A$1:$I$89,5,0)</f>
        <v>-1.2710188457276673E-13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378.17323480030268</v>
      </c>
      <c r="T92" s="62">
        <f t="shared" si="88"/>
        <v>471.89239871617241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171.92946496603585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1.8650249042594933E-3</v>
      </c>
      <c r="AC92" s="24">
        <f t="shared" si="57"/>
        <v>171.9313299909401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2.2737367544323206E-13</v>
      </c>
      <c r="AJ92" s="14">
        <f>AI92*VLOOKUP('Données projet'!$B$10,Paramètres!$A$1:$I$89,3,0)*VLOOKUP('Données projet'!$B$10,Paramètres!$A$1:$I$89,5,0)</f>
        <v>1.8444552551954985E-13</v>
      </c>
      <c r="AK92" s="14">
        <f t="shared" si="89"/>
        <v>2.580317449479618E-12</v>
      </c>
      <c r="AL92" s="22">
        <f t="shared" si="58"/>
        <v>4.8152955147902165E-12</v>
      </c>
      <c r="AM92" s="62">
        <f t="shared" si="59"/>
        <v>293.33333333333815</v>
      </c>
      <c r="AN92" s="62">
        <f ca="1">AVERAGE(OFFSET($AM$3,0,0,'Données projet'!$E$10+1,1))-AVERAGE(OFFSET($H$3,0,0,'Données projet'!$E$10+1,1))</f>
        <v>199.44889029107367</v>
      </c>
      <c r="AO92" s="62">
        <f t="shared" si="90"/>
        <v>292.30544856287457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46.800294662124671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46.800294662124671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529.99999999999989</v>
      </c>
      <c r="BE92" s="14">
        <f>BD92*VLOOKUP('Données projet'!$B$11,Paramètres!$A$1:$I$89,3,0)*VLOOKUP('Données projet'!$B$11,Paramètres!$A$1:$I$89,5,0)</f>
        <v>248.03999999999994</v>
      </c>
      <c r="BF92" s="14">
        <f t="shared" si="91"/>
        <v>60.166044284441391</v>
      </c>
      <c r="BG92" s="22">
        <f t="shared" si="61"/>
        <v>536.79219379540189</v>
      </c>
      <c r="BH92" s="62">
        <f t="shared" si="62"/>
        <v>830.12552712873526</v>
      </c>
      <c r="BI92" s="62">
        <f ca="1">AVERAGE(OFFSET($BH$3,0,0,'Données projet'!$E$11+1,1))-AVERAGE(OFFSET($H$3,0,0,'Données projet'!$E$11+1,1))</f>
        <v>256.45505140629194</v>
      </c>
      <c r="BJ92" s="62">
        <f t="shared" si="92"/>
        <v>219.6985760545686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52.691295196348122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52.691295196348122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-1.1368683772161603E-13</v>
      </c>
      <c r="BZ92" s="14">
        <f>BY92*VLOOKUP('Données projet'!$B$12,Paramètres!$A$1:$I$89,3,0)*VLOOKUP('Données projet'!$B$12,Paramètres!$A$1:$I$89,5,0)</f>
        <v>-6.7984728957526396E-14</v>
      </c>
      <c r="CA92" s="14" t="e">
        <f t="shared" si="93"/>
        <v>#NUM!</v>
      </c>
      <c r="CB92" s="22" t="e">
        <f t="shared" si="64"/>
        <v>#NUM!</v>
      </c>
      <c r="CC92" s="62" t="e">
        <f t="shared" si="65"/>
        <v>#NUM!</v>
      </c>
      <c r="CD92" s="62">
        <f ca="1">AVERAGE(OFFSET($CC$3,0,0,'Données projet'!$E$12+1,1))-AVERAGE(OFFSET($H$3,0,0,'Données projet'!$E$12+1,1))</f>
        <v>279.69031306919914</v>
      </c>
      <c r="CE92" s="62">
        <f t="shared" si="94"/>
        <v>297.01680128882509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112.26564590713737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1.9214818400700103E-2</v>
      </c>
      <c r="CN92" s="24">
        <f t="shared" si="66"/>
        <v>112.28486072553807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2">
        <f t="shared" si="86"/>
        <v>14.391437147300854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70">
        <f t="shared" si="56"/>
        <v>403.98391969821557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-2.2737367544323206E-13</v>
      </c>
      <c r="O93" s="14">
        <f>N93*VLOOKUP('Données projet'!$B$9,Paramètres!$A$1:$I$89,3,0)*VLOOKUP('Données projet'!$B$9,Paramètres!$A$1:$I$89,5,0)</f>
        <v>-1.2710188457276673E-13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378.17323480030268</v>
      </c>
      <c r="T93" s="62">
        <f t="shared" si="88"/>
        <v>471.89239871617241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168.55803302467081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1.3187717568836793E-3</v>
      </c>
      <c r="AC93" s="24">
        <f t="shared" si="57"/>
        <v>168.55935179642768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2.2737367544323206E-13</v>
      </c>
      <c r="AJ93" s="14">
        <f>AI93*VLOOKUP('Données projet'!$B$10,Paramètres!$A$1:$I$89,3,0)*VLOOKUP('Données projet'!$B$10,Paramètres!$A$1:$I$89,5,0)</f>
        <v>1.8444552551954985E-13</v>
      </c>
      <c r="AK93" s="14">
        <f t="shared" si="89"/>
        <v>2.580317449479618E-12</v>
      </c>
      <c r="AL93" s="22">
        <f t="shared" si="58"/>
        <v>4.8152955147902165E-12</v>
      </c>
      <c r="AM93" s="62">
        <f t="shared" si="59"/>
        <v>293.33333333333815</v>
      </c>
      <c r="AN93" s="62">
        <f ca="1">AVERAGE(OFFSET($AM$3,0,0,'Données projet'!$E$10+1,1))-AVERAGE(OFFSET($H$3,0,0,'Données projet'!$E$10+1,1))</f>
        <v>199.44889029107367</v>
      </c>
      <c r="AO93" s="62">
        <f t="shared" si="90"/>
        <v>292.30544856287457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45.882569429161528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45.882569429161528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529.99999999999989</v>
      </c>
      <c r="BE93" s="14">
        <f>BD93*VLOOKUP('Données projet'!$B$11,Paramètres!$A$1:$I$89,3,0)*VLOOKUP('Données projet'!$B$11,Paramètres!$A$1:$I$89,5,0)</f>
        <v>248.03999999999994</v>
      </c>
      <c r="BF93" s="14">
        <f t="shared" si="91"/>
        <v>60.166044284441391</v>
      </c>
      <c r="BG93" s="22">
        <f t="shared" si="61"/>
        <v>536.79219379540189</v>
      </c>
      <c r="BH93" s="62">
        <f t="shared" si="62"/>
        <v>830.12552712873526</v>
      </c>
      <c r="BI93" s="62">
        <f ca="1">AVERAGE(OFFSET($BH$3,0,0,'Données projet'!$E$11+1,1))-AVERAGE(OFFSET($H$3,0,0,'Données projet'!$E$11+1,1))</f>
        <v>256.45505140629194</v>
      </c>
      <c r="BJ93" s="62">
        <f t="shared" si="92"/>
        <v>219.6985760545686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51.658051036064393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51.658051036064393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-1.1368683772161603E-13</v>
      </c>
      <c r="BZ93" s="14">
        <f>BY93*VLOOKUP('Données projet'!$B$12,Paramètres!$A$1:$I$89,3,0)*VLOOKUP('Données projet'!$B$12,Paramètres!$A$1:$I$89,5,0)</f>
        <v>-6.7984728957526396E-14</v>
      </c>
      <c r="CA93" s="14" t="e">
        <f t="shared" si="93"/>
        <v>#NUM!</v>
      </c>
      <c r="CB93" s="22" t="e">
        <f t="shared" si="64"/>
        <v>#NUM!</v>
      </c>
      <c r="CC93" s="62" t="e">
        <f t="shared" si="65"/>
        <v>#NUM!</v>
      </c>
      <c r="CD93" s="62">
        <f ca="1">AVERAGE(OFFSET($CC$3,0,0,'Données projet'!$E$12+1,1))-AVERAGE(OFFSET($H$3,0,0,'Données projet'!$E$12+1,1))</f>
        <v>279.69031306919914</v>
      </c>
      <c r="CE93" s="62">
        <f t="shared" si="94"/>
        <v>297.01680128882509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110.06418506618104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1.3586928390403095E-2</v>
      </c>
      <c r="CN93" s="24">
        <f t="shared" si="66"/>
        <v>110.07777199457145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2">
        <f t="shared" si="86"/>
        <v>14.532638085920599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70">
        <f t="shared" si="56"/>
        <v>405.18079466631161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-2.2737367544323206E-13</v>
      </c>
      <c r="O94" s="14">
        <f>N94*VLOOKUP('Données projet'!$B$9,Paramètres!$A$1:$I$89,3,0)*VLOOKUP('Données projet'!$B$9,Paramètres!$A$1:$I$89,5,0)</f>
        <v>-1.2710188457276673E-13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378.17323480030268</v>
      </c>
      <c r="T94" s="62">
        <f t="shared" si="88"/>
        <v>471.89239871617241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165.2527128073055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9.3251245212974665E-4</v>
      </c>
      <c r="AC94" s="24">
        <f t="shared" si="57"/>
        <v>165.25364531975762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2.2737367544323206E-13</v>
      </c>
      <c r="AJ94" s="14">
        <f>AI94*VLOOKUP('Données projet'!$B$10,Paramètres!$A$1:$I$89,3,0)*VLOOKUP('Données projet'!$B$10,Paramètres!$A$1:$I$89,5,0)</f>
        <v>1.8444552551954985E-13</v>
      </c>
      <c r="AK94" s="14">
        <f t="shared" si="89"/>
        <v>2.580317449479618E-12</v>
      </c>
      <c r="AL94" s="22">
        <f t="shared" si="58"/>
        <v>4.8152955147902165E-12</v>
      </c>
      <c r="AM94" s="62">
        <f t="shared" si="59"/>
        <v>293.33333333333815</v>
      </c>
      <c r="AN94" s="62">
        <f ca="1">AVERAGE(OFFSET($AM$3,0,0,'Données projet'!$E$10+1,1))-AVERAGE(OFFSET($H$3,0,0,'Données projet'!$E$10+1,1))</f>
        <v>199.44889029107367</v>
      </c>
      <c r="AO94" s="62">
        <f t="shared" si="90"/>
        <v>292.30544856287457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44.982840228259676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44.982840228259676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529.99999999999989</v>
      </c>
      <c r="BE94" s="14">
        <f>BD94*VLOOKUP('Données projet'!$B$11,Paramètres!$A$1:$I$89,3,0)*VLOOKUP('Données projet'!$B$11,Paramètres!$A$1:$I$89,5,0)</f>
        <v>248.03999999999994</v>
      </c>
      <c r="BF94" s="14">
        <f t="shared" si="91"/>
        <v>60.166044284441391</v>
      </c>
      <c r="BG94" s="22">
        <f t="shared" si="61"/>
        <v>536.79219379540189</v>
      </c>
      <c r="BH94" s="62">
        <f t="shared" si="62"/>
        <v>830.12552712873526</v>
      </c>
      <c r="BI94" s="62">
        <f ca="1">AVERAGE(OFFSET($BH$3,0,0,'Données projet'!$E$11+1,1))-AVERAGE(OFFSET($H$3,0,0,'Données projet'!$E$11+1,1))</f>
        <v>256.45505140629194</v>
      </c>
      <c r="BJ94" s="62">
        <f t="shared" si="92"/>
        <v>219.6985760545686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50.645068163547116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50.645068163547116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-1.1368683772161603E-13</v>
      </c>
      <c r="BZ94" s="14">
        <f>BY94*VLOOKUP('Données projet'!$B$12,Paramètres!$A$1:$I$89,3,0)*VLOOKUP('Données projet'!$B$12,Paramètres!$A$1:$I$89,5,0)</f>
        <v>-6.7984728957526396E-14</v>
      </c>
      <c r="CA94" s="14" t="e">
        <f t="shared" si="93"/>
        <v>#NUM!</v>
      </c>
      <c r="CB94" s="22" t="e">
        <f t="shared" si="64"/>
        <v>#NUM!</v>
      </c>
      <c r="CC94" s="62" t="e">
        <f t="shared" si="65"/>
        <v>#NUM!</v>
      </c>
      <c r="CD94" s="62">
        <f ca="1">AVERAGE(OFFSET($CC$3,0,0,'Données projet'!$E$12+1,1))-AVERAGE(OFFSET($H$3,0,0,'Données projet'!$E$12+1,1))</f>
        <v>279.69031306919914</v>
      </c>
      <c r="CE94" s="62">
        <f t="shared" si="94"/>
        <v>297.01680128882509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107.90589352955733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9.6074092003500516E-3</v>
      </c>
      <c r="CN94" s="24">
        <f t="shared" si="66"/>
        <v>107.91550093875769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2">
        <f t="shared" si="86"/>
        <v>14.673658523093403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70">
        <f t="shared" si="56"/>
        <v>406.37735526105428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-2.2737367544323206E-13</v>
      </c>
      <c r="O95" s="14">
        <f>N95*VLOOKUP('Données projet'!$B$9,Paramètres!$A$1:$I$89,3,0)*VLOOKUP('Données projet'!$B$9,Paramètres!$A$1:$I$89,5,0)</f>
        <v>-1.2710188457276673E-13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378.17323480030268</v>
      </c>
      <c r="T95" s="62">
        <f t="shared" si="88"/>
        <v>471.89239871617241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162.01220790335645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6.5938587844183963E-4</v>
      </c>
      <c r="AC95" s="24">
        <f t="shared" si="57"/>
        <v>162.01286728923489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2.2737367544323206E-13</v>
      </c>
      <c r="AJ95" s="14">
        <f>AI95*VLOOKUP('Données projet'!$B$10,Paramètres!$A$1:$I$89,3,0)*VLOOKUP('Données projet'!$B$10,Paramètres!$A$1:$I$89,5,0)</f>
        <v>1.8444552551954985E-13</v>
      </c>
      <c r="AK95" s="14">
        <f t="shared" si="89"/>
        <v>2.580317449479618E-12</v>
      </c>
      <c r="AL95" s="22">
        <f t="shared" si="58"/>
        <v>4.8152955147902165E-12</v>
      </c>
      <c r="AM95" s="62">
        <f t="shared" si="59"/>
        <v>293.33333333333815</v>
      </c>
      <c r="AN95" s="62">
        <f ca="1">AVERAGE(OFFSET($AM$3,0,0,'Données projet'!$E$10+1,1))-AVERAGE(OFFSET($H$3,0,0,'Données projet'!$E$10+1,1))</f>
        <v>199.44889029107367</v>
      </c>
      <c r="AO95" s="62">
        <f t="shared" si="90"/>
        <v>292.30544856287457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44.100754168206883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44.100754168206883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529.99999999999989</v>
      </c>
      <c r="BE95" s="14">
        <f>BD95*VLOOKUP('Données projet'!$B$11,Paramètres!$A$1:$I$89,3,0)*VLOOKUP('Données projet'!$B$11,Paramètres!$A$1:$I$89,5,0)</f>
        <v>248.03999999999994</v>
      </c>
      <c r="BF95" s="14">
        <f t="shared" si="91"/>
        <v>60.166044284441391</v>
      </c>
      <c r="BG95" s="22">
        <f t="shared" si="61"/>
        <v>536.79219379540189</v>
      </c>
      <c r="BH95" s="62">
        <f t="shared" si="62"/>
        <v>830.12552712873526</v>
      </c>
      <c r="BI95" s="62">
        <f ca="1">AVERAGE(OFFSET($BH$3,0,0,'Données projet'!$E$11+1,1))-AVERAGE(OFFSET($H$3,0,0,'Données projet'!$E$11+1,1))</f>
        <v>256.45505140629194</v>
      </c>
      <c r="BJ95" s="62">
        <f t="shared" si="92"/>
        <v>219.6985760545686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49.651949267301362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49.651949267301362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-1.1368683772161603E-13</v>
      </c>
      <c r="BZ95" s="14">
        <f>BY95*VLOOKUP('Données projet'!$B$12,Paramètres!$A$1:$I$89,3,0)*VLOOKUP('Données projet'!$B$12,Paramètres!$A$1:$I$89,5,0)</f>
        <v>-6.7984728957526396E-14</v>
      </c>
      <c r="CA95" s="14" t="e">
        <f t="shared" si="93"/>
        <v>#NUM!</v>
      </c>
      <c r="CB95" s="22" t="e">
        <f t="shared" si="64"/>
        <v>#NUM!</v>
      </c>
      <c r="CC95" s="62" t="e">
        <f t="shared" si="65"/>
        <v>#NUM!</v>
      </c>
      <c r="CD95" s="62">
        <f ca="1">AVERAGE(OFFSET($CC$3,0,0,'Données projet'!$E$12+1,1))-AVERAGE(OFFSET($H$3,0,0,'Données projet'!$E$12+1,1))</f>
        <v>279.69031306919914</v>
      </c>
      <c r="CE95" s="62">
        <f t="shared" si="94"/>
        <v>297.01680128882509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105.78992477353897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6.7934641952015476E-3</v>
      </c>
      <c r="CN95" s="24">
        <f t="shared" si="66"/>
        <v>105.79671823773417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2">
        <f t="shared" si="86"/>
        <v>14.814500647866689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70">
        <f t="shared" si="56"/>
        <v>407.57360529503438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-2.2737367544323206E-13</v>
      </c>
      <c r="O96" s="14">
        <f>N96*VLOOKUP('Données projet'!$B$9,Paramètres!$A$1:$I$89,3,0)*VLOOKUP('Données projet'!$B$9,Paramètres!$A$1:$I$89,5,0)</f>
        <v>-1.2710188457276673E-13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378.17323480030268</v>
      </c>
      <c r="T96" s="62">
        <f t="shared" si="88"/>
        <v>471.89239871617241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158.83524732406102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4.6625622606487333E-4</v>
      </c>
      <c r="AC96" s="24">
        <f t="shared" si="57"/>
        <v>158.83571358028709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2.2737367544323206E-13</v>
      </c>
      <c r="AJ96" s="14">
        <f>AI96*VLOOKUP('Données projet'!$B$10,Paramètres!$A$1:$I$89,3,0)*VLOOKUP('Données projet'!$B$10,Paramètres!$A$1:$I$89,5,0)</f>
        <v>1.8444552551954985E-13</v>
      </c>
      <c r="AK96" s="14">
        <f t="shared" si="89"/>
        <v>2.580317449479618E-12</v>
      </c>
      <c r="AL96" s="22">
        <f t="shared" si="58"/>
        <v>4.8152955147902165E-12</v>
      </c>
      <c r="AM96" s="62">
        <f t="shared" si="59"/>
        <v>293.33333333333815</v>
      </c>
      <c r="AN96" s="62">
        <f ca="1">AVERAGE(OFFSET($AM$3,0,0,'Données projet'!$E$10+1,1))-AVERAGE(OFFSET($H$3,0,0,'Données projet'!$E$10+1,1))</f>
        <v>199.44889029107367</v>
      </c>
      <c r="AO96" s="62">
        <f t="shared" si="90"/>
        <v>292.30544856287457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43.235965277772351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43.235965277772351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529.99999999999989</v>
      </c>
      <c r="BE96" s="14">
        <f>BD96*VLOOKUP('Données projet'!$B$11,Paramètres!$A$1:$I$89,3,0)*VLOOKUP('Données projet'!$B$11,Paramètres!$A$1:$I$89,5,0)</f>
        <v>248.03999999999994</v>
      </c>
      <c r="BF96" s="14">
        <f t="shared" si="91"/>
        <v>60.166044284441391</v>
      </c>
      <c r="BG96" s="22">
        <f t="shared" si="61"/>
        <v>536.79219379540189</v>
      </c>
      <c r="BH96" s="62">
        <f t="shared" si="62"/>
        <v>830.12552712873526</v>
      </c>
      <c r="BI96" s="62">
        <f ca="1">AVERAGE(OFFSET($BH$3,0,0,'Données projet'!$E$11+1,1))-AVERAGE(OFFSET($H$3,0,0,'Données projet'!$E$11+1,1))</f>
        <v>256.45505140629194</v>
      </c>
      <c r="BJ96" s="62">
        <f t="shared" si="92"/>
        <v>219.6985760545686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48.678304826868271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48.678304826868271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-1.1368683772161603E-13</v>
      </c>
      <c r="BZ96" s="14">
        <f>BY96*VLOOKUP('Données projet'!$B$12,Paramètres!$A$1:$I$89,3,0)*VLOOKUP('Données projet'!$B$12,Paramètres!$A$1:$I$89,5,0)</f>
        <v>-6.7984728957526396E-14</v>
      </c>
      <c r="CA96" s="14" t="e">
        <f t="shared" si="93"/>
        <v>#NUM!</v>
      </c>
      <c r="CB96" s="22" t="e">
        <f t="shared" si="64"/>
        <v>#NUM!</v>
      </c>
      <c r="CC96" s="62" t="e">
        <f t="shared" si="65"/>
        <v>#NUM!</v>
      </c>
      <c r="CD96" s="62">
        <f ca="1">AVERAGE(OFFSET($CC$3,0,0,'Données projet'!$E$12+1,1))-AVERAGE(OFFSET($H$3,0,0,'Données projet'!$E$12+1,1))</f>
        <v>279.69031306919914</v>
      </c>
      <c r="CE96" s="62">
        <f t="shared" si="94"/>
        <v>297.01680128882509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103.71544887421263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4.8037046001750258E-3</v>
      </c>
      <c r="CN96" s="24">
        <f t="shared" si="66"/>
        <v>103.7202525788128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2">
        <f t="shared" si="86"/>
        <v>14.955166599500016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70">
        <f t="shared" si="56"/>
        <v>408.76954849412908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-2.2737367544323206E-13</v>
      </c>
      <c r="O97" s="14">
        <f>N97*VLOOKUP('Données projet'!$B$9,Paramètres!$A$1:$I$89,3,0)*VLOOKUP('Données projet'!$B$9,Paramètres!$A$1:$I$89,5,0)</f>
        <v>-1.2710188457276673E-13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378.17323480030268</v>
      </c>
      <c r="T97" s="62">
        <f t="shared" si="88"/>
        <v>471.89239871617241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155.72058500397094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3.2969293922091982E-4</v>
      </c>
      <c r="AC97" s="24">
        <f t="shared" si="57"/>
        <v>155.72091469691017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2.2737367544323206E-13</v>
      </c>
      <c r="AJ97" s="14">
        <f>AI97*VLOOKUP('Données projet'!$B$10,Paramètres!$A$1:$I$89,3,0)*VLOOKUP('Données projet'!$B$10,Paramètres!$A$1:$I$89,5,0)</f>
        <v>1.8444552551954985E-13</v>
      </c>
      <c r="AK97" s="14">
        <f t="shared" si="89"/>
        <v>2.580317449479618E-12</v>
      </c>
      <c r="AL97" s="22">
        <f t="shared" si="58"/>
        <v>4.8152955147902165E-12</v>
      </c>
      <c r="AM97" s="62">
        <f t="shared" si="59"/>
        <v>293.33333333333815</v>
      </c>
      <c r="AN97" s="62">
        <f ca="1">AVERAGE(OFFSET($AM$3,0,0,'Données projet'!$E$10+1,1))-AVERAGE(OFFSET($H$3,0,0,'Données projet'!$E$10+1,1))</f>
        <v>199.44889029107367</v>
      </c>
      <c r="AO97" s="62">
        <f t="shared" si="90"/>
        <v>292.30544856287457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42.3881343700101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42.3881343700101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529.99999999999989</v>
      </c>
      <c r="BE97" s="14">
        <f>BD97*VLOOKUP('Données projet'!$B$11,Paramètres!$A$1:$I$89,3,0)*VLOOKUP('Données projet'!$B$11,Paramètres!$A$1:$I$89,5,0)</f>
        <v>248.03999999999994</v>
      </c>
      <c r="BF97" s="14">
        <f t="shared" si="91"/>
        <v>60.166044284441391</v>
      </c>
      <c r="BG97" s="22">
        <f t="shared" si="61"/>
        <v>536.79219379540189</v>
      </c>
      <c r="BH97" s="62">
        <f t="shared" si="62"/>
        <v>830.12552712873526</v>
      </c>
      <c r="BI97" s="62">
        <f ca="1">AVERAGE(OFFSET($BH$3,0,0,'Données projet'!$E$11+1,1))-AVERAGE(OFFSET($H$3,0,0,'Données projet'!$E$11+1,1))</f>
        <v>256.45505140629194</v>
      </c>
      <c r="BJ97" s="62">
        <f t="shared" si="92"/>
        <v>219.6985760545686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47.723752960047605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47.723752960047605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-1.1368683772161603E-13</v>
      </c>
      <c r="BZ97" s="14">
        <f>BY97*VLOOKUP('Données projet'!$B$12,Paramètres!$A$1:$I$89,3,0)*VLOOKUP('Données projet'!$B$12,Paramètres!$A$1:$I$89,5,0)</f>
        <v>-6.7984728957526396E-14</v>
      </c>
      <c r="CA97" s="14" t="e">
        <f t="shared" si="93"/>
        <v>#NUM!</v>
      </c>
      <c r="CB97" s="22" t="e">
        <f t="shared" si="64"/>
        <v>#NUM!</v>
      </c>
      <c r="CC97" s="62" t="e">
        <f t="shared" si="65"/>
        <v>#NUM!</v>
      </c>
      <c r="CD97" s="62">
        <f ca="1">AVERAGE(OFFSET($CC$3,0,0,'Données projet'!$E$12+1,1))-AVERAGE(OFFSET($H$3,0,0,'Données projet'!$E$12+1,1))</f>
        <v>279.69031306919914</v>
      </c>
      <c r="CE97" s="62">
        <f t="shared" si="94"/>
        <v>297.01680128882509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101.68165218196671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3.3967320976007738E-3</v>
      </c>
      <c r="CN97" s="24">
        <f t="shared" si="66"/>
        <v>101.68504891406431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2">
        <f t="shared" si="86"/>
        <v>15.0956584691149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70">
        <f t="shared" si="56"/>
        <v>409.96518850037501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-2.2737367544323206E-13</v>
      </c>
      <c r="O98" s="14">
        <f>N98*VLOOKUP('Données projet'!$B$9,Paramètres!$A$1:$I$89,3,0)*VLOOKUP('Données projet'!$B$9,Paramètres!$A$1:$I$89,5,0)</f>
        <v>-1.2710188457276673E-13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378.17323480030268</v>
      </c>
      <c r="T98" s="62">
        <f t="shared" si="88"/>
        <v>471.89239871617241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152.66699931222141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2.3312811303243666E-4</v>
      </c>
      <c r="AC98" s="24">
        <f t="shared" si="57"/>
        <v>152.66723244033443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2.2737367544323206E-13</v>
      </c>
      <c r="AJ98" s="14">
        <f>AI98*VLOOKUP('Données projet'!$B$10,Paramètres!$A$1:$I$89,3,0)*VLOOKUP('Données projet'!$B$10,Paramètres!$A$1:$I$89,5,0)</f>
        <v>1.8444552551954985E-13</v>
      </c>
      <c r="AK98" s="14">
        <f t="shared" si="89"/>
        <v>2.580317449479618E-12</v>
      </c>
      <c r="AL98" s="22">
        <f t="shared" si="58"/>
        <v>4.8152955147902165E-12</v>
      </c>
      <c r="AM98" s="62">
        <f t="shared" si="59"/>
        <v>293.33333333333815</v>
      </c>
      <c r="AN98" s="62">
        <f ca="1">AVERAGE(OFFSET($AM$3,0,0,'Données projet'!$E$10+1,1))-AVERAGE(OFFSET($H$3,0,0,'Données projet'!$E$10+1,1))</f>
        <v>199.44889029107367</v>
      </c>
      <c r="AO98" s="62">
        <f t="shared" si="90"/>
        <v>292.30544856287457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41.556928909223274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41.556928909223274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529.99999999999989</v>
      </c>
      <c r="BE98" s="14">
        <f>BD98*VLOOKUP('Données projet'!$B$11,Paramètres!$A$1:$I$89,3,0)*VLOOKUP('Données projet'!$B$11,Paramètres!$A$1:$I$89,5,0)</f>
        <v>248.03999999999994</v>
      </c>
      <c r="BF98" s="14">
        <f t="shared" si="91"/>
        <v>60.166044284441391</v>
      </c>
      <c r="BG98" s="22">
        <f t="shared" si="61"/>
        <v>536.79219379540189</v>
      </c>
      <c r="BH98" s="62">
        <f t="shared" si="62"/>
        <v>830.12552712873526</v>
      </c>
      <c r="BI98" s="62">
        <f ca="1">AVERAGE(OFFSET($BH$3,0,0,'Données projet'!$E$11+1,1))-AVERAGE(OFFSET($H$3,0,0,'Données projet'!$E$11+1,1))</f>
        <v>256.45505140629194</v>
      </c>
      <c r="BJ98" s="62">
        <f t="shared" si="92"/>
        <v>219.6985760545686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46.787919273116138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46.787919273116138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-1.1368683772161603E-13</v>
      </c>
      <c r="BZ98" s="14">
        <f>BY98*VLOOKUP('Données projet'!$B$12,Paramètres!$A$1:$I$89,3,0)*VLOOKUP('Données projet'!$B$12,Paramètres!$A$1:$I$89,5,0)</f>
        <v>-6.7984728957526396E-14</v>
      </c>
      <c r="CA98" s="14" t="e">
        <f t="shared" si="93"/>
        <v>#NUM!</v>
      </c>
      <c r="CB98" s="22" t="e">
        <f t="shared" si="64"/>
        <v>#NUM!</v>
      </c>
      <c r="CC98" s="62" t="e">
        <f t="shared" si="65"/>
        <v>#NUM!</v>
      </c>
      <c r="CD98" s="62">
        <f ca="1">AVERAGE(OFFSET($CC$3,0,0,'Données projet'!$E$12+1,1))-AVERAGE(OFFSET($H$3,0,0,'Données projet'!$E$12+1,1))</f>
        <v>279.69031306919914</v>
      </c>
      <c r="CE98" s="62">
        <f t="shared" si="94"/>
        <v>297.01680128882509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99.68773700236224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2.4018523000875129E-3</v>
      </c>
      <c r="CN98" s="24">
        <f t="shared" si="66"/>
        <v>99.690138854662322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2">
        <f t="shared" si="86"/>
        <v>15.235978301273022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70">
        <f t="shared" si="56"/>
        <v>411.1605288747171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-2.2737367544323206E-13</v>
      </c>
      <c r="O99" s="14">
        <f>N99*VLOOKUP('Données projet'!$B$9,Paramètres!$A$1:$I$89,3,0)*VLOOKUP('Données projet'!$B$9,Paramètres!$A$1:$I$89,5,0)</f>
        <v>-1.2710188457276673E-13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378.17323480030268</v>
      </c>
      <c r="T99" s="62">
        <f t="shared" si="88"/>
        <v>471.89239871617241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149.67329257338372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1.6484646961045991E-4</v>
      </c>
      <c r="AC99" s="24">
        <f t="shared" si="57"/>
        <v>149.67345741985332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2.2737367544323206E-13</v>
      </c>
      <c r="AJ99" s="14">
        <f>AI99*VLOOKUP('Données projet'!$B$10,Paramètres!$A$1:$I$89,3,0)*VLOOKUP('Données projet'!$B$10,Paramètres!$A$1:$I$89,5,0)</f>
        <v>1.8444552551954985E-13</v>
      </c>
      <c r="AK99" s="14">
        <f t="shared" si="89"/>
        <v>2.580317449479618E-12</v>
      </c>
      <c r="AL99" s="22">
        <f t="shared" si="58"/>
        <v>4.8152955147902165E-12</v>
      </c>
      <c r="AM99" s="62">
        <f t="shared" si="59"/>
        <v>293.33333333333815</v>
      </c>
      <c r="AN99" s="62">
        <f ca="1">AVERAGE(OFFSET($AM$3,0,0,'Données projet'!$E$10+1,1))-AVERAGE(OFFSET($H$3,0,0,'Données projet'!$E$10+1,1))</f>
        <v>199.44889029107367</v>
      </c>
      <c r="AO99" s="62">
        <f t="shared" si="90"/>
        <v>292.30544856287457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40.742022880537206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40.742022880537206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529.99999999999989</v>
      </c>
      <c r="BE99" s="14">
        <f>BD99*VLOOKUP('Données projet'!$B$11,Paramètres!$A$1:$I$89,3,0)*VLOOKUP('Données projet'!$B$11,Paramètres!$A$1:$I$89,5,0)</f>
        <v>248.03999999999994</v>
      </c>
      <c r="BF99" s="14">
        <f t="shared" si="91"/>
        <v>60.166044284441391</v>
      </c>
      <c r="BG99" s="22">
        <f t="shared" si="61"/>
        <v>536.79219379540189</v>
      </c>
      <c r="BH99" s="62">
        <f t="shared" si="62"/>
        <v>830.12552712873526</v>
      </c>
      <c r="BI99" s="62">
        <f ca="1">AVERAGE(OFFSET($BH$3,0,0,'Données projet'!$E$11+1,1))-AVERAGE(OFFSET($H$3,0,0,'Données projet'!$E$11+1,1))</f>
        <v>256.45505140629194</v>
      </c>
      <c r="BJ99" s="62">
        <f t="shared" si="92"/>
        <v>219.6985760545686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45.87043671398321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45.87043671398321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-1.1368683772161603E-13</v>
      </c>
      <c r="BZ99" s="14">
        <f>BY99*VLOOKUP('Données projet'!$B$12,Paramètres!$A$1:$I$89,3,0)*VLOOKUP('Données projet'!$B$12,Paramètres!$A$1:$I$89,5,0)</f>
        <v>-6.7984728957526396E-14</v>
      </c>
      <c r="CA99" s="14" t="e">
        <f t="shared" si="93"/>
        <v>#NUM!</v>
      </c>
      <c r="CB99" s="22" t="e">
        <f t="shared" si="64"/>
        <v>#NUM!</v>
      </c>
      <c r="CC99" s="62" t="e">
        <f t="shared" si="65"/>
        <v>#NUM!</v>
      </c>
      <c r="CD99" s="62">
        <f ca="1">AVERAGE(OFFSET($CC$3,0,0,'Données projet'!$E$12+1,1))-AVERAGE(OFFSET($H$3,0,0,'Données projet'!$E$12+1,1))</f>
        <v>279.69031306919914</v>
      </c>
      <c r="CE99" s="62">
        <f t="shared" si="94"/>
        <v>297.01680128882509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97.732921283261646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1.6983660488003869E-3</v>
      </c>
      <c r="CN99" s="24">
        <f t="shared" si="66"/>
        <v>97.734619649310446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2">
        <f t="shared" si="86"/>
        <v>15.376128095486868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70">
        <f t="shared" si="56"/>
        <v>412.35557309963951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-2.2737367544323206E-13</v>
      </c>
      <c r="O100" s="14">
        <f>N100*VLOOKUP('Données projet'!$B$9,Paramètres!$A$1:$I$89,3,0)*VLOOKUP('Données projet'!$B$9,Paramètres!$A$1:$I$89,5,0)</f>
        <v>-1.2710188457276673E-13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378.17323480030268</v>
      </c>
      <c r="T100" s="62">
        <f t="shared" si="88"/>
        <v>471.89239871617241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146.73829059771384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1.1656405651621833E-4</v>
      </c>
      <c r="AC100" s="24">
        <f t="shared" si="57"/>
        <v>146.73840716177037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2.2737367544323206E-13</v>
      </c>
      <c r="AJ100" s="14">
        <f>AI100*VLOOKUP('Données projet'!$B$10,Paramètres!$A$1:$I$89,3,0)*VLOOKUP('Données projet'!$B$10,Paramètres!$A$1:$I$89,5,0)</f>
        <v>1.8444552551954985E-13</v>
      </c>
      <c r="AK100" s="14">
        <f t="shared" si="89"/>
        <v>2.580317449479618E-12</v>
      </c>
      <c r="AL100" s="22">
        <f t="shared" si="58"/>
        <v>4.8152955147902165E-12</v>
      </c>
      <c r="AM100" s="62">
        <f t="shared" si="59"/>
        <v>293.33333333333815</v>
      </c>
      <c r="AN100" s="62">
        <f ca="1">AVERAGE(OFFSET($AM$3,0,0,'Données projet'!$E$10+1,1))-AVERAGE(OFFSET($H$3,0,0,'Données projet'!$E$10+1,1))</f>
        <v>199.44889029107367</v>
      </c>
      <c r="AO100" s="62">
        <f t="shared" si="90"/>
        <v>292.30544856287457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39.943096662030079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39.943096662030079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529.99999999999989</v>
      </c>
      <c r="BE100" s="14">
        <f>BD100*VLOOKUP('Données projet'!$B$11,Paramètres!$A$1:$I$89,3,0)*VLOOKUP('Données projet'!$B$11,Paramètres!$A$1:$I$89,5,0)</f>
        <v>248.03999999999994</v>
      </c>
      <c r="BF100" s="14">
        <f t="shared" si="91"/>
        <v>60.166044284441391</v>
      </c>
      <c r="BG100" s="22">
        <f t="shared" si="61"/>
        <v>536.79219379540189</v>
      </c>
      <c r="BH100" s="62">
        <f t="shared" si="62"/>
        <v>830.12552712873526</v>
      </c>
      <c r="BI100" s="62">
        <f ca="1">AVERAGE(OFFSET($BH$3,0,0,'Données projet'!$E$11+1,1))-AVERAGE(OFFSET($H$3,0,0,'Données projet'!$E$11+1,1))</f>
        <v>256.45505140629194</v>
      </c>
      <c r="BJ100" s="62">
        <f t="shared" si="92"/>
        <v>219.6985760545686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44.970945428225775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44.970945428225775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-1.1368683772161603E-13</v>
      </c>
      <c r="BZ100" s="14">
        <f>BY100*VLOOKUP('Données projet'!$B$12,Paramètres!$A$1:$I$89,3,0)*VLOOKUP('Données projet'!$B$12,Paramètres!$A$1:$I$89,5,0)</f>
        <v>-6.7984728957526396E-14</v>
      </c>
      <c r="CA100" s="14" t="e">
        <f t="shared" si="93"/>
        <v>#NUM!</v>
      </c>
      <c r="CB100" s="22" t="e">
        <f t="shared" si="64"/>
        <v>#NUM!</v>
      </c>
      <c r="CC100" s="62" t="e">
        <f t="shared" si="65"/>
        <v>#NUM!</v>
      </c>
      <c r="CD100" s="62">
        <f ca="1">AVERAGE(OFFSET($CC$3,0,0,'Données projet'!$E$12+1,1))-AVERAGE(OFFSET($H$3,0,0,'Données projet'!$E$12+1,1))</f>
        <v>279.69031306919914</v>
      </c>
      <c r="CE100" s="62">
        <f t="shared" si="94"/>
        <v>297.01680128882509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95.816438308092756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1.2009261500437564E-3</v>
      </c>
      <c r="CN100" s="24">
        <f t="shared" si="66"/>
        <v>95.817639234242804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2">
        <f t="shared" si="86"/>
        <v>15.516109807666373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70">
        <f t="shared" si="56"/>
        <v>413.55032458168552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-2.2737367544323206E-13</v>
      </c>
      <c r="O101" s="14">
        <f>N101*VLOOKUP('Données projet'!$B$9,Paramètres!$A$1:$I$89,3,0)*VLOOKUP('Données projet'!$B$9,Paramètres!$A$1:$I$89,5,0)</f>
        <v>-1.2710188457276673E-13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378.17323480030268</v>
      </c>
      <c r="T101" s="62">
        <f t="shared" si="88"/>
        <v>471.89239871617241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143.8608422206124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8.2423234805229954E-5</v>
      </c>
      <c r="AC101" s="24">
        <f t="shared" si="57"/>
        <v>143.8609246438472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2.2737367544323206E-13</v>
      </c>
      <c r="AJ101" s="14">
        <f>AI101*VLOOKUP('Données projet'!$B$10,Paramètres!$A$1:$I$89,3,0)*VLOOKUP('Données projet'!$B$10,Paramètres!$A$1:$I$89,5,0)</f>
        <v>1.8444552551954985E-13</v>
      </c>
      <c r="AK101" s="14">
        <f t="shared" si="89"/>
        <v>2.580317449479618E-12</v>
      </c>
      <c r="AL101" s="22">
        <f t="shared" si="58"/>
        <v>4.8152955147902165E-12</v>
      </c>
      <c r="AM101" s="62">
        <f t="shared" si="59"/>
        <v>293.33333333333815</v>
      </c>
      <c r="AN101" s="62">
        <f ca="1">AVERAGE(OFFSET($AM$3,0,0,'Données projet'!$E$10+1,1))-AVERAGE(OFFSET($H$3,0,0,'Données projet'!$E$10+1,1))</f>
        <v>199.44889029107367</v>
      </c>
      <c r="AO101" s="62">
        <f t="shared" si="90"/>
        <v>292.30544856287457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39.159836899371001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39.159836899371001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529.99999999999989</v>
      </c>
      <c r="BE101" s="14">
        <f>BD101*VLOOKUP('Données projet'!$B$11,Paramètres!$A$1:$I$89,3,0)*VLOOKUP('Données projet'!$B$11,Paramètres!$A$1:$I$89,5,0)</f>
        <v>248.03999999999994</v>
      </c>
      <c r="BF101" s="14">
        <f t="shared" si="91"/>
        <v>60.166044284441391</v>
      </c>
      <c r="BG101" s="22">
        <f t="shared" si="61"/>
        <v>536.79219379540189</v>
      </c>
      <c r="BH101" s="62">
        <f t="shared" si="62"/>
        <v>830.12552712873526</v>
      </c>
      <c r="BI101" s="62">
        <f ca="1">AVERAGE(OFFSET($BH$3,0,0,'Données projet'!$E$11+1,1))-AVERAGE(OFFSET($H$3,0,0,'Données projet'!$E$11+1,1))</f>
        <v>256.45505140629194</v>
      </c>
      <c r="BJ101" s="62">
        <f t="shared" si="92"/>
        <v>219.6985760545686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44.089092617946534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44.089092617946534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-1.1368683772161603E-13</v>
      </c>
      <c r="BZ101" s="14">
        <f>BY101*VLOOKUP('Données projet'!$B$12,Paramètres!$A$1:$I$89,3,0)*VLOOKUP('Données projet'!$B$12,Paramètres!$A$1:$I$89,5,0)</f>
        <v>-6.7984728957526396E-14</v>
      </c>
      <c r="CA101" s="14" t="e">
        <f t="shared" si="93"/>
        <v>#NUM!</v>
      </c>
      <c r="CB101" s="22" t="e">
        <f t="shared" si="64"/>
        <v>#NUM!</v>
      </c>
      <c r="CC101" s="62" t="e">
        <f t="shared" si="65"/>
        <v>#NUM!</v>
      </c>
      <c r="CD101" s="62">
        <f ca="1">AVERAGE(OFFSET($CC$3,0,0,'Données projet'!$E$12+1,1))-AVERAGE(OFFSET($H$3,0,0,'Données projet'!$E$12+1,1))</f>
        <v>279.69031306919914</v>
      </c>
      <c r="CE101" s="62">
        <f t="shared" si="94"/>
        <v>297.01680128882509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93.937536395127736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8.4918302440019345E-4</v>
      </c>
      <c r="CN101" s="24">
        <f t="shared" si="66"/>
        <v>93.938385578152136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2">
        <f t="shared" si="86"/>
        <v>15.655925351504653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70">
        <f t="shared" si="56"/>
        <v>414.74478665387051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-2.2737367544323206E-13</v>
      </c>
      <c r="O102" s="14">
        <f>N102*VLOOKUP('Données projet'!$B$9,Paramètres!$A$1:$I$89,3,0)*VLOOKUP('Données projet'!$B$9,Paramètres!$A$1:$I$89,5,0)</f>
        <v>-1.2710188457276673E-13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378.17323480030268</v>
      </c>
      <c r="T102" s="62">
        <f t="shared" si="88"/>
        <v>471.89239871617241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141.03981885111571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5.8282028258109166E-5</v>
      </c>
      <c r="AC102" s="24">
        <f t="shared" si="57"/>
        <v>141.03987713314396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2.2737367544323206E-13</v>
      </c>
      <c r="AJ102" s="14">
        <f>AI102*VLOOKUP('Données projet'!$B$10,Paramètres!$A$1:$I$89,3,0)*VLOOKUP('Données projet'!$B$10,Paramètres!$A$1:$I$89,5,0)</f>
        <v>1.8444552551954985E-13</v>
      </c>
      <c r="AK102" s="14">
        <f t="shared" si="89"/>
        <v>2.580317449479618E-12</v>
      </c>
      <c r="AL102" s="22">
        <f t="shared" si="58"/>
        <v>4.8152955147902165E-12</v>
      </c>
      <c r="AM102" s="62">
        <f t="shared" si="59"/>
        <v>293.33333333333815</v>
      </c>
      <c r="AN102" s="62">
        <f ca="1">AVERAGE(OFFSET($AM$3,0,0,'Données projet'!$E$10+1,1))-AVERAGE(OFFSET($H$3,0,0,'Données projet'!$E$10+1,1))</f>
        <v>199.44889029107367</v>
      </c>
      <c r="AO102" s="62">
        <f t="shared" si="90"/>
        <v>292.30544856287457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38.391936382916384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38.391936382916384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529.99999999999989</v>
      </c>
      <c r="BE102" s="14">
        <f>BD102*VLOOKUP('Données projet'!$B$11,Paramètres!$A$1:$I$89,3,0)*VLOOKUP('Données projet'!$B$11,Paramètres!$A$1:$I$89,5,0)</f>
        <v>248.03999999999994</v>
      </c>
      <c r="BF102" s="14">
        <f t="shared" si="91"/>
        <v>60.166044284441391</v>
      </c>
      <c r="BG102" s="22">
        <f t="shared" si="61"/>
        <v>536.79219379540189</v>
      </c>
      <c r="BH102" s="62">
        <f t="shared" si="62"/>
        <v>830.12552712873526</v>
      </c>
      <c r="BI102" s="62">
        <f ca="1">AVERAGE(OFFSET($BH$3,0,0,'Données projet'!$E$11+1,1))-AVERAGE(OFFSET($H$3,0,0,'Données projet'!$E$11+1,1))</f>
        <v>256.45505140629194</v>
      </c>
      <c r="BJ102" s="62">
        <f t="shared" si="92"/>
        <v>219.6985760545686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43.224532403399763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43.224532403399763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-1.1368683772161603E-13</v>
      </c>
      <c r="BZ102" s="14">
        <f>BY102*VLOOKUP('Données projet'!$B$12,Paramètres!$A$1:$I$89,3,0)*VLOOKUP('Données projet'!$B$12,Paramètres!$A$1:$I$89,5,0)</f>
        <v>-6.7984728957526396E-14</v>
      </c>
      <c r="CA102" s="14" t="e">
        <f t="shared" si="93"/>
        <v>#NUM!</v>
      </c>
      <c r="CB102" s="22" t="e">
        <f t="shared" si="64"/>
        <v>#NUM!</v>
      </c>
      <c r="CC102" s="62" t="e">
        <f t="shared" si="65"/>
        <v>#NUM!</v>
      </c>
      <c r="CD102" s="62">
        <f ca="1">AVERAGE(OFFSET($CC$3,0,0,'Données projet'!$E$12+1,1))-AVERAGE(OFFSET($H$3,0,0,'Données projet'!$E$12+1,1))</f>
        <v>279.69031306919914</v>
      </c>
      <c r="CE102" s="62">
        <f t="shared" si="94"/>
        <v>297.01680128882509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92.095478602658943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6.0046307502187822E-4</v>
      </c>
      <c r="CN102" s="24">
        <f t="shared" si="66"/>
        <v>92.09607906573396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2">
        <f t="shared" si="86"/>
        <v>15.795576599806306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70">
        <f t="shared" si="56"/>
        <v>415.93896257799588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-2.2737367544323206E-13</v>
      </c>
      <c r="O103" s="14">
        <f>N103*VLOOKUP('Données projet'!$B$9,Paramètres!$A$1:$I$89,3,0)*VLOOKUP('Données projet'!$B$9,Paramètres!$A$1:$I$89,5,0)</f>
        <v>-1.2710188457276673E-13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378.17323480030268</v>
      </c>
      <c r="T103" s="62">
        <f t="shared" si="88"/>
        <v>471.89239871617241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138.27411402924048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4.1211617402614977E-5</v>
      </c>
      <c r="AC103" s="24">
        <f t="shared" si="57"/>
        <v>138.27415524085788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2.2737367544323206E-13</v>
      </c>
      <c r="AJ103" s="14">
        <f>AI103*VLOOKUP('Données projet'!$B$10,Paramètres!$A$1:$I$89,3,0)*VLOOKUP('Données projet'!$B$10,Paramètres!$A$1:$I$89,5,0)</f>
        <v>1.8444552551954985E-13</v>
      </c>
      <c r="AK103" s="14">
        <f t="shared" si="89"/>
        <v>2.580317449479618E-12</v>
      </c>
      <c r="AL103" s="22">
        <f t="shared" si="58"/>
        <v>4.8152955147902165E-12</v>
      </c>
      <c r="AM103" s="62">
        <f t="shared" si="59"/>
        <v>293.33333333333815</v>
      </c>
      <c r="AN103" s="62">
        <f ca="1">AVERAGE(OFFSET($AM$3,0,0,'Données projet'!$E$10+1,1))-AVERAGE(OFFSET($H$3,0,0,'Données projet'!$E$10+1,1))</f>
        <v>199.44889029107367</v>
      </c>
      <c r="AO103" s="62">
        <f t="shared" si="90"/>
        <v>292.30544856287457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37.639093927216372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37.639093927216372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529.99999999999989</v>
      </c>
      <c r="BE103" s="14">
        <f>BD103*VLOOKUP('Données projet'!$B$11,Paramètres!$A$1:$I$89,3,0)*VLOOKUP('Données projet'!$B$11,Paramètres!$A$1:$I$89,5,0)</f>
        <v>248.03999999999994</v>
      </c>
      <c r="BF103" s="14">
        <f t="shared" si="91"/>
        <v>60.166044284441391</v>
      </c>
      <c r="BG103" s="22">
        <f t="shared" si="61"/>
        <v>536.79219379540189</v>
      </c>
      <c r="BH103" s="62">
        <f t="shared" si="62"/>
        <v>830.12552712873526</v>
      </c>
      <c r="BI103" s="62">
        <f ca="1">AVERAGE(OFFSET($BH$3,0,0,'Données projet'!$E$11+1,1))-AVERAGE(OFFSET($H$3,0,0,'Données projet'!$E$11+1,1))</f>
        <v>256.45505140629194</v>
      </c>
      <c r="BJ103" s="62">
        <f t="shared" si="92"/>
        <v>219.6985760545686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42.376925687330598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42.376925687330598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-1.1368683772161603E-13</v>
      </c>
      <c r="BZ103" s="14">
        <f>BY103*VLOOKUP('Données projet'!$B$12,Paramètres!$A$1:$I$89,3,0)*VLOOKUP('Données projet'!$B$12,Paramètres!$A$1:$I$89,5,0)</f>
        <v>-6.7984728957526396E-14</v>
      </c>
      <c r="CA103" s="14" t="e">
        <f t="shared" si="93"/>
        <v>#NUM!</v>
      </c>
      <c r="CB103" s="22" t="e">
        <f t="shared" si="64"/>
        <v>#NUM!</v>
      </c>
      <c r="CC103" s="62" t="e">
        <f t="shared" si="65"/>
        <v>#NUM!</v>
      </c>
      <c r="CD103" s="62">
        <f ca="1">AVERAGE(OFFSET($CC$3,0,0,'Données projet'!$E$12+1,1))-AVERAGE(OFFSET($H$3,0,0,'Données projet'!$E$12+1,1))</f>
        <v>279.69031306919914</v>
      </c>
      <c r="CE103" s="62">
        <f t="shared" si="94"/>
        <v>297.01680128882509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90.289542439956151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4.2459151220009672E-4</v>
      </c>
      <c r="CN103" s="24">
        <f t="shared" si="66"/>
        <v>90.28996703146835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2">
        <f t="shared" si="86"/>
        <v>15.935065385761003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70">
        <f t="shared" si="56"/>
        <v>417.13285554686695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-2.2737367544323206E-13</v>
      </c>
      <c r="O104" s="14">
        <f>N104*VLOOKUP('Données projet'!$B$9,Paramètres!$A$1:$I$89,3,0)*VLOOKUP('Données projet'!$B$9,Paramètres!$A$1:$I$89,5,0)</f>
        <v>-1.2710188457276673E-13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378.17323480030268</v>
      </c>
      <c r="T104" s="62">
        <f t="shared" si="88"/>
        <v>471.89239871617241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135.56264299200885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2.9141014129054583E-5</v>
      </c>
      <c r="AC104" s="24">
        <f t="shared" si="57"/>
        <v>135.56267213302297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2.2737367544323206E-13</v>
      </c>
      <c r="AJ104" s="14">
        <f>AI104*VLOOKUP('Données projet'!$B$10,Paramètres!$A$1:$I$89,3,0)*VLOOKUP('Données projet'!$B$10,Paramètres!$A$1:$I$89,5,0)</f>
        <v>1.8444552551954985E-13</v>
      </c>
      <c r="AK104" s="14">
        <f t="shared" si="89"/>
        <v>2.580317449479618E-12</v>
      </c>
      <c r="AL104" s="22">
        <f t="shared" si="58"/>
        <v>4.8152955147902165E-12</v>
      </c>
      <c r="AM104" s="62">
        <f t="shared" si="59"/>
        <v>293.33333333333815</v>
      </c>
      <c r="AN104" s="62">
        <f ca="1">AVERAGE(OFFSET($AM$3,0,0,'Données projet'!$E$10+1,1))-AVERAGE(OFFSET($H$3,0,0,'Données projet'!$E$10+1,1))</f>
        <v>199.44889029107367</v>
      </c>
      <c r="AO104" s="62">
        <f t="shared" si="90"/>
        <v>292.30544856287457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36.901014252884082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36.901014252884082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529.99999999999989</v>
      </c>
      <c r="BE104" s="14">
        <f>BD104*VLOOKUP('Données projet'!$B$11,Paramètres!$A$1:$I$89,3,0)*VLOOKUP('Données projet'!$B$11,Paramètres!$A$1:$I$89,5,0)</f>
        <v>248.03999999999994</v>
      </c>
      <c r="BF104" s="14">
        <f t="shared" si="91"/>
        <v>60.166044284441391</v>
      </c>
      <c r="BG104" s="22">
        <f t="shared" si="61"/>
        <v>536.79219379540189</v>
      </c>
      <c r="BH104" s="62">
        <f t="shared" si="62"/>
        <v>830.12552712873526</v>
      </c>
      <c r="BI104" s="62">
        <f ca="1">AVERAGE(OFFSET($BH$3,0,0,'Données projet'!$E$11+1,1))-AVERAGE(OFFSET($H$3,0,0,'Données projet'!$E$11+1,1))</f>
        <v>256.45505140629194</v>
      </c>
      <c r="BJ104" s="62">
        <f t="shared" si="92"/>
        <v>219.6985760545686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41.545940021974495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41.545940021974495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-1.1368683772161603E-13</v>
      </c>
      <c r="BZ104" s="14">
        <f>BY104*VLOOKUP('Données projet'!$B$12,Paramètres!$A$1:$I$89,3,0)*VLOOKUP('Données projet'!$B$12,Paramètres!$A$1:$I$89,5,0)</f>
        <v>-6.7984728957526396E-14</v>
      </c>
      <c r="CA104" s="14" t="e">
        <f t="shared" si="93"/>
        <v>#NUM!</v>
      </c>
      <c r="CB104" s="22" t="e">
        <f t="shared" si="64"/>
        <v>#NUM!</v>
      </c>
      <c r="CC104" s="62" t="e">
        <f t="shared" si="65"/>
        <v>#NUM!</v>
      </c>
      <c r="CD104" s="62">
        <f ca="1">AVERAGE(OFFSET($CC$3,0,0,'Données projet'!$E$12+1,1))-AVERAGE(OFFSET($H$3,0,0,'Données projet'!$E$12+1,1))</f>
        <v>279.69031306919914</v>
      </c>
      <c r="CE104" s="62">
        <f t="shared" si="94"/>
        <v>297.01680128882509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88.519019583891676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3.0023153751093911E-4</v>
      </c>
      <c r="CN104" s="24">
        <f t="shared" si="66"/>
        <v>88.519319815429185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2">
        <f t="shared" si="86"/>
        <v>16.07439350416519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70">
        <f t="shared" si="56"/>
        <v>418.32646868642092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-2.2737367544323206E-13</v>
      </c>
      <c r="O105" s="14">
        <f>N105*VLOOKUP('Données projet'!$B$9,Paramètres!$A$1:$I$89,3,0)*VLOOKUP('Données projet'!$B$9,Paramètres!$A$1:$I$89,5,0)</f>
        <v>-1.2710188457276673E-13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378.17323480030268</v>
      </c>
      <c r="T105" s="62">
        <f t="shared" si="88"/>
        <v>471.89239871617241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132.90434224798329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2.0605808701307488E-5</v>
      </c>
      <c r="AC105" s="24">
        <f t="shared" si="57"/>
        <v>132.90436285379201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2.2737367544323206E-13</v>
      </c>
      <c r="AJ105" s="14">
        <f>AI105*VLOOKUP('Données projet'!$B$10,Paramètres!$A$1:$I$89,3,0)*VLOOKUP('Données projet'!$B$10,Paramètres!$A$1:$I$89,5,0)</f>
        <v>1.8444552551954985E-13</v>
      </c>
      <c r="AK105" s="14">
        <f t="shared" si="89"/>
        <v>2.580317449479618E-12</v>
      </c>
      <c r="AL105" s="22">
        <f t="shared" si="58"/>
        <v>4.8152955147902165E-12</v>
      </c>
      <c r="AM105" s="62">
        <f t="shared" si="59"/>
        <v>293.33333333333815</v>
      </c>
      <c r="AN105" s="62">
        <f ca="1">AVERAGE(OFFSET($AM$3,0,0,'Données projet'!$E$10+1,1))-AVERAGE(OFFSET($H$3,0,0,'Données projet'!$E$10+1,1))</f>
        <v>199.44889029107367</v>
      </c>
      <c r="AO105" s="62">
        <f t="shared" si="90"/>
        <v>292.30544856287457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36.177407870781302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36.177407870781302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529.99999999999989</v>
      </c>
      <c r="BE105" s="14">
        <f>BD105*VLOOKUP('Données projet'!$B$11,Paramètres!$A$1:$I$89,3,0)*VLOOKUP('Données projet'!$B$11,Paramètres!$A$1:$I$89,5,0)</f>
        <v>248.03999999999994</v>
      </c>
      <c r="BF105" s="14">
        <f t="shared" si="91"/>
        <v>60.166044284441391</v>
      </c>
      <c r="BG105" s="22">
        <f t="shared" si="61"/>
        <v>536.79219379540189</v>
      </c>
      <c r="BH105" s="62">
        <f t="shared" si="62"/>
        <v>830.12552712873526</v>
      </c>
      <c r="BI105" s="62">
        <f ca="1">AVERAGE(OFFSET($BH$3,0,0,'Données projet'!$E$11+1,1))-AVERAGE(OFFSET($H$3,0,0,'Données projet'!$E$11+1,1))</f>
        <v>256.45505140629194</v>
      </c>
      <c r="BJ105" s="62">
        <f t="shared" si="92"/>
        <v>219.6985760545686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40.731249478664822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40.731249478664822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-1.1368683772161603E-13</v>
      </c>
      <c r="BZ105" s="14">
        <f>BY105*VLOOKUP('Données projet'!$B$12,Paramètres!$A$1:$I$89,3,0)*VLOOKUP('Données projet'!$B$12,Paramètres!$A$1:$I$89,5,0)</f>
        <v>-6.7984728957526396E-14</v>
      </c>
      <c r="CA105" s="14" t="e">
        <f t="shared" si="93"/>
        <v>#NUM!</v>
      </c>
      <c r="CB105" s="22" t="e">
        <f t="shared" si="64"/>
        <v>#NUM!</v>
      </c>
      <c r="CC105" s="62" t="e">
        <f t="shared" si="65"/>
        <v>#NUM!</v>
      </c>
      <c r="CD105" s="62">
        <f ca="1">AVERAGE(OFFSET($CC$3,0,0,'Données projet'!$E$12+1,1))-AVERAGE(OFFSET($H$3,0,0,'Données projet'!$E$12+1,1))</f>
        <v>279.69031306919914</v>
      </c>
      <c r="CE105" s="62">
        <f t="shared" si="94"/>
        <v>297.01680128882509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86.783215601122308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2.1229575610004836E-4</v>
      </c>
      <c r="CN105" s="24">
        <f t="shared" si="66"/>
        <v>86.783427896878408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2">
        <f t="shared" si="86"/>
        <v>16.213562712594495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70">
        <f t="shared" si="56"/>
        <v>419.51980505776862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-2.2737367544323206E-13</v>
      </c>
      <c r="O106" s="14">
        <f>N106*VLOOKUP('Données projet'!$B$9,Paramètres!$A$1:$I$89,3,0)*VLOOKUP('Données projet'!$B$9,Paramètres!$A$1:$I$89,5,0)</f>
        <v>-1.2710188457276673E-13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378.17323480030268</v>
      </c>
      <c r="T106" s="62">
        <f t="shared" si="88"/>
        <v>471.89239871617241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130.29816916014474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1.4570507064527291E-5</v>
      </c>
      <c r="AC106" s="24">
        <f t="shared" si="57"/>
        <v>130.2981837306518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2.2737367544323206E-13</v>
      </c>
      <c r="AJ106" s="14">
        <f>AI106*VLOOKUP('Données projet'!$B$10,Paramètres!$A$1:$I$89,3,0)*VLOOKUP('Données projet'!$B$10,Paramètres!$A$1:$I$89,5,0)</f>
        <v>1.8444552551954985E-13</v>
      </c>
      <c r="AK106" s="14">
        <f t="shared" si="89"/>
        <v>2.580317449479618E-12</v>
      </c>
      <c r="AL106" s="22">
        <f t="shared" si="58"/>
        <v>4.8152955147902165E-12</v>
      </c>
      <c r="AM106" s="62">
        <f t="shared" si="59"/>
        <v>293.33333333333815</v>
      </c>
      <c r="AN106" s="62">
        <f ca="1">AVERAGE(OFFSET($AM$3,0,0,'Données projet'!$E$10+1,1))-AVERAGE(OFFSET($H$3,0,0,'Données projet'!$E$10+1,1))</f>
        <v>199.44889029107367</v>
      </c>
      <c r="AO106" s="62">
        <f t="shared" si="90"/>
        <v>292.30544856287457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35.467990968475242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35.467990968475242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529.99999999999989</v>
      </c>
      <c r="BE106" s="14">
        <f>BD106*VLOOKUP('Données projet'!$B$11,Paramètres!$A$1:$I$89,3,0)*VLOOKUP('Données projet'!$B$11,Paramètres!$A$1:$I$89,5,0)</f>
        <v>248.03999999999994</v>
      </c>
      <c r="BF106" s="14">
        <f t="shared" si="91"/>
        <v>60.166044284441391</v>
      </c>
      <c r="BG106" s="22">
        <f t="shared" si="61"/>
        <v>536.79219379540189</v>
      </c>
      <c r="BH106" s="62">
        <f t="shared" si="62"/>
        <v>830.12552712873526</v>
      </c>
      <c r="BI106" s="62">
        <f ca="1">AVERAGE(OFFSET($BH$3,0,0,'Données projet'!$E$11+1,1))-AVERAGE(OFFSET($H$3,0,0,'Données projet'!$E$11+1,1))</f>
        <v>256.45505140629194</v>
      </c>
      <c r="BJ106" s="62">
        <f t="shared" si="92"/>
        <v>219.6985760545686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39.932534519997283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39.932534519997283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-1.1368683772161603E-13</v>
      </c>
      <c r="BZ106" s="14">
        <f>BY106*VLOOKUP('Données projet'!$B$12,Paramètres!$A$1:$I$89,3,0)*VLOOKUP('Données projet'!$B$12,Paramètres!$A$1:$I$89,5,0)</f>
        <v>-6.7984728957526396E-14</v>
      </c>
      <c r="CA106" s="14" t="e">
        <f t="shared" si="93"/>
        <v>#NUM!</v>
      </c>
      <c r="CB106" s="22" t="e">
        <f t="shared" si="64"/>
        <v>#NUM!</v>
      </c>
      <c r="CC106" s="62" t="e">
        <f t="shared" si="65"/>
        <v>#NUM!</v>
      </c>
      <c r="CD106" s="62">
        <f ca="1">AVERAGE(OFFSET($CC$3,0,0,'Données projet'!$E$12+1,1))-AVERAGE(OFFSET($H$3,0,0,'Données projet'!$E$12+1,1))</f>
        <v>279.69031306919914</v>
      </c>
      <c r="CE106" s="62">
        <f t="shared" si="94"/>
        <v>297.01680128882509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85.081449675719156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1.5011576875546956E-4</v>
      </c>
      <c r="CN106" s="24">
        <f t="shared" si="66"/>
        <v>85.081599791487918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2">
        <f t="shared" si="86"/>
        <v>16.352574732529348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70">
        <f t="shared" si="56"/>
        <v>420.71286765915517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-2.2737367544323206E-13</v>
      </c>
      <c r="O107" s="14">
        <f>N107*VLOOKUP('Données projet'!$B$9,Paramètres!$A$1:$I$89,3,0)*VLOOKUP('Données projet'!$B$9,Paramètres!$A$1:$I$89,5,0)</f>
        <v>-1.2710188457276673E-13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378.17323480030268</v>
      </c>
      <c r="T107" s="62">
        <f t="shared" si="88"/>
        <v>471.89239871617241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127.74310153695008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1.0302904350653744E-5</v>
      </c>
      <c r="AC107" s="24">
        <f t="shared" si="57"/>
        <v>127.74311183985444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2.2737367544323206E-13</v>
      </c>
      <c r="AJ107" s="14">
        <f>AI107*VLOOKUP('Données projet'!$B$10,Paramètres!$A$1:$I$89,3,0)*VLOOKUP('Données projet'!$B$10,Paramètres!$A$1:$I$89,5,0)</f>
        <v>1.8444552551954985E-13</v>
      </c>
      <c r="AK107" s="14">
        <f t="shared" si="89"/>
        <v>2.580317449479618E-12</v>
      </c>
      <c r="AL107" s="22">
        <f t="shared" si="58"/>
        <v>4.8152955147902165E-12</v>
      </c>
      <c r="AM107" s="62">
        <f t="shared" si="59"/>
        <v>293.33333333333815</v>
      </c>
      <c r="AN107" s="62">
        <f ca="1">AVERAGE(OFFSET($AM$3,0,0,'Données projet'!$E$10+1,1))-AVERAGE(OFFSET($H$3,0,0,'Données projet'!$E$10+1,1))</f>
        <v>199.44889029107367</v>
      </c>
      <c r="AO107" s="62">
        <f t="shared" si="90"/>
        <v>292.30544856287457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34.772485298921815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34.772485298921815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529.99999999999989</v>
      </c>
      <c r="BE107" s="14">
        <f>BD107*VLOOKUP('Données projet'!$B$11,Paramètres!$A$1:$I$89,3,0)*VLOOKUP('Données projet'!$B$11,Paramètres!$A$1:$I$89,5,0)</f>
        <v>248.03999999999994</v>
      </c>
      <c r="BF107" s="14">
        <f t="shared" si="91"/>
        <v>60.166044284441391</v>
      </c>
      <c r="BG107" s="22">
        <f t="shared" si="61"/>
        <v>536.79219379540189</v>
      </c>
      <c r="BH107" s="62">
        <f t="shared" si="62"/>
        <v>830.12552712873526</v>
      </c>
      <c r="BI107" s="62">
        <f ca="1">AVERAGE(OFFSET($BH$3,0,0,'Données projet'!$E$11+1,1))-AVERAGE(OFFSET($H$3,0,0,'Données projet'!$E$11+1,1))</f>
        <v>256.45505140629194</v>
      </c>
      <c r="BJ107" s="62">
        <f t="shared" si="92"/>
        <v>219.6985760545686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39.149481874501191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39.149481874501191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-1.1368683772161603E-13</v>
      </c>
      <c r="BZ107" s="14">
        <f>BY107*VLOOKUP('Données projet'!$B$12,Paramètres!$A$1:$I$89,3,0)*VLOOKUP('Données projet'!$B$12,Paramètres!$A$1:$I$89,5,0)</f>
        <v>-6.7984728957526396E-14</v>
      </c>
      <c r="CA107" s="14" t="e">
        <f t="shared" si="93"/>
        <v>#NUM!</v>
      </c>
      <c r="CB107" s="22" t="e">
        <f t="shared" si="64"/>
        <v>#NUM!</v>
      </c>
      <c r="CC107" s="62" t="e">
        <f t="shared" si="65"/>
        <v>#NUM!</v>
      </c>
      <c r="CD107" s="62">
        <f ca="1">AVERAGE(OFFSET($CC$3,0,0,'Données projet'!$E$12+1,1))-AVERAGE(OFFSET($H$3,0,0,'Données projet'!$E$12+1,1))</f>
        <v>279.69031306919914</v>
      </c>
      <c r="CE107" s="62">
        <f t="shared" si="94"/>
        <v>297.01680128882509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83.413054342138437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1.0614787805002418E-4</v>
      </c>
      <c r="CN107" s="24">
        <f t="shared" si="66"/>
        <v>83.413160490016494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2">
        <f t="shared" si="86"/>
        <v>16.491431250436072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70">
        <f t="shared" si="56"/>
        <v>421.90565942784269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-2.2737367544323206E-13</v>
      </c>
      <c r="O108" s="14">
        <f>N108*VLOOKUP('Données projet'!$B$9,Paramètres!$A$1:$I$89,3,0)*VLOOKUP('Données projet'!$B$9,Paramètres!$A$1:$I$89,5,0)</f>
        <v>-1.2710188457276673E-13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378.17323480030268</v>
      </c>
      <c r="T108" s="62">
        <f t="shared" si="88"/>
        <v>471.89239871617241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125.2381372314089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7.2852535322636457E-6</v>
      </c>
      <c r="AC108" s="24">
        <f t="shared" si="57"/>
        <v>125.23814451666243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2.2737367544323206E-13</v>
      </c>
      <c r="AJ108" s="14">
        <f>AI108*VLOOKUP('Données projet'!$B$10,Paramètres!$A$1:$I$89,3,0)*VLOOKUP('Données projet'!$B$10,Paramètres!$A$1:$I$89,5,0)</f>
        <v>1.8444552551954985E-13</v>
      </c>
      <c r="AK108" s="14">
        <f t="shared" si="89"/>
        <v>2.580317449479618E-12</v>
      </c>
      <c r="AL108" s="22">
        <f t="shared" si="58"/>
        <v>4.8152955147902165E-12</v>
      </c>
      <c r="AM108" s="62">
        <f t="shared" si="59"/>
        <v>293.33333333333815</v>
      </c>
      <c r="AN108" s="62">
        <f ca="1">AVERAGE(OFFSET($AM$3,0,0,'Données projet'!$E$10+1,1))-AVERAGE(OFFSET($H$3,0,0,'Données projet'!$E$10+1,1))</f>
        <v>199.44889029107367</v>
      </c>
      <c r="AO108" s="62">
        <f t="shared" si="90"/>
        <v>292.30544856287457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34.090618071331761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34.090618071331761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529.99999999999989</v>
      </c>
      <c r="BE108" s="14">
        <f>BD108*VLOOKUP('Données projet'!$B$11,Paramètres!$A$1:$I$89,3,0)*VLOOKUP('Données projet'!$B$11,Paramètres!$A$1:$I$89,5,0)</f>
        <v>248.03999999999994</v>
      </c>
      <c r="BF108" s="14">
        <f t="shared" si="91"/>
        <v>60.166044284441391</v>
      </c>
      <c r="BG108" s="22">
        <f t="shared" si="61"/>
        <v>536.79219379540189</v>
      </c>
      <c r="BH108" s="62">
        <f t="shared" si="62"/>
        <v>830.12552712873526</v>
      </c>
      <c r="BI108" s="62">
        <f ca="1">AVERAGE(OFFSET($BH$3,0,0,'Données projet'!$E$11+1,1))-AVERAGE(OFFSET($H$3,0,0,'Données projet'!$E$11+1,1))</f>
        <v>256.45505140629194</v>
      </c>
      <c r="BJ108" s="62">
        <f t="shared" si="92"/>
        <v>219.6985760545686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38.38178441376833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38.38178441376833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-1.1368683772161603E-13</v>
      </c>
      <c r="BZ108" s="14">
        <f>BY108*VLOOKUP('Données projet'!$B$12,Paramètres!$A$1:$I$89,3,0)*VLOOKUP('Données projet'!$B$12,Paramètres!$A$1:$I$89,5,0)</f>
        <v>-6.7984728957526396E-14</v>
      </c>
      <c r="CA108" s="14" t="e">
        <f t="shared" si="93"/>
        <v>#NUM!</v>
      </c>
      <c r="CB108" s="22" t="e">
        <f t="shared" si="64"/>
        <v>#NUM!</v>
      </c>
      <c r="CC108" s="62" t="e">
        <f t="shared" si="65"/>
        <v>#NUM!</v>
      </c>
      <c r="CD108" s="62">
        <f ca="1">AVERAGE(OFFSET($CC$3,0,0,'Données projet'!$E$12+1,1))-AVERAGE(OFFSET($H$3,0,0,'Données projet'!$E$12+1,1))</f>
        <v>279.69031306919914</v>
      </c>
      <c r="CE108" s="62">
        <f t="shared" si="94"/>
        <v>297.01680128882509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81.777375223428564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7.5057884377734778E-5</v>
      </c>
      <c r="CN108" s="24">
        <f t="shared" si="66"/>
        <v>81.777450281312937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2">
        <f t="shared" si="86"/>
        <v>16.630133918805559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70">
        <f t="shared" si="56"/>
        <v>423.09818324191957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-2.2737367544323206E-13</v>
      </c>
      <c r="O109" s="14">
        <f>N109*VLOOKUP('Données projet'!$B$9,Paramètres!$A$1:$I$89,3,0)*VLOOKUP('Données projet'!$B$9,Paramètres!$A$1:$I$89,5,0)</f>
        <v>-1.2710188457276673E-13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378.17323480030268</v>
      </c>
      <c r="T109" s="62">
        <f t="shared" si="88"/>
        <v>471.89239871617241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122.78229374802203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5.1514521753268721E-6</v>
      </c>
      <c r="AC109" s="24">
        <f t="shared" si="57"/>
        <v>122.7822988994742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2.2737367544323206E-13</v>
      </c>
      <c r="AJ109" s="14">
        <f>AI109*VLOOKUP('Données projet'!$B$10,Paramètres!$A$1:$I$89,3,0)*VLOOKUP('Données projet'!$B$10,Paramètres!$A$1:$I$89,5,0)</f>
        <v>1.8444552551954985E-13</v>
      </c>
      <c r="AK109" s="14">
        <f t="shared" si="89"/>
        <v>2.580317449479618E-12</v>
      </c>
      <c r="AL109" s="22">
        <f t="shared" si="58"/>
        <v>4.8152955147902165E-12</v>
      </c>
      <c r="AM109" s="62">
        <f t="shared" si="59"/>
        <v>293.33333333333815</v>
      </c>
      <c r="AN109" s="62">
        <f ca="1">AVERAGE(OFFSET($AM$3,0,0,'Données projet'!$E$10+1,1))-AVERAGE(OFFSET($H$3,0,0,'Données projet'!$E$10+1,1))</f>
        <v>199.44889029107367</v>
      </c>
      <c r="AO109" s="62">
        <f t="shared" si="90"/>
        <v>292.30544856287457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33.422121844176807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33.422121844176807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529.99999999999989</v>
      </c>
      <c r="BE109" s="14">
        <f>BD109*VLOOKUP('Données projet'!$B$11,Paramètres!$A$1:$I$89,3,0)*VLOOKUP('Données projet'!$B$11,Paramètres!$A$1:$I$89,5,0)</f>
        <v>248.03999999999994</v>
      </c>
      <c r="BF109" s="14">
        <f t="shared" si="91"/>
        <v>60.166044284441391</v>
      </c>
      <c r="BG109" s="22">
        <f t="shared" si="61"/>
        <v>536.79219379540189</v>
      </c>
      <c r="BH109" s="62">
        <f t="shared" si="62"/>
        <v>830.12552712873526</v>
      </c>
      <c r="BI109" s="62">
        <f ca="1">AVERAGE(OFFSET($BH$3,0,0,'Données projet'!$E$11+1,1))-AVERAGE(OFFSET($H$3,0,0,'Données projet'!$E$11+1,1))</f>
        <v>256.45505140629194</v>
      </c>
      <c r="BJ109" s="62">
        <f t="shared" si="92"/>
        <v>219.6985760545686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37.629141031991225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37.629141031991225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-1.1368683772161603E-13</v>
      </c>
      <c r="BZ109" s="14">
        <f>BY109*VLOOKUP('Données projet'!$B$12,Paramètres!$A$1:$I$89,3,0)*VLOOKUP('Données projet'!$B$12,Paramètres!$A$1:$I$89,5,0)</f>
        <v>-6.7984728957526396E-14</v>
      </c>
      <c r="CA109" s="14" t="e">
        <f t="shared" si="93"/>
        <v>#NUM!</v>
      </c>
      <c r="CB109" s="22" t="e">
        <f t="shared" si="64"/>
        <v>#NUM!</v>
      </c>
      <c r="CC109" s="62" t="e">
        <f t="shared" si="65"/>
        <v>#NUM!</v>
      </c>
      <c r="CD109" s="62">
        <f ca="1">AVERAGE(OFFSET($CC$3,0,0,'Données projet'!$E$12+1,1))-AVERAGE(OFFSET($H$3,0,0,'Données projet'!$E$12+1,1))</f>
        <v>279.69031306919914</v>
      </c>
      <c r="CE109" s="62">
        <f t="shared" si="94"/>
        <v>297.01680128882509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80.173770774570841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5.307393902501209E-5</v>
      </c>
      <c r="CN109" s="24">
        <f t="shared" si="66"/>
        <v>80.173823848509869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2">
        <f t="shared" si="86"/>
        <v>16.768684357151628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70">
        <f t="shared" si="56"/>
        <v>424.29044192203901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-2.2737367544323206E-13</v>
      </c>
      <c r="O110" s="14">
        <f>N110*VLOOKUP('Données projet'!$B$9,Paramètres!$A$1:$I$89,3,0)*VLOOKUP('Données projet'!$B$9,Paramètres!$A$1:$I$89,5,0)</f>
        <v>-1.2710188457276673E-13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378.17323480030268</v>
      </c>
      <c r="T110" s="62">
        <f t="shared" si="88"/>
        <v>471.89239871617241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120.37460785742775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3.6426267661318229E-6</v>
      </c>
      <c r="AC110" s="24">
        <f t="shared" si="57"/>
        <v>120.37461150005451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2.2737367544323206E-13</v>
      </c>
      <c r="AJ110" s="14">
        <f>AI110*VLOOKUP('Données projet'!$B$10,Paramètres!$A$1:$I$89,3,0)*VLOOKUP('Données projet'!$B$10,Paramètres!$A$1:$I$89,5,0)</f>
        <v>1.8444552551954985E-13</v>
      </c>
      <c r="AK110" s="14">
        <f t="shared" si="89"/>
        <v>2.580317449479618E-12</v>
      </c>
      <c r="AL110" s="22">
        <f t="shared" si="58"/>
        <v>4.8152955147902165E-12</v>
      </c>
      <c r="AM110" s="62">
        <f t="shared" si="59"/>
        <v>293.33333333333815</v>
      </c>
      <c r="AN110" s="62">
        <f ca="1">AVERAGE(OFFSET($AM$3,0,0,'Données projet'!$E$10+1,1))-AVERAGE(OFFSET($H$3,0,0,'Données projet'!$E$10+1,1))</f>
        <v>199.44889029107367</v>
      </c>
      <c r="AO110" s="62">
        <f t="shared" si="90"/>
        <v>292.30544856287457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32.766734420293929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32.766734420293929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529.99999999999989</v>
      </c>
      <c r="BE110" s="14">
        <f>BD110*VLOOKUP('Données projet'!$B$11,Paramètres!$A$1:$I$89,3,0)*VLOOKUP('Données projet'!$B$11,Paramètres!$A$1:$I$89,5,0)</f>
        <v>248.03999999999994</v>
      </c>
      <c r="BF110" s="14">
        <f t="shared" si="91"/>
        <v>60.166044284441391</v>
      </c>
      <c r="BG110" s="22">
        <f t="shared" si="61"/>
        <v>536.79219379540189</v>
      </c>
      <c r="BH110" s="62">
        <f t="shared" si="62"/>
        <v>830.12552712873526</v>
      </c>
      <c r="BI110" s="62">
        <f ca="1">AVERAGE(OFFSET($BH$3,0,0,'Données projet'!$E$11+1,1))-AVERAGE(OFFSET($H$3,0,0,'Données projet'!$E$11+1,1))</f>
        <v>256.45505140629194</v>
      </c>
      <c r="BJ110" s="62">
        <f t="shared" si="92"/>
        <v>219.6985760545686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36.891256527863632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36.891256527863632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-1.1368683772161603E-13</v>
      </c>
      <c r="BZ110" s="14">
        <f>BY110*VLOOKUP('Données projet'!$B$12,Paramètres!$A$1:$I$89,3,0)*VLOOKUP('Données projet'!$B$12,Paramètres!$A$1:$I$89,5,0)</f>
        <v>-6.7984728957526396E-14</v>
      </c>
      <c r="CA110" s="14" t="e">
        <f t="shared" si="93"/>
        <v>#NUM!</v>
      </c>
      <c r="CB110" s="22" t="e">
        <f t="shared" si="64"/>
        <v>#NUM!</v>
      </c>
      <c r="CC110" s="62" t="e">
        <f t="shared" si="65"/>
        <v>#NUM!</v>
      </c>
      <c r="CD110" s="62">
        <f ca="1">AVERAGE(OFFSET($CC$3,0,0,'Données projet'!$E$12+1,1))-AVERAGE(OFFSET($H$3,0,0,'Données projet'!$E$12+1,1))</f>
        <v>279.69031306919914</v>
      </c>
      <c r="CE110" s="62">
        <f t="shared" si="94"/>
        <v>297.01680128882509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78.60161203085309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3.7528942188867389E-5</v>
      </c>
      <c r="CN110" s="24">
        <f t="shared" si="66"/>
        <v>78.601649559795277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2">
        <f t="shared" si="86"/>
        <v>16.907084152971102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70">
        <f t="shared" si="56"/>
        <v>425.48243823309122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-2.2737367544323206E-13</v>
      </c>
      <c r="O111" s="14">
        <f>N111*VLOOKUP('Données projet'!$B$9,Paramètres!$A$1:$I$89,3,0)*VLOOKUP('Données projet'!$B$9,Paramètres!$A$1:$I$89,5,0)</f>
        <v>-1.2710188457276673E-13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378.17323480030268</v>
      </c>
      <c r="T111" s="62">
        <f t="shared" si="88"/>
        <v>471.89239871617241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118.01413521860464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2.5757260876634361E-6</v>
      </c>
      <c r="AC111" s="24">
        <f t="shared" si="57"/>
        <v>118.01413779433072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2.2737367544323206E-13</v>
      </c>
      <c r="AJ111" s="14">
        <f>AI111*VLOOKUP('Données projet'!$B$10,Paramètres!$A$1:$I$89,3,0)*VLOOKUP('Données projet'!$B$10,Paramètres!$A$1:$I$89,5,0)</f>
        <v>1.8444552551954985E-13</v>
      </c>
      <c r="AK111" s="14">
        <f t="shared" si="89"/>
        <v>2.580317449479618E-12</v>
      </c>
      <c r="AL111" s="22">
        <f t="shared" si="58"/>
        <v>4.8152955147902165E-12</v>
      </c>
      <c r="AM111" s="62">
        <f t="shared" si="59"/>
        <v>293.33333333333815</v>
      </c>
      <c r="AN111" s="62">
        <f ca="1">AVERAGE(OFFSET($AM$3,0,0,'Données projet'!$E$10+1,1))-AVERAGE(OFFSET($H$3,0,0,'Données projet'!$E$10+1,1))</f>
        <v>199.44889029107367</v>
      </c>
      <c r="AO111" s="62">
        <f t="shared" si="90"/>
        <v>292.30544856287457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32.124198744046531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32.124198744046531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529.99999999999989</v>
      </c>
      <c r="BE111" s="14">
        <f>BD111*VLOOKUP('Données projet'!$B$11,Paramètres!$A$1:$I$89,3,0)*VLOOKUP('Données projet'!$B$11,Paramètres!$A$1:$I$89,5,0)</f>
        <v>248.03999999999994</v>
      </c>
      <c r="BF111" s="14">
        <f t="shared" si="91"/>
        <v>60.166044284441391</v>
      </c>
      <c r="BG111" s="22">
        <f t="shared" si="61"/>
        <v>536.79219379540189</v>
      </c>
      <c r="BH111" s="62">
        <f t="shared" si="62"/>
        <v>830.12552712873526</v>
      </c>
      <c r="BI111" s="62">
        <f ca="1">AVERAGE(OFFSET($BH$3,0,0,'Données projet'!$E$11+1,1))-AVERAGE(OFFSET($H$3,0,0,'Données projet'!$E$11+1,1))</f>
        <v>256.45505140629194</v>
      </c>
      <c r="BJ111" s="62">
        <f t="shared" si="92"/>
        <v>219.6985760545686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36.167841488796874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36.167841488796874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-1.1368683772161603E-13</v>
      </c>
      <c r="BZ111" s="14">
        <f>BY111*VLOOKUP('Données projet'!$B$12,Paramètres!$A$1:$I$89,3,0)*VLOOKUP('Données projet'!$B$12,Paramètres!$A$1:$I$89,5,0)</f>
        <v>-6.7984728957526396E-14</v>
      </c>
      <c r="CA111" s="14" t="e">
        <f t="shared" si="93"/>
        <v>#NUM!</v>
      </c>
      <c r="CB111" s="22" t="e">
        <f t="shared" si="64"/>
        <v>#NUM!</v>
      </c>
      <c r="CC111" s="62" t="e">
        <f t="shared" si="65"/>
        <v>#NUM!</v>
      </c>
      <c r="CD111" s="62">
        <f ca="1">AVERAGE(OFFSET($CC$3,0,0,'Données projet'!$E$12+1,1))-AVERAGE(OFFSET($H$3,0,0,'Données projet'!$E$12+1,1))</f>
        <v>279.69031306919914</v>
      </c>
      <c r="CE111" s="62">
        <f t="shared" si="94"/>
        <v>297.01680128882509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77.060282361177499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2.6536969512506045E-5</v>
      </c>
      <c r="CN111" s="24">
        <f t="shared" si="66"/>
        <v>77.060308898147014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2">
        <f t="shared" si="86"/>
        <v>17.045334862667175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70">
        <f t="shared" si="56"/>
        <v>426.67417488581191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-2.2737367544323206E-13</v>
      </c>
      <c r="O112" s="14">
        <f>N112*VLOOKUP('Données projet'!$B$9,Paramètres!$A$1:$I$89,3,0)*VLOOKUP('Données projet'!$B$9,Paramètres!$A$1:$I$89,5,0)</f>
        <v>-1.2710188457276673E-13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378.17323480030268</v>
      </c>
      <c r="T112" s="62">
        <f t="shared" si="88"/>
        <v>471.89239871617241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115.6999500084827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1.8213133830659114E-6</v>
      </c>
      <c r="AC112" s="24">
        <f t="shared" si="57"/>
        <v>115.69995182979609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2.2737367544323206E-13</v>
      </c>
      <c r="AJ112" s="14">
        <f>AI112*VLOOKUP('Données projet'!$B$10,Paramètres!$A$1:$I$89,3,0)*VLOOKUP('Données projet'!$B$10,Paramètres!$A$1:$I$89,5,0)</f>
        <v>1.8444552551954985E-13</v>
      </c>
      <c r="AK112" s="14">
        <f t="shared" si="89"/>
        <v>2.580317449479618E-12</v>
      </c>
      <c r="AL112" s="22">
        <f t="shared" si="58"/>
        <v>4.8152955147902165E-12</v>
      </c>
      <c r="AM112" s="62">
        <f t="shared" si="59"/>
        <v>293.33333333333815</v>
      </c>
      <c r="AN112" s="62">
        <f ca="1">AVERAGE(OFFSET($AM$3,0,0,'Données projet'!$E$10+1,1))-AVERAGE(OFFSET($H$3,0,0,'Données projet'!$E$10+1,1))</f>
        <v>199.44889029107367</v>
      </c>
      <c r="AO112" s="62">
        <f t="shared" si="90"/>
        <v>292.30544856287457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31.494262800502284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31.494262800502284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529.99999999999989</v>
      </c>
      <c r="BE112" s="14">
        <f>BD112*VLOOKUP('Données projet'!$B$11,Paramètres!$A$1:$I$89,3,0)*VLOOKUP('Données projet'!$B$11,Paramètres!$A$1:$I$89,5,0)</f>
        <v>248.03999999999994</v>
      </c>
      <c r="BF112" s="14">
        <f t="shared" si="91"/>
        <v>60.166044284441391</v>
      </c>
      <c r="BG112" s="22">
        <f t="shared" si="61"/>
        <v>536.79219379540189</v>
      </c>
      <c r="BH112" s="62">
        <f t="shared" si="62"/>
        <v>830.12552712873526</v>
      </c>
      <c r="BI112" s="62">
        <f ca="1">AVERAGE(OFFSET($BH$3,0,0,'Données projet'!$E$11+1,1))-AVERAGE(OFFSET($H$3,0,0,'Données projet'!$E$11+1,1))</f>
        <v>256.45505140629194</v>
      </c>
      <c r="BJ112" s="62">
        <f t="shared" si="92"/>
        <v>219.6985760545686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35.458612177406614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35.458612177406614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-1.1368683772161603E-13</v>
      </c>
      <c r="BZ112" s="14">
        <f>BY112*VLOOKUP('Données projet'!$B$12,Paramètres!$A$1:$I$89,3,0)*VLOOKUP('Données projet'!$B$12,Paramètres!$A$1:$I$89,5,0)</f>
        <v>-6.7984728957526396E-14</v>
      </c>
      <c r="CA112" s="14" t="e">
        <f t="shared" si="93"/>
        <v>#NUM!</v>
      </c>
      <c r="CB112" s="22" t="e">
        <f t="shared" si="64"/>
        <v>#NUM!</v>
      </c>
      <c r="CC112" s="62" t="e">
        <f t="shared" si="65"/>
        <v>#NUM!</v>
      </c>
      <c r="CD112" s="62">
        <f ca="1">AVERAGE(OFFSET($CC$3,0,0,'Données projet'!$E$12+1,1))-AVERAGE(OFFSET($H$3,0,0,'Données projet'!$E$12+1,1))</f>
        <v>279.69031306919914</v>
      </c>
      <c r="CE112" s="62">
        <f t="shared" si="94"/>
        <v>297.01680128882509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75.54917722620597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1.8764471094433694E-5</v>
      </c>
      <c r="CN112" s="24">
        <f t="shared" si="66"/>
        <v>75.549195990677063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2">
        <f t="shared" si="86"/>
        <v>17.183438012437954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70">
        <f t="shared" si="56"/>
        <v>427.8656545383293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-2.2737367544323206E-13</v>
      </c>
      <c r="O113" s="14">
        <f>N113*VLOOKUP('Données projet'!$B$9,Paramètres!$A$1:$I$89,3,0)*VLOOKUP('Données projet'!$B$9,Paramètres!$A$1:$I$89,5,0)</f>
        <v>-1.2710188457276673E-13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378.17323480030268</v>
      </c>
      <c r="T113" s="62">
        <f t="shared" si="88"/>
        <v>471.89239871617241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113.43114455881765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1.287863043831718E-6</v>
      </c>
      <c r="AC113" s="24">
        <f t="shared" si="57"/>
        <v>113.43114584668069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2.2737367544323206E-13</v>
      </c>
      <c r="AJ113" s="14">
        <f>AI113*VLOOKUP('Données projet'!$B$10,Paramètres!$A$1:$I$89,3,0)*VLOOKUP('Données projet'!$B$10,Paramètres!$A$1:$I$89,5,0)</f>
        <v>1.8444552551954985E-13</v>
      </c>
      <c r="AK113" s="14">
        <f t="shared" si="89"/>
        <v>2.580317449479618E-12</v>
      </c>
      <c r="AL113" s="22">
        <f t="shared" si="58"/>
        <v>4.8152955147902165E-12</v>
      </c>
      <c r="AM113" s="62">
        <f t="shared" si="59"/>
        <v>293.33333333333815</v>
      </c>
      <c r="AN113" s="62">
        <f ca="1">AVERAGE(OFFSET($AM$3,0,0,'Données projet'!$E$10+1,1))-AVERAGE(OFFSET($H$3,0,0,'Données projet'!$E$10+1,1))</f>
        <v>199.44889029107367</v>
      </c>
      <c r="AO113" s="62">
        <f t="shared" si="90"/>
        <v>292.30544856287457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30.876679516587952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30.876679516587952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529.99999999999989</v>
      </c>
      <c r="BE113" s="14">
        <f>BD113*VLOOKUP('Données projet'!$B$11,Paramètres!$A$1:$I$89,3,0)*VLOOKUP('Données projet'!$B$11,Paramètres!$A$1:$I$89,5,0)</f>
        <v>248.03999999999994</v>
      </c>
      <c r="BF113" s="14">
        <f t="shared" si="91"/>
        <v>60.166044284441391</v>
      </c>
      <c r="BG113" s="22">
        <f t="shared" si="61"/>
        <v>536.79219379540189</v>
      </c>
      <c r="BH113" s="62">
        <f t="shared" si="62"/>
        <v>830.12552712873526</v>
      </c>
      <c r="BI113" s="62">
        <f ca="1">AVERAGE(OFFSET($BH$3,0,0,'Données projet'!$E$11+1,1))-AVERAGE(OFFSET($H$3,0,0,'Données projet'!$E$11+1,1))</f>
        <v>256.45505140629194</v>
      </c>
      <c r="BJ113" s="62">
        <f t="shared" si="92"/>
        <v>219.6985760545686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34.763290420225552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34.763290420225552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-1.1368683772161603E-13</v>
      </c>
      <c r="BZ113" s="14">
        <f>BY113*VLOOKUP('Données projet'!$B$12,Paramètres!$A$1:$I$89,3,0)*VLOOKUP('Données projet'!$B$12,Paramètres!$A$1:$I$89,5,0)</f>
        <v>-6.7984728957526396E-14</v>
      </c>
      <c r="CA113" s="14" t="e">
        <f t="shared" si="93"/>
        <v>#NUM!</v>
      </c>
      <c r="CB113" s="22" t="e">
        <f t="shared" si="64"/>
        <v>#NUM!</v>
      </c>
      <c r="CC113" s="62" t="e">
        <f t="shared" si="65"/>
        <v>#NUM!</v>
      </c>
      <c r="CD113" s="62">
        <f ca="1">AVERAGE(OFFSET($CC$3,0,0,'Données projet'!$E$12+1,1))-AVERAGE(OFFSET($H$3,0,0,'Données projet'!$E$12+1,1))</f>
        <v>279.69031306919914</v>
      </c>
      <c r="CE113" s="62">
        <f t="shared" si="94"/>
        <v>297.01680128882509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74.067703941248112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1.3268484756253023E-5</v>
      </c>
      <c r="CN113" s="24">
        <f t="shared" si="66"/>
        <v>74.067717209732862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2">
        <f t="shared" si="86"/>
        <v>17.32139509913188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70">
        <f t="shared" si="56"/>
        <v>429.05687979765457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-2.2737367544323206E-13</v>
      </c>
      <c r="O114" s="14">
        <f>N114*VLOOKUP('Données projet'!$B$9,Paramètres!$A$1:$I$89,3,0)*VLOOKUP('Données projet'!$B$9,Paramètres!$A$1:$I$89,5,0)</f>
        <v>-1.2710188457276673E-13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378.17323480030268</v>
      </c>
      <c r="T114" s="62">
        <f t="shared" si="88"/>
        <v>471.89239871617241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111.20682900018585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9.1065669153295571E-7</v>
      </c>
      <c r="AC114" s="24">
        <f t="shared" si="57"/>
        <v>111.20682991084254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2.2737367544323206E-13</v>
      </c>
      <c r="AJ114" s="14">
        <f>AI114*VLOOKUP('Données projet'!$B$10,Paramètres!$A$1:$I$89,3,0)*VLOOKUP('Données projet'!$B$10,Paramètres!$A$1:$I$89,5,0)</f>
        <v>1.8444552551954985E-13</v>
      </c>
      <c r="AK114" s="14">
        <f t="shared" si="89"/>
        <v>2.580317449479618E-12</v>
      </c>
      <c r="AL114" s="22">
        <f t="shared" si="58"/>
        <v>4.8152955147902165E-12</v>
      </c>
      <c r="AM114" s="62">
        <f t="shared" si="59"/>
        <v>293.33333333333815</v>
      </c>
      <c r="AN114" s="62">
        <f ca="1">AVERAGE(OFFSET($AM$3,0,0,'Données projet'!$E$10+1,1))-AVERAGE(OFFSET($H$3,0,0,'Données projet'!$E$10+1,1))</f>
        <v>199.44889029107367</v>
      </c>
      <c r="AO114" s="62">
        <f t="shared" si="90"/>
        <v>292.30544856287457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30.271206664182571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30.271206664182571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529.99999999999989</v>
      </c>
      <c r="BE114" s="14">
        <f>BD114*VLOOKUP('Données projet'!$B$11,Paramètres!$A$1:$I$89,3,0)*VLOOKUP('Données projet'!$B$11,Paramètres!$A$1:$I$89,5,0)</f>
        <v>248.03999999999994</v>
      </c>
      <c r="BF114" s="14">
        <f t="shared" si="91"/>
        <v>60.166044284441391</v>
      </c>
      <c r="BG114" s="22">
        <f t="shared" si="61"/>
        <v>536.79219379540189</v>
      </c>
      <c r="BH114" s="62">
        <f t="shared" si="62"/>
        <v>830.12552712873526</v>
      </c>
      <c r="BI114" s="62">
        <f ca="1">AVERAGE(OFFSET($BH$3,0,0,'Données projet'!$E$11+1,1))-AVERAGE(OFFSET($H$3,0,0,'Données projet'!$E$11+1,1))</f>
        <v>256.45505140629194</v>
      </c>
      <c r="BJ114" s="62">
        <f t="shared" si="92"/>
        <v>219.6985760545686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34.081603498598412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34.081603498598412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-1.1368683772161603E-13</v>
      </c>
      <c r="BZ114" s="14">
        <f>BY114*VLOOKUP('Données projet'!$B$12,Paramètres!$A$1:$I$89,3,0)*VLOOKUP('Données projet'!$B$12,Paramètres!$A$1:$I$89,5,0)</f>
        <v>-6.7984728957526396E-14</v>
      </c>
      <c r="CA114" s="14" t="e">
        <f t="shared" si="93"/>
        <v>#NUM!</v>
      </c>
      <c r="CB114" s="22" t="e">
        <f t="shared" si="64"/>
        <v>#NUM!</v>
      </c>
      <c r="CC114" s="62" t="e">
        <f t="shared" si="65"/>
        <v>#NUM!</v>
      </c>
      <c r="CD114" s="62">
        <f ca="1">AVERAGE(OFFSET($CC$3,0,0,'Données projet'!$E$12+1,1))-AVERAGE(OFFSET($H$3,0,0,'Données projet'!$E$12+1,1))</f>
        <v>279.69031306919914</v>
      </c>
      <c r="CE114" s="62">
        <f t="shared" si="94"/>
        <v>297.01680128882509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72.615281443798793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9.3822355472168472E-6</v>
      </c>
      <c r="CN114" s="24">
        <f t="shared" si="66"/>
        <v>72.615290826034339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2">
        <f t="shared" si="86"/>
        <v>17.459207591071241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70">
        <f t="shared" si="56"/>
        <v>430.24785322111563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-2.2737367544323206E-13</v>
      </c>
      <c r="O115" s="14">
        <f>N115*VLOOKUP('Données projet'!$B$9,Paramètres!$A$1:$I$89,3,0)*VLOOKUP('Données projet'!$B$9,Paramètres!$A$1:$I$89,5,0)</f>
        <v>-1.2710188457276673E-13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378.17323480030268</v>
      </c>
      <c r="T115" s="62">
        <f t="shared" si="88"/>
        <v>471.89239871617241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109.02613091296028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6.4393152191585901E-7</v>
      </c>
      <c r="AC115" s="24">
        <f t="shared" si="57"/>
        <v>109.02613155689181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2.2737367544323206E-13</v>
      </c>
      <c r="AJ115" s="14">
        <f>AI115*VLOOKUP('Données projet'!$B$10,Paramètres!$A$1:$I$89,3,0)*VLOOKUP('Données projet'!$B$10,Paramètres!$A$1:$I$89,5,0)</f>
        <v>1.8444552551954985E-13</v>
      </c>
      <c r="AK115" s="14">
        <f t="shared" si="89"/>
        <v>2.580317449479618E-12</v>
      </c>
      <c r="AL115" s="22">
        <f t="shared" si="58"/>
        <v>4.8152955147902165E-12</v>
      </c>
      <c r="AM115" s="62">
        <f t="shared" si="59"/>
        <v>293.33333333333815</v>
      </c>
      <c r="AN115" s="62">
        <f ca="1">AVERAGE(OFFSET($AM$3,0,0,'Données projet'!$E$10+1,1))-AVERAGE(OFFSET($H$3,0,0,'Données projet'!$E$10+1,1))</f>
        <v>199.44889029107367</v>
      </c>
      <c r="AO115" s="62">
        <f t="shared" si="90"/>
        <v>292.30544856287457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29.677606765110887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29.677606765110887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529.99999999999989</v>
      </c>
      <c r="BE115" s="14">
        <f>BD115*VLOOKUP('Données projet'!$B$11,Paramètres!$A$1:$I$89,3,0)*VLOOKUP('Données projet'!$B$11,Paramètres!$A$1:$I$89,5,0)</f>
        <v>248.03999999999994</v>
      </c>
      <c r="BF115" s="14">
        <f t="shared" si="91"/>
        <v>60.166044284441391</v>
      </c>
      <c r="BG115" s="22">
        <f t="shared" si="61"/>
        <v>536.79219379540189</v>
      </c>
      <c r="BH115" s="62">
        <f t="shared" si="62"/>
        <v>830.12552712873526</v>
      </c>
      <c r="BI115" s="62">
        <f ca="1">AVERAGE(OFFSET($BH$3,0,0,'Données projet'!$E$11+1,1))-AVERAGE(OFFSET($H$3,0,0,'Données projet'!$E$11+1,1))</f>
        <v>256.45505140629194</v>
      </c>
      <c r="BJ115" s="62">
        <f t="shared" si="92"/>
        <v>219.6985760545686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33.413284041716416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33.413284041716416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-1.1368683772161603E-13</v>
      </c>
      <c r="BZ115" s="14">
        <f>BY115*VLOOKUP('Données projet'!$B$12,Paramètres!$A$1:$I$89,3,0)*VLOOKUP('Données projet'!$B$12,Paramètres!$A$1:$I$89,5,0)</f>
        <v>-6.7984728957526396E-14</v>
      </c>
      <c r="CA115" s="14" t="e">
        <f t="shared" si="93"/>
        <v>#NUM!</v>
      </c>
      <c r="CB115" s="22" t="e">
        <f t="shared" si="64"/>
        <v>#NUM!</v>
      </c>
      <c r="CC115" s="62" t="e">
        <f t="shared" si="65"/>
        <v>#NUM!</v>
      </c>
      <c r="CD115" s="62">
        <f ca="1">AVERAGE(OFFSET($CC$3,0,0,'Données projet'!$E$12+1,1))-AVERAGE(OFFSET($H$3,0,0,'Données projet'!$E$12+1,1))</f>
        <v>279.69031306919914</v>
      </c>
      <c r="CE115" s="62">
        <f t="shared" si="94"/>
        <v>297.01680128882509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71.191340065634208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6.6342423781265113E-6</v>
      </c>
      <c r="CN115" s="24">
        <f t="shared" si="66"/>
        <v>71.19134669987659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2">
        <f t="shared" si="86"/>
        <v>17.596876928845635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70">
        <f t="shared" si="56"/>
        <v>431.43857731773937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-2.2737367544323206E-13</v>
      </c>
      <c r="O116" s="14">
        <f>N116*VLOOKUP('Données projet'!$B$9,Paramètres!$A$1:$I$89,3,0)*VLOOKUP('Données projet'!$B$9,Paramètres!$A$1:$I$89,5,0)</f>
        <v>-1.2710188457276673E-13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378.17323480030268</v>
      </c>
      <c r="T116" s="62">
        <f t="shared" si="88"/>
        <v>471.89239871617241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106.88819498513072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4.5532834576647786E-7</v>
      </c>
      <c r="AC116" s="24">
        <f t="shared" si="57"/>
        <v>106.88819544045907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2.2737367544323206E-13</v>
      </c>
      <c r="AJ116" s="14">
        <f>AI116*VLOOKUP('Données projet'!$B$10,Paramètres!$A$1:$I$89,3,0)*VLOOKUP('Données projet'!$B$10,Paramètres!$A$1:$I$89,5,0)</f>
        <v>1.8444552551954985E-13</v>
      </c>
      <c r="AK116" s="14">
        <f t="shared" si="89"/>
        <v>2.580317449479618E-12</v>
      </c>
      <c r="AL116" s="22">
        <f t="shared" si="58"/>
        <v>4.8152955147902165E-12</v>
      </c>
      <c r="AM116" s="62">
        <f t="shared" si="59"/>
        <v>293.33333333333815</v>
      </c>
      <c r="AN116" s="62">
        <f ca="1">AVERAGE(OFFSET($AM$3,0,0,'Données projet'!$E$10+1,1))-AVERAGE(OFFSET($H$3,0,0,'Données projet'!$E$10+1,1))</f>
        <v>199.44889029107367</v>
      </c>
      <c r="AO116" s="62">
        <f t="shared" si="90"/>
        <v>292.30544856287457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29.095646997999811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29.095646997999811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529.99999999999989</v>
      </c>
      <c r="BE116" s="14">
        <f>BD116*VLOOKUP('Données projet'!$B$11,Paramètres!$A$1:$I$89,3,0)*VLOOKUP('Données projet'!$B$11,Paramètres!$A$1:$I$89,5,0)</f>
        <v>248.03999999999994</v>
      </c>
      <c r="BF116" s="14">
        <f t="shared" si="91"/>
        <v>60.166044284441391</v>
      </c>
      <c r="BG116" s="22">
        <f t="shared" si="61"/>
        <v>536.79219379540189</v>
      </c>
      <c r="BH116" s="62">
        <f t="shared" si="62"/>
        <v>830.12552712873526</v>
      </c>
      <c r="BI116" s="62">
        <f ca="1">AVERAGE(OFFSET($BH$3,0,0,'Données projet'!$E$11+1,1))-AVERAGE(OFFSET($H$3,0,0,'Données projet'!$E$11+1,1))</f>
        <v>256.45505140629194</v>
      </c>
      <c r="BJ116" s="62">
        <f t="shared" si="92"/>
        <v>219.6985760545686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32.758069921749254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32.758069921749254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-1.1368683772161603E-13</v>
      </c>
      <c r="BZ116" s="14">
        <f>BY116*VLOOKUP('Données projet'!$B$12,Paramètres!$A$1:$I$89,3,0)*VLOOKUP('Données projet'!$B$12,Paramètres!$A$1:$I$89,5,0)</f>
        <v>-6.7984728957526396E-14</v>
      </c>
      <c r="CA116" s="14" t="e">
        <f t="shared" si="93"/>
        <v>#NUM!</v>
      </c>
      <c r="CB116" s="22" t="e">
        <f t="shared" si="64"/>
        <v>#NUM!</v>
      </c>
      <c r="CC116" s="62" t="e">
        <f t="shared" si="65"/>
        <v>#NUM!</v>
      </c>
      <c r="CD116" s="62">
        <f ca="1">AVERAGE(OFFSET($CC$3,0,0,'Données projet'!$E$12+1,1))-AVERAGE(OFFSET($H$3,0,0,'Données projet'!$E$12+1,1))</f>
        <v>279.69031306919914</v>
      </c>
      <c r="CE116" s="62">
        <f t="shared" si="94"/>
        <v>297.01680128882509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69.795321309376959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4.6911177736084236E-6</v>
      </c>
      <c r="CN116" s="24">
        <f t="shared" si="66"/>
        <v>69.79532600049474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2">
        <f t="shared" si="86"/>
        <v>17.734404526076418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70">
        <f t="shared" si="56"/>
        <v>432.62905454958297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-2.2737367544323206E-13</v>
      </c>
      <c r="O117" s="14">
        <f>N117*VLOOKUP('Données projet'!$B$9,Paramètres!$A$1:$I$89,3,0)*VLOOKUP('Données projet'!$B$9,Paramètres!$A$1:$I$89,5,0)</f>
        <v>-1.2710188457276673E-13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378.17323480030268</v>
      </c>
      <c r="T117" s="62">
        <f t="shared" si="88"/>
        <v>471.89239871617241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104.79218267683375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3.2196576095792951E-7</v>
      </c>
      <c r="AC117" s="24">
        <f t="shared" si="57"/>
        <v>104.7921829987995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2.2737367544323206E-13</v>
      </c>
      <c r="AJ117" s="14">
        <f>AI117*VLOOKUP('Données projet'!$B$10,Paramètres!$A$1:$I$89,3,0)*VLOOKUP('Données projet'!$B$10,Paramètres!$A$1:$I$89,5,0)</f>
        <v>1.8444552551954985E-13</v>
      </c>
      <c r="AK117" s="14">
        <f t="shared" si="89"/>
        <v>2.580317449479618E-12</v>
      </c>
      <c r="AL117" s="22">
        <f t="shared" si="58"/>
        <v>4.8152955147902165E-12</v>
      </c>
      <c r="AM117" s="62">
        <f t="shared" si="59"/>
        <v>293.33333333333815</v>
      </c>
      <c r="AN117" s="62">
        <f ca="1">AVERAGE(OFFSET($AM$3,0,0,'Données projet'!$E$10+1,1))-AVERAGE(OFFSET($H$3,0,0,'Données projet'!$E$10+1,1))</f>
        <v>199.44889029107367</v>
      </c>
      <c r="AO117" s="62">
        <f t="shared" si="90"/>
        <v>292.30544856287457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28.525099106961374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28.525099106961374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529.99999999999989</v>
      </c>
      <c r="BE117" s="14">
        <f>BD117*VLOOKUP('Données projet'!$B$11,Paramètres!$A$1:$I$89,3,0)*VLOOKUP('Données projet'!$B$11,Paramètres!$A$1:$I$89,5,0)</f>
        <v>248.03999999999994</v>
      </c>
      <c r="BF117" s="14">
        <f t="shared" si="91"/>
        <v>60.166044284441391</v>
      </c>
      <c r="BG117" s="22">
        <f t="shared" si="61"/>
        <v>536.79219379540189</v>
      </c>
      <c r="BH117" s="62">
        <f t="shared" si="62"/>
        <v>830.12552712873526</v>
      </c>
      <c r="BI117" s="62">
        <f ca="1">AVERAGE(OFFSET($BH$3,0,0,'Données projet'!$E$11+1,1))-AVERAGE(OFFSET($H$3,0,0,'Données projet'!$E$11+1,1))</f>
        <v>256.45505140629194</v>
      </c>
      <c r="BJ117" s="62">
        <f t="shared" si="92"/>
        <v>219.6985760545686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32.115704151033498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32.115704151033498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-1.1368683772161603E-13</v>
      </c>
      <c r="BZ117" s="14">
        <f>BY117*VLOOKUP('Données projet'!$B$12,Paramètres!$A$1:$I$89,3,0)*VLOOKUP('Données projet'!$B$12,Paramètres!$A$1:$I$89,5,0)</f>
        <v>-6.7984728957526396E-14</v>
      </c>
      <c r="CA117" s="14" t="e">
        <f t="shared" si="93"/>
        <v>#NUM!</v>
      </c>
      <c r="CB117" s="22" t="e">
        <f t="shared" si="64"/>
        <v>#NUM!</v>
      </c>
      <c r="CC117" s="62" t="e">
        <f t="shared" si="65"/>
        <v>#NUM!</v>
      </c>
      <c r="CD117" s="62">
        <f ca="1">AVERAGE(OFFSET($CC$3,0,0,'Données projet'!$E$12+1,1))-AVERAGE(OFFSET($H$3,0,0,'Données projet'!$E$12+1,1))</f>
        <v>279.69031306919914</v>
      </c>
      <c r="CE117" s="62">
        <f t="shared" si="94"/>
        <v>297.01680128882509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68.426677629442551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3.3171211890632556E-6</v>
      </c>
      <c r="CN117" s="24">
        <f t="shared" si="66"/>
        <v>68.426680946563735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2">
        <f t="shared" si="86"/>
        <v>17.871791770153557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70">
        <f t="shared" si="56"/>
        <v>433.81928733301731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-2.2737367544323206E-13</v>
      </c>
      <c r="O118" s="14">
        <f>N118*VLOOKUP('Données projet'!$B$9,Paramètres!$A$1:$I$89,3,0)*VLOOKUP('Données projet'!$B$9,Paramètres!$A$1:$I$89,5,0)</f>
        <v>-1.2710188457276673E-13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378.17323480030268</v>
      </c>
      <c r="T118" s="62">
        <f t="shared" si="88"/>
        <v>471.89239871617241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102.73727189146121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2.2766417288323893E-7</v>
      </c>
      <c r="AC118" s="24">
        <f t="shared" si="57"/>
        <v>102.73727211912538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2.2737367544323206E-13</v>
      </c>
      <c r="AJ118" s="14">
        <f>AI118*VLOOKUP('Données projet'!$B$10,Paramètres!$A$1:$I$89,3,0)*VLOOKUP('Données projet'!$B$10,Paramètres!$A$1:$I$89,5,0)</f>
        <v>1.8444552551954985E-13</v>
      </c>
      <c r="AK118" s="14">
        <f t="shared" si="89"/>
        <v>2.580317449479618E-12</v>
      </c>
      <c r="AL118" s="22">
        <f t="shared" si="58"/>
        <v>4.8152955147902165E-12</v>
      </c>
      <c r="AM118" s="62">
        <f t="shared" si="59"/>
        <v>293.33333333333815</v>
      </c>
      <c r="AN118" s="62">
        <f ca="1">AVERAGE(OFFSET($AM$3,0,0,'Données projet'!$E$10+1,1))-AVERAGE(OFFSET($H$3,0,0,'Données projet'!$E$10+1,1))</f>
        <v>199.44889029107367</v>
      </c>
      <c r="AO118" s="62">
        <f t="shared" si="90"/>
        <v>292.30544856287457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27.965739312066347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27.965739312066347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529.99999999999989</v>
      </c>
      <c r="BE118" s="14">
        <f>BD118*VLOOKUP('Données projet'!$B$11,Paramètres!$A$1:$I$89,3,0)*VLOOKUP('Données projet'!$B$11,Paramètres!$A$1:$I$89,5,0)</f>
        <v>248.03999999999994</v>
      </c>
      <c r="BF118" s="14">
        <f t="shared" si="91"/>
        <v>60.166044284441391</v>
      </c>
      <c r="BG118" s="22">
        <f t="shared" si="61"/>
        <v>536.79219379540189</v>
      </c>
      <c r="BH118" s="62">
        <f t="shared" si="62"/>
        <v>830.12552712873526</v>
      </c>
      <c r="BI118" s="62">
        <f ca="1">AVERAGE(OFFSET($BH$3,0,0,'Données projet'!$E$11+1,1))-AVERAGE(OFFSET($H$3,0,0,'Données projet'!$E$11+1,1))</f>
        <v>256.45505140629194</v>
      </c>
      <c r="BJ118" s="62">
        <f t="shared" si="92"/>
        <v>219.6985760545686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31.485934781277045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31.485934781277045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-1.1368683772161603E-13</v>
      </c>
      <c r="BZ118" s="14">
        <f>BY118*VLOOKUP('Données projet'!$B$12,Paramètres!$A$1:$I$89,3,0)*VLOOKUP('Données projet'!$B$12,Paramètres!$A$1:$I$89,5,0)</f>
        <v>-6.7984728957526396E-14</v>
      </c>
      <c r="CA118" s="14" t="e">
        <f t="shared" si="93"/>
        <v>#NUM!</v>
      </c>
      <c r="CB118" s="22" t="e">
        <f t="shared" si="64"/>
        <v>#NUM!</v>
      </c>
      <c r="CC118" s="62" t="e">
        <f t="shared" si="65"/>
        <v>#NUM!</v>
      </c>
      <c r="CD118" s="62">
        <f ca="1">AVERAGE(OFFSET($CC$3,0,0,'Données projet'!$E$12+1,1))-AVERAGE(OFFSET($H$3,0,0,'Données projet'!$E$12+1,1))</f>
        <v>279.69031306919914</v>
      </c>
      <c r="CE118" s="62">
        <f t="shared" si="94"/>
        <v>297.01680128882509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67.084872217281429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2.3455588868042118E-6</v>
      </c>
      <c r="CN118" s="24">
        <f t="shared" si="66"/>
        <v>67.084874562840312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2">
        <f t="shared" si="86"/>
        <v>18.009040022946209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70">
        <f t="shared" si="56"/>
        <v>435.00927803996456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-2.2737367544323206E-13</v>
      </c>
      <c r="O119" s="14">
        <f>N119*VLOOKUP('Données projet'!$B$9,Paramètres!$A$1:$I$89,3,0)*VLOOKUP('Données projet'!$B$9,Paramètres!$A$1:$I$89,5,0)</f>
        <v>-1.2710188457276673E-13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378.17323480030268</v>
      </c>
      <c r="T119" s="62">
        <f t="shared" si="88"/>
        <v>471.89239871617241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100.722656653218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1.6098288047896475E-7</v>
      </c>
      <c r="AC119" s="24">
        <f t="shared" si="57"/>
        <v>100.72265681420087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2.2737367544323206E-13</v>
      </c>
      <c r="AJ119" s="14">
        <f>AI119*VLOOKUP('Données projet'!$B$10,Paramètres!$A$1:$I$89,3,0)*VLOOKUP('Données projet'!$B$10,Paramètres!$A$1:$I$89,5,0)</f>
        <v>1.8444552551954985E-13</v>
      </c>
      <c r="AK119" s="14">
        <f t="shared" si="89"/>
        <v>2.580317449479618E-12</v>
      </c>
      <c r="AL119" s="22">
        <f t="shared" si="58"/>
        <v>4.8152955147902165E-12</v>
      </c>
      <c r="AM119" s="62">
        <f t="shared" si="59"/>
        <v>293.33333333333815</v>
      </c>
      <c r="AN119" s="62">
        <f ca="1">AVERAGE(OFFSET($AM$3,0,0,'Données projet'!$E$10+1,1))-AVERAGE(OFFSET($H$3,0,0,'Données projet'!$E$10+1,1))</f>
        <v>199.44889029107367</v>
      </c>
      <c r="AO119" s="62">
        <f t="shared" si="90"/>
        <v>292.30544856287457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27.417348221573427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27.417348221573427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529.99999999999989</v>
      </c>
      <c r="BE119" s="14">
        <f>BD119*VLOOKUP('Données projet'!$B$11,Paramètres!$A$1:$I$89,3,0)*VLOOKUP('Données projet'!$B$11,Paramètres!$A$1:$I$89,5,0)</f>
        <v>248.03999999999994</v>
      </c>
      <c r="BF119" s="14">
        <f t="shared" si="91"/>
        <v>60.166044284441391</v>
      </c>
      <c r="BG119" s="22">
        <f t="shared" si="61"/>
        <v>536.79219379540189</v>
      </c>
      <c r="BH119" s="62">
        <f t="shared" si="62"/>
        <v>830.12552712873526</v>
      </c>
      <c r="BI119" s="62">
        <f ca="1">AVERAGE(OFFSET($BH$3,0,0,'Données projet'!$E$11+1,1))-AVERAGE(OFFSET($H$3,0,0,'Données projet'!$E$11+1,1))</f>
        <v>256.45505140629194</v>
      </c>
      <c r="BJ119" s="62">
        <f t="shared" si="92"/>
        <v>219.6985760545686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30.86851480474013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30.86851480474013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-1.1368683772161603E-13</v>
      </c>
      <c r="BZ119" s="14">
        <f>BY119*VLOOKUP('Données projet'!$B$12,Paramètres!$A$1:$I$89,3,0)*VLOOKUP('Données projet'!$B$12,Paramètres!$A$1:$I$89,5,0)</f>
        <v>-6.7984728957526396E-14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279.69031306919914</v>
      </c>
      <c r="CE119" s="62">
        <f t="shared" si="94"/>
        <v>297.01680128882509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65.769378790832306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1.6585605945316278E-6</v>
      </c>
      <c r="CN119" s="24">
        <f t="shared" si="66"/>
        <v>65.769380449392898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2">
        <f t="shared" si="86"/>
        <v>18.146150621487966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70">
        <f t="shared" si="56"/>
        <v>436.19902899909141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-2.2737367544323206E-13</v>
      </c>
      <c r="O120" s="14">
        <f>N120*VLOOKUP('Données projet'!$B$9,Paramètres!$A$1:$I$89,3,0)*VLOOKUP('Données projet'!$B$9,Paramètres!$A$1:$I$89,5,0)</f>
        <v>-1.2710188457276673E-13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378.17323480030268</v>
      </c>
      <c r="T120" s="62">
        <f t="shared" si="88"/>
        <v>471.89239871617241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98.747546791002776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1.1383208644161946E-7</v>
      </c>
      <c r="AC120" s="24">
        <f t="shared" si="57"/>
        <v>98.747546904834863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2.2737367544323206E-13</v>
      </c>
      <c r="AJ120" s="14">
        <f>AI120*VLOOKUP('Données projet'!$B$10,Paramètres!$A$1:$I$89,3,0)*VLOOKUP('Données projet'!$B$10,Paramètres!$A$1:$I$89,5,0)</f>
        <v>1.8444552551954985E-13</v>
      </c>
      <c r="AK120" s="14">
        <f t="shared" si="89"/>
        <v>2.580317449479618E-12</v>
      </c>
      <c r="AL120" s="22">
        <f t="shared" si="58"/>
        <v>4.8152955147902165E-12</v>
      </c>
      <c r="AM120" s="62">
        <f t="shared" si="59"/>
        <v>293.33333333333815</v>
      </c>
      <c r="AN120" s="62">
        <f ca="1">AVERAGE(OFFSET($AM$3,0,0,'Données projet'!$E$10+1,1))-AVERAGE(OFFSET($H$3,0,0,'Données projet'!$E$10+1,1))</f>
        <v>199.44889029107367</v>
      </c>
      <c r="AO120" s="62">
        <f t="shared" si="90"/>
        <v>292.30544856287457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26.879710745879535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26.879710745879535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529.99999999999989</v>
      </c>
      <c r="BE120" s="14">
        <f>BD120*VLOOKUP('Données projet'!$B$11,Paramètres!$A$1:$I$89,3,0)*VLOOKUP('Données projet'!$B$11,Paramètres!$A$1:$I$89,5,0)</f>
        <v>248.03999999999994</v>
      </c>
      <c r="BF120" s="14">
        <f t="shared" si="91"/>
        <v>60.166044284441391</v>
      </c>
      <c r="BG120" s="22">
        <f t="shared" si="61"/>
        <v>536.79219379540189</v>
      </c>
      <c r="BH120" s="62">
        <f t="shared" si="62"/>
        <v>830.12552712873526</v>
      </c>
      <c r="BI120" s="62">
        <f ca="1">AVERAGE(OFFSET($BH$3,0,0,'Données projet'!$E$11+1,1))-AVERAGE(OFFSET($H$3,0,0,'Données projet'!$E$11+1,1))</f>
        <v>256.45505140629194</v>
      </c>
      <c r="BJ120" s="62">
        <f t="shared" si="92"/>
        <v>219.6985760545686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30.263202057354103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30.263202057354103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-1.1368683772161603E-13</v>
      </c>
      <c r="BZ120" s="14">
        <f>BY120*VLOOKUP('Données projet'!$B$12,Paramètres!$A$1:$I$89,3,0)*VLOOKUP('Données projet'!$B$12,Paramètres!$A$1:$I$89,5,0)</f>
        <v>-6.7984728957526396E-14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279.69031306919914</v>
      </c>
      <c r="CE120" s="62">
        <f t="shared" si="94"/>
        <v>297.01680128882509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64.479681388104083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1.1727794434021059E-6</v>
      </c>
      <c r="CN120" s="24">
        <f t="shared" si="66"/>
        <v>64.479682560883532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2">
        <f t="shared" si="86"/>
        <v>18.283124878638194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70">
        <f t="shared" si="56"/>
        <v>437.38854249696135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-2.2737367544323206E-13</v>
      </c>
      <c r="O121" s="14">
        <f>N121*VLOOKUP('Données projet'!$B$9,Paramètres!$A$1:$I$89,3,0)*VLOOKUP('Données projet'!$B$9,Paramètres!$A$1:$I$89,5,0)</f>
        <v>-1.2710188457276673E-13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378.17323480030268</v>
      </c>
      <c r="T121" s="62">
        <f t="shared" si="88"/>
        <v>471.89239871617241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96.811167628487524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8.0491440239482377E-8</v>
      </c>
      <c r="AC121" s="24">
        <f t="shared" si="57"/>
        <v>96.811167708978971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2.2737367544323206E-13</v>
      </c>
      <c r="AJ121" s="14">
        <f>AI121*VLOOKUP('Données projet'!$B$10,Paramètres!$A$1:$I$89,3,0)*VLOOKUP('Données projet'!$B$10,Paramètres!$A$1:$I$89,5,0)</f>
        <v>1.8444552551954985E-13</v>
      </c>
      <c r="AK121" s="14">
        <f t="shared" si="89"/>
        <v>2.580317449479618E-12</v>
      </c>
      <c r="AL121" s="22">
        <f t="shared" si="58"/>
        <v>4.8152955147902165E-12</v>
      </c>
      <c r="AM121" s="62">
        <f t="shared" si="59"/>
        <v>293.33333333333815</v>
      </c>
      <c r="AN121" s="62">
        <f ca="1">AVERAGE(OFFSET($AM$3,0,0,'Données projet'!$E$10+1,1))-AVERAGE(OFFSET($H$3,0,0,'Données projet'!$E$10+1,1))</f>
        <v>199.44889029107367</v>
      </c>
      <c r="AO121" s="62">
        <f t="shared" si="90"/>
        <v>292.30544856287457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26.352616013157519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26.352616013157519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529.99999999999989</v>
      </c>
      <c r="BE121" s="14">
        <f>BD121*VLOOKUP('Données projet'!$B$11,Paramètres!$A$1:$I$89,3,0)*VLOOKUP('Données projet'!$B$11,Paramètres!$A$1:$I$89,5,0)</f>
        <v>248.03999999999994</v>
      </c>
      <c r="BF121" s="14">
        <f t="shared" si="91"/>
        <v>60.166044284441391</v>
      </c>
      <c r="BG121" s="22">
        <f t="shared" si="61"/>
        <v>536.79219379540189</v>
      </c>
      <c r="BH121" s="62">
        <f t="shared" si="62"/>
        <v>830.12552712873526</v>
      </c>
      <c r="BI121" s="62">
        <f ca="1">AVERAGE(OFFSET($BH$3,0,0,'Données projet'!$E$11+1,1))-AVERAGE(OFFSET($H$3,0,0,'Données projet'!$E$11+1,1))</f>
        <v>256.45505140629194</v>
      </c>
      <c r="BJ121" s="62">
        <f t="shared" si="92"/>
        <v>219.6985760545686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29.669759123739997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29.669759123739997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-1.1368683772161603E-13</v>
      </c>
      <c r="BZ121" s="14">
        <f>BY121*VLOOKUP('Données projet'!$B$12,Paramètres!$A$1:$I$89,3,0)*VLOOKUP('Données projet'!$B$12,Paramètres!$A$1:$I$89,5,0)</f>
        <v>-6.7984728957526396E-14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279.69031306919914</v>
      </c>
      <c r="CE121" s="62">
        <f t="shared" si="94"/>
        <v>297.01680128882509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63.215274164805621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8.2928029726581391E-7</v>
      </c>
      <c r="CN121" s="24">
        <f t="shared" si="66"/>
        <v>63.215274994085917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2">
        <f t="shared" si="86"/>
        <v>18.41996408372005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70">
        <f t="shared" si="56"/>
        <v>438.57782077914567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-2.2737367544323206E-13</v>
      </c>
      <c r="O122" s="14">
        <f>N122*VLOOKUP('Données projet'!$B$9,Paramètres!$A$1:$I$89,3,0)*VLOOKUP('Données projet'!$B$9,Paramètres!$A$1:$I$89,5,0)</f>
        <v>-1.2710188457276673E-13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378.17323480030268</v>
      </c>
      <c r="T122" s="62">
        <f t="shared" si="88"/>
        <v>471.89239871617241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94.912759680274533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5.6916043220809732E-8</v>
      </c>
      <c r="AC122" s="24">
        <f t="shared" si="57"/>
        <v>94.912759737190569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2.2737367544323206E-13</v>
      </c>
      <c r="AJ122" s="14">
        <f>AI122*VLOOKUP('Données projet'!$B$10,Paramètres!$A$1:$I$89,3,0)*VLOOKUP('Données projet'!$B$10,Paramètres!$A$1:$I$89,5,0)</f>
        <v>1.8444552551954985E-13</v>
      </c>
      <c r="AK122" s="14">
        <f t="shared" si="89"/>
        <v>2.580317449479618E-12</v>
      </c>
      <c r="AL122" s="22">
        <f t="shared" si="58"/>
        <v>4.8152955147902165E-12</v>
      </c>
      <c r="AM122" s="62">
        <f t="shared" si="59"/>
        <v>293.33333333333815</v>
      </c>
      <c r="AN122" s="62">
        <f ca="1">AVERAGE(OFFSET($AM$3,0,0,'Données projet'!$E$10+1,1))-AVERAGE(OFFSET($H$3,0,0,'Données projet'!$E$10+1,1))</f>
        <v>199.44889029107367</v>
      </c>
      <c r="AO122" s="62">
        <f t="shared" si="90"/>
        <v>292.30544856287457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25.835857286648142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25.835857286648142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529.99999999999989</v>
      </c>
      <c r="BE122" s="14">
        <f>BD122*VLOOKUP('Données projet'!$B$11,Paramètres!$A$1:$I$89,3,0)*VLOOKUP('Données projet'!$B$11,Paramètres!$A$1:$I$89,5,0)</f>
        <v>248.03999999999994</v>
      </c>
      <c r="BF122" s="14">
        <f t="shared" si="91"/>
        <v>60.166044284441391</v>
      </c>
      <c r="BG122" s="22">
        <f t="shared" si="61"/>
        <v>536.79219379540189</v>
      </c>
      <c r="BH122" s="62">
        <f t="shared" si="62"/>
        <v>830.12552712873526</v>
      </c>
      <c r="BI122" s="62">
        <f ca="1">AVERAGE(OFFSET($BH$3,0,0,'Données projet'!$E$11+1,1))-AVERAGE(OFFSET($H$3,0,0,'Données projet'!$E$11+1,1))</f>
        <v>256.45505140629194</v>
      </c>
      <c r="BJ122" s="62">
        <f t="shared" si="92"/>
        <v>219.6985760545686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29.087953244089615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29.087953244089615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-1.1368683772161603E-13</v>
      </c>
      <c r="BZ122" s="14">
        <f>BY122*VLOOKUP('Données projet'!$B$12,Paramètres!$A$1:$I$89,3,0)*VLOOKUP('Données projet'!$B$12,Paramètres!$A$1:$I$89,5,0)</f>
        <v>-6.7984728957526396E-14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279.69031306919914</v>
      </c>
      <c r="CE122" s="62">
        <f t="shared" si="94"/>
        <v>297.01680128882509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61.975661195943786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5.8638972170105295E-7</v>
      </c>
      <c r="CN122" s="24">
        <f t="shared" si="66"/>
        <v>61.975661782333511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2">
        <f t="shared" si="86"/>
        <v>18.556669503136707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70">
        <f t="shared" si="56"/>
        <v>439.76686605129635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-2.2737367544323206E-13</v>
      </c>
      <c r="O123" s="14">
        <f>N123*VLOOKUP('Données projet'!$B$9,Paramètres!$A$1:$I$89,3,0)*VLOOKUP('Données projet'!$B$9,Paramètres!$A$1:$I$89,5,0)</f>
        <v>-1.2710188457276673E-13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378.17323480030268</v>
      </c>
      <c r="T123" s="62">
        <f t="shared" si="88"/>
        <v>471.89239871617241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93.051578354011482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4.0245720119741188E-8</v>
      </c>
      <c r="AC123" s="24">
        <f t="shared" si="57"/>
        <v>93.051578394257206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2.2737367544323206E-13</v>
      </c>
      <c r="AJ123" s="14">
        <f>AI123*VLOOKUP('Données projet'!$B$10,Paramètres!$A$1:$I$89,3,0)*VLOOKUP('Données projet'!$B$10,Paramètres!$A$1:$I$89,5,0)</f>
        <v>1.8444552551954985E-13</v>
      </c>
      <c r="AK123" s="14">
        <f t="shared" si="89"/>
        <v>2.580317449479618E-12</v>
      </c>
      <c r="AL123" s="22">
        <f t="shared" si="58"/>
        <v>4.8152955147902165E-12</v>
      </c>
      <c r="AM123" s="62">
        <f t="shared" si="59"/>
        <v>293.33333333333815</v>
      </c>
      <c r="AN123" s="62">
        <f ca="1">AVERAGE(OFFSET($AM$3,0,0,'Données projet'!$E$10+1,1))-AVERAGE(OFFSET($H$3,0,0,'Données projet'!$E$10+1,1))</f>
        <v>199.44889029107367</v>
      </c>
      <c r="AO123" s="62">
        <f t="shared" si="90"/>
        <v>292.30544856287457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25.329231883573911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25.329231883573911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529.99999999999989</v>
      </c>
      <c r="BE123" s="14">
        <f>BD123*VLOOKUP('Données projet'!$B$11,Paramètres!$A$1:$I$89,3,0)*VLOOKUP('Données projet'!$B$11,Paramètres!$A$1:$I$89,5,0)</f>
        <v>248.03999999999994</v>
      </c>
      <c r="BF123" s="14">
        <f t="shared" si="91"/>
        <v>60.166044284441391</v>
      </c>
      <c r="BG123" s="22">
        <f t="shared" si="61"/>
        <v>536.79219379540189</v>
      </c>
      <c r="BH123" s="62">
        <f t="shared" si="62"/>
        <v>830.12552712873526</v>
      </c>
      <c r="BI123" s="62">
        <f ca="1">AVERAGE(OFFSET($BH$3,0,0,'Données projet'!$E$11+1,1))-AVERAGE(OFFSET($H$3,0,0,'Données projet'!$E$11+1,1))</f>
        <v>256.45505140629194</v>
      </c>
      <c r="BJ123" s="62">
        <f t="shared" si="92"/>
        <v>219.6985760545686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28.517556222872628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28.517556222872628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-1.1368683772161603E-13</v>
      </c>
      <c r="BZ123" s="14">
        <f>BY123*VLOOKUP('Données projet'!$B$12,Paramètres!$A$1:$I$89,3,0)*VLOOKUP('Données projet'!$B$12,Paramètres!$A$1:$I$89,5,0)</f>
        <v>-6.7984728957526396E-14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279.69031306919914</v>
      </c>
      <c r="CE123" s="62">
        <f t="shared" si="94"/>
        <v>297.01680128882509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60.760356281312077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4.1464014863290696E-7</v>
      </c>
      <c r="CN123" s="24">
        <f t="shared" si="66"/>
        <v>60.760356695952225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2">
        <f t="shared" si="86"/>
        <v>18.69324238096624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70">
        <f t="shared" si="56"/>
        <v>440.95568048018276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-2.2737367544323206E-13</v>
      </c>
      <c r="O124" s="14">
        <f>N124*VLOOKUP('Données projet'!$B$9,Paramètres!$A$1:$I$89,3,0)*VLOOKUP('Données projet'!$B$9,Paramètres!$A$1:$I$89,5,0)</f>
        <v>-1.2710188457276673E-13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378.17323480030268</v>
      </c>
      <c r="T124" s="62">
        <f t="shared" si="88"/>
        <v>471.89239871617241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91.226893658347933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2.8458021610404866E-8</v>
      </c>
      <c r="AC124" s="24">
        <f t="shared" si="57"/>
        <v>91.226893686805951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2.2737367544323206E-13</v>
      </c>
      <c r="AJ124" s="14">
        <f>AI124*VLOOKUP('Données projet'!$B$10,Paramètres!$A$1:$I$89,3,0)*VLOOKUP('Données projet'!$B$10,Paramètres!$A$1:$I$89,5,0)</f>
        <v>1.8444552551954985E-13</v>
      </c>
      <c r="AK124" s="14">
        <f t="shared" si="89"/>
        <v>2.580317449479618E-12</v>
      </c>
      <c r="AL124" s="22">
        <f t="shared" si="58"/>
        <v>4.8152955147902165E-12</v>
      </c>
      <c r="AM124" s="62">
        <f t="shared" si="59"/>
        <v>293.33333333333815</v>
      </c>
      <c r="AN124" s="62">
        <f ca="1">AVERAGE(OFFSET($AM$3,0,0,'Données projet'!$E$10+1,1))-AVERAGE(OFFSET($H$3,0,0,'Données projet'!$E$10+1,1))</f>
        <v>199.44889029107367</v>
      </c>
      <c r="AO124" s="62">
        <f t="shared" si="90"/>
        <v>292.30544856287457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24.832541095642984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24.832541095642984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529.99999999999989</v>
      </c>
      <c r="BE124" s="14">
        <f>BD124*VLOOKUP('Données projet'!$B$11,Paramètres!$A$1:$I$89,3,0)*VLOOKUP('Données projet'!$B$11,Paramètres!$A$1:$I$89,5,0)</f>
        <v>248.03999999999994</v>
      </c>
      <c r="BF124" s="14">
        <f t="shared" si="91"/>
        <v>60.166044284441391</v>
      </c>
      <c r="BG124" s="22">
        <f t="shared" si="61"/>
        <v>536.79219379540189</v>
      </c>
      <c r="BH124" s="62">
        <f t="shared" si="62"/>
        <v>830.12552712873526</v>
      </c>
      <c r="BI124" s="62">
        <f ca="1">AVERAGE(OFFSET($BH$3,0,0,'Données projet'!$E$11+1,1))-AVERAGE(OFFSET($H$3,0,0,'Données projet'!$E$11+1,1))</f>
        <v>256.45505140629194</v>
      </c>
      <c r="BJ124" s="62">
        <f t="shared" si="92"/>
        <v>219.6985760545686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27.958344339333877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27.958344339333877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-1.1368683772161603E-13</v>
      </c>
      <c r="BZ124" s="14">
        <f>BY124*VLOOKUP('Données projet'!$B$12,Paramètres!$A$1:$I$89,3,0)*VLOOKUP('Données projet'!$B$12,Paramètres!$A$1:$I$89,5,0)</f>
        <v>-6.7984728957526396E-14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279.69031306919914</v>
      </c>
      <c r="CE124" s="62">
        <f t="shared" si="94"/>
        <v>297.01680128882509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59.568882754793492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2.9319486085052648E-7</v>
      </c>
      <c r="CN124" s="24">
        <f t="shared" si="66"/>
        <v>59.568883047988351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2">
        <f t="shared" si="86"/>
        <v>18.829683939536395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70">
        <f t="shared" si="56"/>
        <v>442.14426619469248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-2.2737367544323206E-13</v>
      </c>
      <c r="O125" s="14">
        <f>N125*VLOOKUP('Données projet'!$B$9,Paramètres!$A$1:$I$89,3,0)*VLOOKUP('Données projet'!$B$9,Paramètres!$A$1:$I$89,5,0)</f>
        <v>-1.2710188457276673E-13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378.17323480030268</v>
      </c>
      <c r="T125" s="62">
        <f t="shared" si="88"/>
        <v>471.89239871617241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89.437989916618577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2.0122860059870594E-8</v>
      </c>
      <c r="AC125" s="24">
        <f t="shared" si="57"/>
        <v>89.437989936741431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2.2737367544323206E-13</v>
      </c>
      <c r="AJ125" s="14">
        <f>AI125*VLOOKUP('Données projet'!$B$10,Paramètres!$A$1:$I$89,3,0)*VLOOKUP('Données projet'!$B$10,Paramètres!$A$1:$I$89,5,0)</f>
        <v>1.8444552551954985E-13</v>
      </c>
      <c r="AK125" s="14">
        <f t="shared" si="89"/>
        <v>2.580317449479618E-12</v>
      </c>
      <c r="AL125" s="22">
        <f t="shared" si="58"/>
        <v>4.8152955147902165E-12</v>
      </c>
      <c r="AM125" s="62">
        <f t="shared" si="59"/>
        <v>293.33333333333815</v>
      </c>
      <c r="AN125" s="62">
        <f ca="1">AVERAGE(OFFSET($AM$3,0,0,'Données projet'!$E$10+1,1))-AVERAGE(OFFSET($H$3,0,0,'Données projet'!$E$10+1,1))</f>
        <v>199.44889029107367</v>
      </c>
      <c r="AO125" s="62">
        <f t="shared" si="90"/>
        <v>292.30544856287457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24.345590111111914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24.345590111111914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529.99999999999989</v>
      </c>
      <c r="BE125" s="14">
        <f>BD125*VLOOKUP('Données projet'!$B$11,Paramètres!$A$1:$I$89,3,0)*VLOOKUP('Données projet'!$B$11,Paramètres!$A$1:$I$89,5,0)</f>
        <v>248.03999999999994</v>
      </c>
      <c r="BF125" s="14">
        <f t="shared" si="91"/>
        <v>60.166044284441391</v>
      </c>
      <c r="BG125" s="22">
        <f t="shared" si="61"/>
        <v>536.79219379540189</v>
      </c>
      <c r="BH125" s="62">
        <f t="shared" si="62"/>
        <v>830.12552712873526</v>
      </c>
      <c r="BI125" s="62">
        <f ca="1">AVERAGE(OFFSET($BH$3,0,0,'Données projet'!$E$11+1,1))-AVERAGE(OFFSET($H$3,0,0,'Données projet'!$E$11+1,1))</f>
        <v>256.45505140629194</v>
      </c>
      <c r="BJ125" s="62">
        <f t="shared" si="92"/>
        <v>219.6985760545686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27.410098259745752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27.410098259745752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-1.1368683772161603E-13</v>
      </c>
      <c r="BZ125" s="14">
        <f>BY125*VLOOKUP('Données projet'!$B$12,Paramètres!$A$1:$I$89,3,0)*VLOOKUP('Données projet'!$B$12,Paramètres!$A$1:$I$89,5,0)</f>
        <v>-6.7984728957526396E-14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279.69031306919914</v>
      </c>
      <c r="CE125" s="62">
        <f t="shared" si="94"/>
        <v>297.01680128882509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58.400773297402843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2.0732007431645348E-7</v>
      </c>
      <c r="CN125" s="24">
        <f t="shared" si="66"/>
        <v>58.40077350472292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2">
        <f t="shared" si="86"/>
        <v>18.965995379979955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70">
        <f t="shared" si="56"/>
        <v>443.33262528679836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-2.2737367544323206E-13</v>
      </c>
      <c r="O126" s="14">
        <f>N126*VLOOKUP('Données projet'!$B$9,Paramètres!$A$1:$I$89,3,0)*VLOOKUP('Données projet'!$B$9,Paramètres!$A$1:$I$89,5,0)</f>
        <v>-1.2710188457276673E-13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378.17323480030268</v>
      </c>
      <c r="T126" s="62">
        <f t="shared" si="88"/>
        <v>471.89239871617241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87.684165486140998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1.4229010805202433E-8</v>
      </c>
      <c r="AC126" s="24">
        <f t="shared" si="57"/>
        <v>87.684165500370014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2.2737367544323206E-13</v>
      </c>
      <c r="AJ126" s="14">
        <f>AI126*VLOOKUP('Données projet'!$B$10,Paramètres!$A$1:$I$89,3,0)*VLOOKUP('Données projet'!$B$10,Paramètres!$A$1:$I$89,5,0)</f>
        <v>1.8444552551954985E-13</v>
      </c>
      <c r="AK126" s="14">
        <f t="shared" si="89"/>
        <v>2.580317449479618E-12</v>
      </c>
      <c r="AL126" s="22">
        <f t="shared" si="58"/>
        <v>4.8152955147902165E-12</v>
      </c>
      <c r="AM126" s="62">
        <f t="shared" si="59"/>
        <v>293.33333333333815</v>
      </c>
      <c r="AN126" s="62">
        <f ca="1">AVERAGE(OFFSET($AM$3,0,0,'Données projet'!$E$10+1,1))-AVERAGE(OFFSET($H$3,0,0,'Données projet'!$E$10+1,1))</f>
        <v>199.44889029107367</v>
      </c>
      <c r="AO126" s="62">
        <f t="shared" si="90"/>
        <v>292.30544856287457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23.868187938376725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23.868187938376725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529.99999999999989</v>
      </c>
      <c r="BE126" s="14">
        <f>BD126*VLOOKUP('Données projet'!$B$11,Paramètres!$A$1:$I$89,3,0)*VLOOKUP('Données projet'!$B$11,Paramètres!$A$1:$I$89,5,0)</f>
        <v>248.03999999999994</v>
      </c>
      <c r="BF126" s="14">
        <f t="shared" si="91"/>
        <v>60.166044284441391</v>
      </c>
      <c r="BG126" s="22">
        <f t="shared" si="61"/>
        <v>536.79219379540189</v>
      </c>
      <c r="BH126" s="62">
        <f t="shared" si="62"/>
        <v>830.12552712873526</v>
      </c>
      <c r="BI126" s="62">
        <f ca="1">AVERAGE(OFFSET($BH$3,0,0,'Données projet'!$E$11+1,1))-AVERAGE(OFFSET($H$3,0,0,'Données projet'!$E$11+1,1))</f>
        <v>256.45505140629194</v>
      </c>
      <c r="BJ126" s="62">
        <f t="shared" si="92"/>
        <v>219.6985760545686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26.872602951381261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26.872602951381261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-1.1368683772161603E-13</v>
      </c>
      <c r="BZ126" s="14">
        <f>BY126*VLOOKUP('Données projet'!$B$12,Paramètres!$A$1:$I$89,3,0)*VLOOKUP('Données projet'!$B$12,Paramètres!$A$1:$I$89,5,0)</f>
        <v>-6.7984728957526396E-14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279.69031306919914</v>
      </c>
      <c r="CE126" s="62">
        <f t="shared" si="94"/>
        <v>297.01680128882509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57.255569753995211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1.4659743042526324E-7</v>
      </c>
      <c r="CN126" s="24">
        <f t="shared" si="66"/>
        <v>57.25556990059264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2">
        <f t="shared" si="86"/>
        <v>19.102177882771514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70">
        <f t="shared" si="56"/>
        <v>444.52075981249368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-2.2737367544323206E-13</v>
      </c>
      <c r="O127" s="14">
        <f>N127*VLOOKUP('Données projet'!$B$9,Paramètres!$A$1:$I$89,3,0)*VLOOKUP('Données projet'!$B$9,Paramètres!$A$1:$I$89,5,0)</f>
        <v>-1.2710188457276673E-13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378.17323480030268</v>
      </c>
      <c r="T127" s="62">
        <f t="shared" si="88"/>
        <v>471.89239871617241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85.964732483017798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1.0061430029935297E-8</v>
      </c>
      <c r="AC127" s="24">
        <f t="shared" si="57"/>
        <v>85.964732493079225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2.2737367544323206E-13</v>
      </c>
      <c r="AJ127" s="14">
        <f>AI127*VLOOKUP('Données projet'!$B$10,Paramètres!$A$1:$I$89,3,0)*VLOOKUP('Données projet'!$B$10,Paramètres!$A$1:$I$89,5,0)</f>
        <v>1.8444552551954985E-13</v>
      </c>
      <c r="AK127" s="14">
        <f t="shared" si="89"/>
        <v>2.580317449479618E-12</v>
      </c>
      <c r="AL127" s="22">
        <f t="shared" si="58"/>
        <v>4.8152955147902165E-12</v>
      </c>
      <c r="AM127" s="62">
        <f t="shared" si="59"/>
        <v>293.33333333333815</v>
      </c>
      <c r="AN127" s="62">
        <f ca="1">AVERAGE(OFFSET($AM$3,0,0,'Données projet'!$E$10+1,1))-AVERAGE(OFFSET($H$3,0,0,'Données projet'!$E$10+1,1))</f>
        <v>199.44889029107367</v>
      </c>
      <c r="AO127" s="62">
        <f t="shared" si="90"/>
        <v>292.30544856287457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23.4001473310623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23.4001473310623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529.99999999999989</v>
      </c>
      <c r="BE127" s="14">
        <f>BD127*VLOOKUP('Données projet'!$B$11,Paramètres!$A$1:$I$89,3,0)*VLOOKUP('Données projet'!$B$11,Paramètres!$A$1:$I$89,5,0)</f>
        <v>248.03999999999994</v>
      </c>
      <c r="BF127" s="14">
        <f t="shared" si="91"/>
        <v>60.166044284441391</v>
      </c>
      <c r="BG127" s="22">
        <f t="shared" si="61"/>
        <v>536.79219379540189</v>
      </c>
      <c r="BH127" s="62">
        <f t="shared" si="62"/>
        <v>830.12552712873526</v>
      </c>
      <c r="BI127" s="62">
        <f ca="1">AVERAGE(OFFSET($BH$3,0,0,'Données projet'!$E$11+1,1))-AVERAGE(OFFSET($H$3,0,0,'Données projet'!$E$11+1,1))</f>
        <v>256.45505140629194</v>
      </c>
      <c r="BJ127" s="62">
        <f t="shared" si="92"/>
        <v>219.6985760545686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26.345647598174029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26.345647598174029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-1.1368683772161603E-13</v>
      </c>
      <c r="BZ127" s="14">
        <f>BY127*VLOOKUP('Données projet'!$B$12,Paramètres!$A$1:$I$89,3,0)*VLOOKUP('Données projet'!$B$12,Paramètres!$A$1:$I$89,5,0)</f>
        <v>-6.7984728957526396E-14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279.69031306919914</v>
      </c>
      <c r="CE127" s="62">
        <f t="shared" si="94"/>
        <v>297.01680128882509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56.132822953568606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1.0366003715822674E-7</v>
      </c>
      <c r="CN127" s="24">
        <f t="shared" si="66"/>
        <v>56.132823057228642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2">
        <f t="shared" si="86"/>
        <v>19.238232608246435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70">
        <f t="shared" si="56"/>
        <v>445.70867179269578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-2.2737367544323206E-13</v>
      </c>
      <c r="O128" s="14">
        <f>N128*VLOOKUP('Données projet'!$B$9,Paramètres!$A$1:$I$89,3,0)*VLOOKUP('Données projet'!$B$9,Paramètres!$A$1:$I$89,5,0)</f>
        <v>-1.2710188457276673E-13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378.17323480030268</v>
      </c>
      <c r="T128" s="62">
        <f t="shared" si="88"/>
        <v>471.89239871617241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84.279016512335275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7.1145054026012165E-9</v>
      </c>
      <c r="AC128" s="24">
        <f t="shared" si="57"/>
        <v>84.279016519449783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2.2737367544323206E-13</v>
      </c>
      <c r="AJ128" s="14">
        <f>AI128*VLOOKUP('Données projet'!$B$10,Paramètres!$A$1:$I$89,3,0)*VLOOKUP('Données projet'!$B$10,Paramètres!$A$1:$I$89,5,0)</f>
        <v>1.8444552551954985E-13</v>
      </c>
      <c r="AK128" s="14">
        <f t="shared" si="89"/>
        <v>2.580317449479618E-12</v>
      </c>
      <c r="AL128" s="22">
        <f t="shared" si="58"/>
        <v>4.8152955147902165E-12</v>
      </c>
      <c r="AM128" s="62">
        <f t="shared" si="59"/>
        <v>293.33333333333815</v>
      </c>
      <c r="AN128" s="62">
        <f ca="1">AVERAGE(OFFSET($AM$3,0,0,'Données projet'!$E$10+1,1))-AVERAGE(OFFSET($H$3,0,0,'Données projet'!$E$10+1,1))</f>
        <v>199.44889029107367</v>
      </c>
      <c r="AO128" s="62">
        <f t="shared" si="90"/>
        <v>292.30544856287457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22.941284714580728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22.941284714580728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529.99999999999989</v>
      </c>
      <c r="BE128" s="14">
        <f>BD128*VLOOKUP('Données projet'!$B$11,Paramètres!$A$1:$I$89,3,0)*VLOOKUP('Données projet'!$B$11,Paramètres!$A$1:$I$89,5,0)</f>
        <v>248.03999999999994</v>
      </c>
      <c r="BF128" s="14">
        <f t="shared" si="91"/>
        <v>60.166044284441391</v>
      </c>
      <c r="BG128" s="22">
        <f t="shared" si="61"/>
        <v>536.79219379540189</v>
      </c>
      <c r="BH128" s="62">
        <f t="shared" si="62"/>
        <v>830.12552712873526</v>
      </c>
      <c r="BI128" s="62">
        <f ca="1">AVERAGE(OFFSET($BH$3,0,0,'Données projet'!$E$11+1,1))-AVERAGE(OFFSET($H$3,0,0,'Données projet'!$E$11+1,1))</f>
        <v>256.45505140629194</v>
      </c>
      <c r="BJ128" s="62">
        <f t="shared" si="92"/>
        <v>219.6985760545686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25.829025518032164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25.829025518032164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-1.1368683772161603E-13</v>
      </c>
      <c r="BZ128" s="14">
        <f>BY128*VLOOKUP('Données projet'!$B$12,Paramètres!$A$1:$I$89,3,0)*VLOOKUP('Données projet'!$B$12,Paramètres!$A$1:$I$89,5,0)</f>
        <v>-6.7984728957526396E-14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279.69031306919914</v>
      </c>
      <c r="CE128" s="62">
        <f t="shared" si="94"/>
        <v>297.01680128882509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55.032092533090442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7.3298715212631619E-8</v>
      </c>
      <c r="CN128" s="24">
        <f t="shared" si="66"/>
        <v>55.032092606389156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2">
        <f t="shared" si="86"/>
        <v>19.374160697102734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70">
        <f t="shared" si="56"/>
        <v>446.89636321412058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-2.2737367544323206E-13</v>
      </c>
      <c r="O129" s="14">
        <f>N129*VLOOKUP('Données projet'!$B$9,Paramètres!$A$1:$I$89,3,0)*VLOOKUP('Données projet'!$B$9,Paramètres!$A$1:$I$89,5,0)</f>
        <v>-1.2710188457276673E-13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378.17323480030268</v>
      </c>
      <c r="T129" s="62">
        <f t="shared" si="88"/>
        <v>471.89239871617241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82.626356403652622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5.0307150149676486E-9</v>
      </c>
      <c r="AC129" s="24">
        <f t="shared" si="57"/>
        <v>82.626356408683336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2.2737367544323206E-13</v>
      </c>
      <c r="AJ129" s="14">
        <f>AI129*VLOOKUP('Données projet'!$B$10,Paramètres!$A$1:$I$89,3,0)*VLOOKUP('Données projet'!$B$10,Paramètres!$A$1:$I$89,5,0)</f>
        <v>1.8444552551954985E-13</v>
      </c>
      <c r="AK129" s="14">
        <f t="shared" si="89"/>
        <v>2.580317449479618E-12</v>
      </c>
      <c r="AL129" s="22">
        <f t="shared" si="58"/>
        <v>4.8152955147902165E-12</v>
      </c>
      <c r="AM129" s="62">
        <f t="shared" si="59"/>
        <v>293.33333333333815</v>
      </c>
      <c r="AN129" s="62">
        <f ca="1">AVERAGE(OFFSET($AM$3,0,0,'Données projet'!$E$10+1,1))-AVERAGE(OFFSET($H$3,0,0,'Données projet'!$E$10+1,1))</f>
        <v>199.44889029107367</v>
      </c>
      <c r="AO129" s="62">
        <f t="shared" si="90"/>
        <v>292.30544856287457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22.491420114129802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22.491420114129802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529.99999999999989</v>
      </c>
      <c r="BE129" s="14">
        <f>BD129*VLOOKUP('Données projet'!$B$11,Paramètres!$A$1:$I$89,3,0)*VLOOKUP('Données projet'!$B$11,Paramètres!$A$1:$I$89,5,0)</f>
        <v>248.03999999999994</v>
      </c>
      <c r="BF129" s="14">
        <f t="shared" si="91"/>
        <v>60.166044284441391</v>
      </c>
      <c r="BG129" s="22">
        <f t="shared" si="61"/>
        <v>536.79219379540189</v>
      </c>
      <c r="BH129" s="62">
        <f t="shared" si="62"/>
        <v>830.12552712873526</v>
      </c>
      <c r="BI129" s="62">
        <f ca="1">AVERAGE(OFFSET($BH$3,0,0,'Données projet'!$E$11+1,1))-AVERAGE(OFFSET($H$3,0,0,'Données projet'!$E$11+1,1))</f>
        <v>256.45505140629194</v>
      </c>
      <c r="BJ129" s="62">
        <f t="shared" si="92"/>
        <v>219.6985760545686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25.322534081773526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25.322534081773526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-1.1368683772161603E-13</v>
      </c>
      <c r="BZ129" s="14">
        <f>BY129*VLOOKUP('Données projet'!$B$12,Paramètres!$A$1:$I$89,3,0)*VLOOKUP('Données projet'!$B$12,Paramètres!$A$1:$I$89,5,0)</f>
        <v>-6.7984728957526396E-14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279.69031306919914</v>
      </c>
      <c r="CE129" s="62">
        <f t="shared" si="94"/>
        <v>297.01680128882509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53.952946764778588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5.1830018579113369E-8</v>
      </c>
      <c r="CN129" s="24">
        <f t="shared" si="66"/>
        <v>53.952946816608609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2">
        <f t="shared" si="86"/>
        <v>19.509963270886551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70">
        <f t="shared" si="56"/>
        <v>448.08383603012737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-2.2737367544323206E-13</v>
      </c>
      <c r="O130" s="14">
        <f>N130*VLOOKUP('Données projet'!$B$9,Paramètres!$A$1:$I$89,3,0)*VLOOKUP('Données projet'!$B$9,Paramètres!$A$1:$I$89,5,0)</f>
        <v>-1.2710188457276673E-13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378.17323480030268</v>
      </c>
      <c r="T130" s="62">
        <f t="shared" si="88"/>
        <v>471.89239871617241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81.006103951678099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3.5572527013006083E-9</v>
      </c>
      <c r="AC130" s="24">
        <f t="shared" si="57"/>
        <v>81.006103955235346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2.2737367544323206E-13</v>
      </c>
      <c r="AJ130" s="14">
        <f>AI130*VLOOKUP('Données projet'!$B$10,Paramètres!$A$1:$I$89,3,0)*VLOOKUP('Données projet'!$B$10,Paramètres!$A$1:$I$89,5,0)</f>
        <v>1.8444552551954985E-13</v>
      </c>
      <c r="AK130" s="14">
        <f t="shared" si="89"/>
        <v>2.580317449479618E-12</v>
      </c>
      <c r="AL130" s="22">
        <f t="shared" si="58"/>
        <v>4.8152955147902165E-12</v>
      </c>
      <c r="AM130" s="62">
        <f t="shared" si="59"/>
        <v>293.33333333333815</v>
      </c>
      <c r="AN130" s="62">
        <f ca="1">AVERAGE(OFFSET($AM$3,0,0,'Données projet'!$E$10+1,1))-AVERAGE(OFFSET($H$3,0,0,'Données projet'!$E$10+1,1))</f>
        <v>199.44889029107367</v>
      </c>
      <c r="AO130" s="62">
        <f t="shared" si="90"/>
        <v>292.30544856287457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22.050377084103406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22.050377084103406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529.99999999999989</v>
      </c>
      <c r="BE130" s="14">
        <f>BD130*VLOOKUP('Données projet'!$B$11,Paramètres!$A$1:$I$89,3,0)*VLOOKUP('Données projet'!$B$11,Paramètres!$A$1:$I$89,5,0)</f>
        <v>248.03999999999994</v>
      </c>
      <c r="BF130" s="14">
        <f t="shared" si="91"/>
        <v>60.166044284441391</v>
      </c>
      <c r="BG130" s="22">
        <f t="shared" si="61"/>
        <v>536.79219379540189</v>
      </c>
      <c r="BH130" s="62">
        <f t="shared" si="62"/>
        <v>830.12552712873526</v>
      </c>
      <c r="BI130" s="62">
        <f ca="1">AVERAGE(OFFSET($BH$3,0,0,'Données projet'!$E$11+1,1))-AVERAGE(OFFSET($H$3,0,0,'Données projet'!$E$11+1,1))</f>
        <v>256.45505140629194</v>
      </c>
      <c r="BJ130" s="62">
        <f t="shared" si="92"/>
        <v>219.6985760545686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24.825974633650649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24.825974633650649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-1.1368683772161603E-13</v>
      </c>
      <c r="BZ130" s="14">
        <f>BY130*VLOOKUP('Données projet'!$B$12,Paramètres!$A$1:$I$89,3,0)*VLOOKUP('Données projet'!$B$12,Paramètres!$A$1:$I$89,5,0)</f>
        <v>-6.7984728957526396E-14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279.69031306919914</v>
      </c>
      <c r="CE130" s="62">
        <f t="shared" si="94"/>
        <v>297.01680128882509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52.894962386769407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3.664935760631581E-8</v>
      </c>
      <c r="CN130" s="24">
        <f t="shared" si="66"/>
        <v>52.894962423418768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2">
        <f t="shared" si="86"/>
        <v>19.645641432461961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70">
        <f t="shared" si="56"/>
        <v>449.27109216153792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-2.2737367544323206E-13</v>
      </c>
      <c r="O131" s="14">
        <f>N131*VLOOKUP('Données projet'!$B$9,Paramètres!$A$1:$I$89,3,0)*VLOOKUP('Données projet'!$B$9,Paramètres!$A$1:$I$89,5,0)</f>
        <v>-1.2710188457276673E-13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378.17323480030268</v>
      </c>
      <c r="T131" s="62">
        <f t="shared" si="88"/>
        <v>471.89239871617241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79.41762366203038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2.5153575074838243E-9</v>
      </c>
      <c r="AC131" s="24">
        <f t="shared" si="57"/>
        <v>79.417623664545744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2.2737367544323206E-13</v>
      </c>
      <c r="AJ131" s="14">
        <f>AI131*VLOOKUP('Données projet'!$B$10,Paramètres!$A$1:$I$89,3,0)*VLOOKUP('Données projet'!$B$10,Paramètres!$A$1:$I$89,5,0)</f>
        <v>1.8444552551954985E-13</v>
      </c>
      <c r="AK131" s="14">
        <f t="shared" si="89"/>
        <v>2.580317449479618E-12</v>
      </c>
      <c r="AL131" s="22">
        <f t="shared" si="58"/>
        <v>4.8152955147902165E-12</v>
      </c>
      <c r="AM131" s="62">
        <f t="shared" si="59"/>
        <v>293.33333333333815</v>
      </c>
      <c r="AN131" s="62">
        <f ca="1">AVERAGE(OFFSET($AM$3,0,0,'Données projet'!$E$10+1,1))-AVERAGE(OFFSET($H$3,0,0,'Données projet'!$E$10+1,1))</f>
        <v>199.44889029107367</v>
      </c>
      <c r="AO131" s="62">
        <f t="shared" si="90"/>
        <v>292.30544856287457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21.61798263888614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21.61798263888614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529.99999999999989</v>
      </c>
      <c r="BE131" s="14">
        <f>BD131*VLOOKUP('Données projet'!$B$11,Paramètres!$A$1:$I$89,3,0)*VLOOKUP('Données projet'!$B$11,Paramètres!$A$1:$I$89,5,0)</f>
        <v>248.03999999999994</v>
      </c>
      <c r="BF131" s="14">
        <f t="shared" si="91"/>
        <v>60.166044284441391</v>
      </c>
      <c r="BG131" s="22">
        <f t="shared" si="61"/>
        <v>536.79219379540189</v>
      </c>
      <c r="BH131" s="62">
        <f t="shared" si="62"/>
        <v>830.12552712873526</v>
      </c>
      <c r="BI131" s="62">
        <f ca="1">AVERAGE(OFFSET($BH$3,0,0,'Données projet'!$E$11+1,1))-AVERAGE(OFFSET($H$3,0,0,'Données projet'!$E$11+1,1))</f>
        <v>256.45505140629194</v>
      </c>
      <c r="BJ131" s="62">
        <f t="shared" si="92"/>
        <v>219.6985760545686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24.339152413434103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24.339152413434103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-1.1368683772161603E-13</v>
      </c>
      <c r="BZ131" s="14">
        <f>BY131*VLOOKUP('Données projet'!$B$12,Paramètres!$A$1:$I$89,3,0)*VLOOKUP('Données projet'!$B$12,Paramètres!$A$1:$I$89,5,0)</f>
        <v>-6.7984728957526396E-14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279.69031306919914</v>
      </c>
      <c r="CE131" s="62">
        <f t="shared" si="94"/>
        <v>297.01680128882509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51.857724437106235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2.5915009289556685E-8</v>
      </c>
      <c r="CN131" s="24">
        <f t="shared" si="66"/>
        <v>51.857724463021242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2">
        <f t="shared" si="86"/>
        <v>19.78119626646561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70">
        <f t="shared" ref="H132:H195" si="110">(B132+E132+F132)*44/12+(C132+D132)*0.475*44/12</f>
        <v>450.45813349742764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-2.2737367544323206E-13</v>
      </c>
      <c r="O132" s="14">
        <f>N132*VLOOKUP('Données projet'!$B$9,Paramètres!$A$1:$I$89,3,0)*VLOOKUP('Données projet'!$B$9,Paramètres!$A$1:$I$89,5,0)</f>
        <v>-1.2710188457276673E-13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378.17323480030268</v>
      </c>
      <c r="T132" s="62">
        <f t="shared" si="88"/>
        <v>471.89239871617241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77.860292501985342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1.7786263506503041E-9</v>
      </c>
      <c r="AC132" s="24">
        <f t="shared" ref="AC132:AC153" si="111">SUM(Z132:AB132)</f>
        <v>77.860292503763972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2.2737367544323206E-13</v>
      </c>
      <c r="AJ132" s="14">
        <f>AI132*VLOOKUP('Données projet'!$B$10,Paramètres!$A$1:$I$89,3,0)*VLOOKUP('Données projet'!$B$10,Paramètres!$A$1:$I$89,5,0)</f>
        <v>1.8444552551954985E-13</v>
      </c>
      <c r="AK132" s="14">
        <f t="shared" si="89"/>
        <v>2.580317449479618E-12</v>
      </c>
      <c r="AL132" s="22">
        <f t="shared" ref="AL132:AL153" si="112">(AJ132+AK132)*0.475*44/12</f>
        <v>4.8152955147902165E-12</v>
      </c>
      <c r="AM132" s="62">
        <f t="shared" ref="AM132:AM195" si="113">AL132+(AD132+AE132)*44/12</f>
        <v>293.33333333333815</v>
      </c>
      <c r="AN132" s="62">
        <f ca="1">AVERAGE(OFFSET($AM$3,0,0,'Données projet'!$E$10+1,1))-AVERAGE(OFFSET($H$3,0,0,'Données projet'!$E$10+1,1))</f>
        <v>199.44889029107367</v>
      </c>
      <c r="AO132" s="62">
        <f t="shared" si="90"/>
        <v>292.30544856287457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21.194067185005014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21.194067185005014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529.99999999999989</v>
      </c>
      <c r="BE132" s="14">
        <f>BD132*VLOOKUP('Données projet'!$B$11,Paramètres!$A$1:$I$89,3,0)*VLOOKUP('Données projet'!$B$11,Paramètres!$A$1:$I$89,5,0)</f>
        <v>248.03999999999994</v>
      </c>
      <c r="BF132" s="14">
        <f t="shared" si="91"/>
        <v>60.166044284441391</v>
      </c>
      <c r="BG132" s="22">
        <f t="shared" ref="BG132:BG153" si="115">(BE132+BF132)*0.475*44/12</f>
        <v>536.79219379540189</v>
      </c>
      <c r="BH132" s="62">
        <f t="shared" ref="BH132:BH195" si="116">BG132+(AY132+AZ132)*44/12</f>
        <v>830.12552712873526</v>
      </c>
      <c r="BI132" s="62">
        <f ca="1">AVERAGE(OFFSET($BH$3,0,0,'Données projet'!$E$11+1,1))-AVERAGE(OFFSET($H$3,0,0,'Données projet'!$E$11+1,1))</f>
        <v>256.45505140629194</v>
      </c>
      <c r="BJ132" s="62">
        <f t="shared" si="92"/>
        <v>219.6985760545686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23.861876480023771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23.861876480023771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-1.1368683772161603E-13</v>
      </c>
      <c r="BZ132" s="14">
        <f>BY132*VLOOKUP('Données projet'!$B$12,Paramètres!$A$1:$I$89,3,0)*VLOOKUP('Données projet'!$B$12,Paramètres!$A$1:$I$89,5,0)</f>
        <v>-6.7984728957526396E-14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279.69031306919914</v>
      </c>
      <c r="CE132" s="62">
        <f t="shared" si="94"/>
        <v>297.01680128882509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50.840826090983278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1.8324678803157905E-8</v>
      </c>
      <c r="CN132" s="24">
        <f t="shared" ref="CN132:CN153" si="120">SUM(CK132:CM132)</f>
        <v>50.840826109307955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2">
        <f t="shared" ref="D133:D196" si="140">IFERROR(EXP(-1.0587+0.8836*LN(C133)+0.284),0)</f>
        <v>19.916628839746853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70">
        <f t="shared" si="110"/>
        <v>451.64496189589244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-2.2737367544323206E-13</v>
      </c>
      <c r="O133" s="14">
        <f>N133*VLOOKUP('Données projet'!$B$9,Paramètres!$A$1:$I$89,3,0)*VLOOKUP('Données projet'!$B$9,Paramètres!$A$1:$I$89,5,0)</f>
        <v>-1.2710188457276673E-13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378.17323480030268</v>
      </c>
      <c r="T133" s="62">
        <f t="shared" ref="T133:T196" si="142">$T$3</f>
        <v>471.89239871617241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76.333499656110575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1.2576787537419121E-9</v>
      </c>
      <c r="AC133" s="24">
        <f t="shared" si="111"/>
        <v>76.33349965736825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2.2737367544323206E-13</v>
      </c>
      <c r="AJ133" s="14">
        <f>AI133*VLOOKUP('Données projet'!$B$10,Paramètres!$A$1:$I$89,3,0)*VLOOKUP('Données projet'!$B$10,Paramètres!$A$1:$I$89,5,0)</f>
        <v>1.8444552551954985E-13</v>
      </c>
      <c r="AK133" s="14">
        <f t="shared" ref="AK133:AK153" si="143">EXP(-1.0587+0.8836*LN(AJ133)+0.284)</f>
        <v>2.580317449479618E-12</v>
      </c>
      <c r="AL133" s="22">
        <f t="shared" si="112"/>
        <v>4.8152955147902165E-12</v>
      </c>
      <c r="AM133" s="62">
        <f t="shared" si="113"/>
        <v>293.33333333333815</v>
      </c>
      <c r="AN133" s="62">
        <f ca="1">AVERAGE(OFFSET($AM$3,0,0,'Données projet'!$E$10+1,1))-AVERAGE(OFFSET($H$3,0,0,'Données projet'!$E$10+1,1))</f>
        <v>199.44889029107367</v>
      </c>
      <c r="AO133" s="62">
        <f t="shared" ref="AO133:AO196" si="144">$AO$3</f>
        <v>292.30544856287457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20.778464454611605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20.778464454611605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529.99999999999989</v>
      </c>
      <c r="BE133" s="14">
        <f>BD133*VLOOKUP('Données projet'!$B$11,Paramètres!$A$1:$I$89,3,0)*VLOOKUP('Données projet'!$B$11,Paramètres!$A$1:$I$89,5,0)</f>
        <v>248.03999999999994</v>
      </c>
      <c r="BF133" s="14">
        <f t="shared" ref="BF133:BF153" si="145">EXP(-1.0587+0.8836*LN(BE133)+0.284)</f>
        <v>60.166044284441391</v>
      </c>
      <c r="BG133" s="22">
        <f t="shared" si="115"/>
        <v>536.79219379540189</v>
      </c>
      <c r="BH133" s="62">
        <f t="shared" si="116"/>
        <v>830.12552712873526</v>
      </c>
      <c r="BI133" s="62">
        <f ca="1">AVERAGE(OFFSET($BH$3,0,0,'Données projet'!$E$11+1,1))-AVERAGE(OFFSET($H$3,0,0,'Données projet'!$E$11+1,1))</f>
        <v>256.45505140629194</v>
      </c>
      <c r="BJ133" s="62">
        <f t="shared" ref="BJ133:BJ196" si="146">$BJ$3</f>
        <v>219.6985760545686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23.393959636558037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23.393959636558037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-1.1368683772161603E-13</v>
      </c>
      <c r="BZ133" s="14">
        <f>BY133*VLOOKUP('Données projet'!$B$12,Paramètres!$A$1:$I$89,3,0)*VLOOKUP('Données projet'!$B$12,Paramètres!$A$1:$I$89,5,0)</f>
        <v>-6.7984728957526396E-14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279.69031306919914</v>
      </c>
      <c r="CE133" s="62">
        <f t="shared" ref="CE133:CE196" si="148">$CE$3</f>
        <v>297.01680128882509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49.843868501181042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1.2957504644778342E-8</v>
      </c>
      <c r="CN133" s="24">
        <f t="shared" si="120"/>
        <v>49.843868514138549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2">
        <f t="shared" si="140"/>
        <v>20.051940201794032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70">
        <f t="shared" si="110"/>
        <v>452.83157918479128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-2.2737367544323206E-13</v>
      </c>
      <c r="O134" s="14">
        <f>N134*VLOOKUP('Données projet'!$B$9,Paramètres!$A$1:$I$89,3,0)*VLOOKUP('Données projet'!$B$9,Paramètres!$A$1:$I$89,5,0)</f>
        <v>-1.2710188457276673E-13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378.17323480030268</v>
      </c>
      <c r="T134" s="62">
        <f t="shared" si="142"/>
        <v>471.89239871617241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74.836646286691732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8.8931317532515207E-10</v>
      </c>
      <c r="AC134" s="24">
        <f t="shared" si="111"/>
        <v>74.836646287581047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2.2737367544323206E-13</v>
      </c>
      <c r="AJ134" s="14">
        <f>AI134*VLOOKUP('Données projet'!$B$10,Paramètres!$A$1:$I$89,3,0)*VLOOKUP('Données projet'!$B$10,Paramètres!$A$1:$I$89,5,0)</f>
        <v>1.8444552551954985E-13</v>
      </c>
      <c r="AK134" s="14">
        <f t="shared" si="143"/>
        <v>2.580317449479618E-12</v>
      </c>
      <c r="AL134" s="22">
        <f t="shared" si="112"/>
        <v>4.8152955147902165E-12</v>
      </c>
      <c r="AM134" s="62">
        <f t="shared" si="113"/>
        <v>293.33333333333815</v>
      </c>
      <c r="AN134" s="62">
        <f ca="1">AVERAGE(OFFSET($AM$3,0,0,'Données projet'!$E$10+1,1))-AVERAGE(OFFSET($H$3,0,0,'Données projet'!$E$10+1,1))</f>
        <v>199.44889029107367</v>
      </c>
      <c r="AO134" s="62">
        <f t="shared" si="144"/>
        <v>292.30544856287457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20.371011440268575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20.371011440268575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529.99999999999989</v>
      </c>
      <c r="BE134" s="14">
        <f>BD134*VLOOKUP('Données projet'!$B$11,Paramètres!$A$1:$I$89,3,0)*VLOOKUP('Données projet'!$B$11,Paramètres!$A$1:$I$89,5,0)</f>
        <v>248.03999999999994</v>
      </c>
      <c r="BF134" s="14">
        <f t="shared" si="145"/>
        <v>60.166044284441391</v>
      </c>
      <c r="BG134" s="22">
        <f t="shared" si="115"/>
        <v>536.79219379540189</v>
      </c>
      <c r="BH134" s="62">
        <f t="shared" si="116"/>
        <v>830.12552712873526</v>
      </c>
      <c r="BI134" s="62">
        <f ca="1">AVERAGE(OFFSET($BH$3,0,0,'Données projet'!$E$11+1,1))-AVERAGE(OFFSET($H$3,0,0,'Données projet'!$E$11+1,1))</f>
        <v>256.45505140629194</v>
      </c>
      <c r="BJ134" s="62">
        <f t="shared" si="146"/>
        <v>219.6985760545686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22.935218356991573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22.935218356991573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-1.1368683772161603E-13</v>
      </c>
      <c r="BZ134" s="14">
        <f>BY134*VLOOKUP('Données projet'!$B$12,Paramètres!$A$1:$I$89,3,0)*VLOOKUP('Données projet'!$B$12,Paramètres!$A$1:$I$89,5,0)</f>
        <v>-6.7984728957526396E-14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279.69031306919914</v>
      </c>
      <c r="CE134" s="62">
        <f t="shared" si="148"/>
        <v>297.01680128882509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48.866460641630745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9.1623394015789524E-9</v>
      </c>
      <c r="CN134" s="24">
        <f t="shared" si="120"/>
        <v>48.866460650793087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2">
        <f t="shared" si="140"/>
        <v>20.187131385147271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70">
        <f t="shared" si="110"/>
        <v>454.01798716246486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-2.2737367544323206E-13</v>
      </c>
      <c r="O135" s="14">
        <f>N135*VLOOKUP('Données projet'!$B$9,Paramètres!$A$1:$I$89,3,0)*VLOOKUP('Données projet'!$B$9,Paramètres!$A$1:$I$89,5,0)</f>
        <v>-1.2710188457276673E-13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378.17323480030268</v>
      </c>
      <c r="T135" s="62">
        <f t="shared" si="142"/>
        <v>471.89239871617241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73.369145298856793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6.2883937687095607E-10</v>
      </c>
      <c r="AC135" s="24">
        <f t="shared" si="111"/>
        <v>73.369145299485638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2.2737367544323206E-13</v>
      </c>
      <c r="AJ135" s="14">
        <f>AI135*VLOOKUP('Données projet'!$B$10,Paramètres!$A$1:$I$89,3,0)*VLOOKUP('Données projet'!$B$10,Paramètres!$A$1:$I$89,5,0)</f>
        <v>1.8444552551954985E-13</v>
      </c>
      <c r="AK135" s="14">
        <f t="shared" si="143"/>
        <v>2.580317449479618E-12</v>
      </c>
      <c r="AL135" s="22">
        <f t="shared" si="112"/>
        <v>4.8152955147902165E-12</v>
      </c>
      <c r="AM135" s="62">
        <f t="shared" si="113"/>
        <v>293.33333333333815</v>
      </c>
      <c r="AN135" s="62">
        <f ca="1">AVERAGE(OFFSET($AM$3,0,0,'Données projet'!$E$10+1,1))-AVERAGE(OFFSET($H$3,0,0,'Données projet'!$E$10+1,1))</f>
        <v>199.44889029107367</v>
      </c>
      <c r="AO135" s="62">
        <f t="shared" si="144"/>
        <v>292.30544856287457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19.971548331015011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19.971548331015011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529.99999999999989</v>
      </c>
      <c r="BE135" s="14">
        <f>BD135*VLOOKUP('Données projet'!$B$11,Paramètres!$A$1:$I$89,3,0)*VLOOKUP('Données projet'!$B$11,Paramètres!$A$1:$I$89,5,0)</f>
        <v>248.03999999999994</v>
      </c>
      <c r="BF135" s="14">
        <f t="shared" si="145"/>
        <v>60.166044284441391</v>
      </c>
      <c r="BG135" s="22">
        <f t="shared" si="115"/>
        <v>536.79219379540189</v>
      </c>
      <c r="BH135" s="62">
        <f t="shared" si="116"/>
        <v>830.12552712873526</v>
      </c>
      <c r="BI135" s="62">
        <f ca="1">AVERAGE(OFFSET($BH$3,0,0,'Données projet'!$E$11+1,1))-AVERAGE(OFFSET($H$3,0,0,'Données projet'!$E$11+1,1))</f>
        <v>256.45505140629194</v>
      </c>
      <c r="BJ135" s="62">
        <f t="shared" si="146"/>
        <v>219.6985760545686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22.485472714112856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22.485472714112856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-1.1368683772161603E-13</v>
      </c>
      <c r="BZ135" s="14">
        <f>BY135*VLOOKUP('Données projet'!$B$12,Paramètres!$A$1:$I$89,3,0)*VLOOKUP('Données projet'!$B$12,Paramètres!$A$1:$I$89,5,0)</f>
        <v>-6.7984728957526396E-14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279.69031306919914</v>
      </c>
      <c r="CE135" s="62">
        <f t="shared" si="148"/>
        <v>297.01680128882509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47.9082191540463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6.4787523223891712E-9</v>
      </c>
      <c r="CN135" s="24">
        <f t="shared" si="120"/>
        <v>47.90821916052505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2">
        <f t="shared" si="140"/>
        <v>20.322203405798462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70">
        <f t="shared" si="110"/>
        <v>455.20418759843233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-2.2737367544323206E-13</v>
      </c>
      <c r="O136" s="14">
        <f>N136*VLOOKUP('Données projet'!$B$9,Paramètres!$A$1:$I$89,3,0)*VLOOKUP('Données projet'!$B$9,Paramètres!$A$1:$I$89,5,0)</f>
        <v>-1.2710188457276673E-13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378.17323480030268</v>
      </c>
      <c r="T136" s="62">
        <f t="shared" si="142"/>
        <v>471.89239871617241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71.930421110306071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4.4465658766257603E-10</v>
      </c>
      <c r="AC136" s="24">
        <f t="shared" si="111"/>
        <v>71.930421110750729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2.2737367544323206E-13</v>
      </c>
      <c r="AJ136" s="14">
        <f>AI136*VLOOKUP('Données projet'!$B$10,Paramètres!$A$1:$I$89,3,0)*VLOOKUP('Données projet'!$B$10,Paramètres!$A$1:$I$89,5,0)</f>
        <v>1.8444552551954985E-13</v>
      </c>
      <c r="AK136" s="14">
        <f t="shared" si="143"/>
        <v>2.580317449479618E-12</v>
      </c>
      <c r="AL136" s="22">
        <f t="shared" si="112"/>
        <v>4.8152955147902165E-12</v>
      </c>
      <c r="AM136" s="62">
        <f t="shared" si="113"/>
        <v>293.33333333333815</v>
      </c>
      <c r="AN136" s="62">
        <f ca="1">AVERAGE(OFFSET($AM$3,0,0,'Données projet'!$E$10+1,1))-AVERAGE(OFFSET($H$3,0,0,'Données projet'!$E$10+1,1))</f>
        <v>199.44889029107367</v>
      </c>
      <c r="AO136" s="62">
        <f t="shared" si="144"/>
        <v>292.30544856287457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19.579918449685472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19.579918449685472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529.99999999999989</v>
      </c>
      <c r="BE136" s="14">
        <f>BD136*VLOOKUP('Données projet'!$B$11,Paramètres!$A$1:$I$89,3,0)*VLOOKUP('Données projet'!$B$11,Paramètres!$A$1:$I$89,5,0)</f>
        <v>248.03999999999994</v>
      </c>
      <c r="BF136" s="14">
        <f t="shared" si="145"/>
        <v>60.166044284441391</v>
      </c>
      <c r="BG136" s="22">
        <f t="shared" si="115"/>
        <v>536.79219379540189</v>
      </c>
      <c r="BH136" s="62">
        <f t="shared" si="116"/>
        <v>830.12552712873526</v>
      </c>
      <c r="BI136" s="62">
        <f ca="1">AVERAGE(OFFSET($BH$3,0,0,'Données projet'!$E$11+1,1))-AVERAGE(OFFSET($H$3,0,0,'Données projet'!$E$11+1,1))</f>
        <v>256.45505140629194</v>
      </c>
      <c r="BJ136" s="62">
        <f t="shared" si="146"/>
        <v>219.6985760545686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22.044546308973235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22.044546308973235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-1.1368683772161603E-13</v>
      </c>
      <c r="BZ136" s="14">
        <f>BY136*VLOOKUP('Données projet'!$B$12,Paramètres!$A$1:$I$89,3,0)*VLOOKUP('Données projet'!$B$12,Paramètres!$A$1:$I$89,5,0)</f>
        <v>-6.7984728957526396E-14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279.69031306919914</v>
      </c>
      <c r="CE136" s="62">
        <f t="shared" si="148"/>
        <v>297.01680128882509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46.96876819756379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4.5811697007894762E-9</v>
      </c>
      <c r="CN136" s="24">
        <f t="shared" si="120"/>
        <v>46.968768202144958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2">
        <f t="shared" si="140"/>
        <v>20.457157263578868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70">
        <f t="shared" si="110"/>
        <v>456.39018223406657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-2.2737367544323206E-13</v>
      </c>
      <c r="O137" s="14">
        <f>N137*VLOOKUP('Données projet'!$B$9,Paramètres!$A$1:$I$89,3,0)*VLOOKUP('Données projet'!$B$9,Paramètres!$A$1:$I$89,5,0)</f>
        <v>-1.2710188457276673E-13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378.17323480030268</v>
      </c>
      <c r="T137" s="62">
        <f t="shared" si="142"/>
        <v>471.89239871617241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70.519909425557728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3.1441968843547803E-10</v>
      </c>
      <c r="AC137" s="24">
        <f t="shared" si="111"/>
        <v>70.519909425872143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2.2737367544323206E-13</v>
      </c>
      <c r="AJ137" s="14">
        <f>AI137*VLOOKUP('Données projet'!$B$10,Paramètres!$A$1:$I$89,3,0)*VLOOKUP('Données projet'!$B$10,Paramètres!$A$1:$I$89,5,0)</f>
        <v>1.8444552551954985E-13</v>
      </c>
      <c r="AK137" s="14">
        <f t="shared" si="143"/>
        <v>2.580317449479618E-12</v>
      </c>
      <c r="AL137" s="22">
        <f t="shared" si="112"/>
        <v>4.8152955147902165E-12</v>
      </c>
      <c r="AM137" s="62">
        <f t="shared" si="113"/>
        <v>293.33333333333815</v>
      </c>
      <c r="AN137" s="62">
        <f ca="1">AVERAGE(OFFSET($AM$3,0,0,'Données projet'!$E$10+1,1))-AVERAGE(OFFSET($H$3,0,0,'Données projet'!$E$10+1,1))</f>
        <v>199.44889029107367</v>
      </c>
      <c r="AO137" s="62">
        <f t="shared" si="144"/>
        <v>292.30544856287457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19.195968191458164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19.195968191458164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529.99999999999989</v>
      </c>
      <c r="BE137" s="14">
        <f>BD137*VLOOKUP('Données projet'!$B$11,Paramètres!$A$1:$I$89,3,0)*VLOOKUP('Données projet'!$B$11,Paramètres!$A$1:$I$89,5,0)</f>
        <v>248.03999999999994</v>
      </c>
      <c r="BF137" s="14">
        <f t="shared" si="145"/>
        <v>60.166044284441391</v>
      </c>
      <c r="BG137" s="22">
        <f t="shared" si="115"/>
        <v>536.79219379540189</v>
      </c>
      <c r="BH137" s="62">
        <f t="shared" si="116"/>
        <v>830.12552712873526</v>
      </c>
      <c r="BI137" s="62">
        <f ca="1">AVERAGE(OFFSET($BH$3,0,0,'Données projet'!$E$11+1,1))-AVERAGE(OFFSET($H$3,0,0,'Données projet'!$E$11+1,1))</f>
        <v>256.45505140629194</v>
      </c>
      <c r="BJ137" s="62">
        <f t="shared" si="146"/>
        <v>219.6985760545686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21.61226620169985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21.61226620169985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-1.1368683772161603E-13</v>
      </c>
      <c r="BZ137" s="14">
        <f>BY137*VLOOKUP('Données projet'!$B$12,Paramètres!$A$1:$I$89,3,0)*VLOOKUP('Données projet'!$B$12,Paramètres!$A$1:$I$89,5,0)</f>
        <v>-6.7984728957526396E-14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279.69031306919914</v>
      </c>
      <c r="CE137" s="62">
        <f t="shared" si="148"/>
        <v>297.01680128882509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46.047739301329401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3.2393761611945856E-9</v>
      </c>
      <c r="CN137" s="24">
        <f t="shared" si="120"/>
        <v>46.047739304568779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2">
        <f t="shared" si="140"/>
        <v>20.591993942534774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70">
        <f t="shared" si="110"/>
        <v>457.57597278324812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-2.2737367544323206E-13</v>
      </c>
      <c r="O138" s="14">
        <f>N138*VLOOKUP('Données projet'!$B$9,Paramètres!$A$1:$I$89,3,0)*VLOOKUP('Données projet'!$B$9,Paramètres!$A$1:$I$89,5,0)</f>
        <v>-1.2710188457276673E-13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378.17323480030268</v>
      </c>
      <c r="T138" s="62">
        <f t="shared" si="142"/>
        <v>471.89239871617241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69.137057014620126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2.2232829383128802E-10</v>
      </c>
      <c r="AC138" s="24">
        <f t="shared" si="111"/>
        <v>69.137057014842455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2.2737367544323206E-13</v>
      </c>
      <c r="AJ138" s="14">
        <f>AI138*VLOOKUP('Données projet'!$B$10,Paramètres!$A$1:$I$89,3,0)*VLOOKUP('Données projet'!$B$10,Paramètres!$A$1:$I$89,5,0)</f>
        <v>1.8444552551954985E-13</v>
      </c>
      <c r="AK138" s="14">
        <f t="shared" si="143"/>
        <v>2.580317449479618E-12</v>
      </c>
      <c r="AL138" s="22">
        <f t="shared" si="112"/>
        <v>4.8152955147902165E-12</v>
      </c>
      <c r="AM138" s="62">
        <f t="shared" si="113"/>
        <v>293.33333333333815</v>
      </c>
      <c r="AN138" s="62">
        <f ca="1">AVERAGE(OFFSET($AM$3,0,0,'Données projet'!$E$10+1,1))-AVERAGE(OFFSET($H$3,0,0,'Données projet'!$E$10+1,1))</f>
        <v>199.44889029107367</v>
      </c>
      <c r="AO138" s="62">
        <f t="shared" si="144"/>
        <v>292.30544856287457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18.819546963608158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18.819546963608158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529.99999999999989</v>
      </c>
      <c r="BE138" s="14">
        <f>BD138*VLOOKUP('Données projet'!$B$11,Paramètres!$A$1:$I$89,3,0)*VLOOKUP('Données projet'!$B$11,Paramètres!$A$1:$I$89,5,0)</f>
        <v>248.03999999999994</v>
      </c>
      <c r="BF138" s="14">
        <f t="shared" si="145"/>
        <v>60.166044284441391</v>
      </c>
      <c r="BG138" s="22">
        <f t="shared" si="115"/>
        <v>536.79219379540189</v>
      </c>
      <c r="BH138" s="62">
        <f t="shared" si="116"/>
        <v>830.12552712873526</v>
      </c>
      <c r="BI138" s="62">
        <f ca="1">AVERAGE(OFFSET($BH$3,0,0,'Données projet'!$E$11+1,1))-AVERAGE(OFFSET($H$3,0,0,'Données projet'!$E$11+1,1))</f>
        <v>256.45505140629194</v>
      </c>
      <c r="BJ138" s="62">
        <f t="shared" si="146"/>
        <v>219.6985760545686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21.188462843665267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21.188462843665267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-1.1368683772161603E-13</v>
      </c>
      <c r="BZ138" s="14">
        <f>BY138*VLOOKUP('Données projet'!$B$12,Paramètres!$A$1:$I$89,3,0)*VLOOKUP('Données projet'!$B$12,Paramètres!$A$1:$I$89,5,0)</f>
        <v>-6.7984728957526396E-14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279.69031306919914</v>
      </c>
      <c r="CE138" s="62">
        <f t="shared" si="148"/>
        <v>297.01680128882509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45.144771219978011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2.2905848503947381E-9</v>
      </c>
      <c r="CN138" s="24">
        <f t="shared" si="120"/>
        <v>45.144771222268595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2">
        <f t="shared" si="140"/>
        <v>20.726714411291841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70">
        <f t="shared" si="110"/>
        <v>458.76156093300006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-2.2737367544323206E-13</v>
      </c>
      <c r="O139" s="14">
        <f>N139*VLOOKUP('Données projet'!$B$9,Paramètres!$A$1:$I$89,3,0)*VLOOKUP('Données projet'!$B$9,Paramètres!$A$1:$I$89,5,0)</f>
        <v>-1.2710188457276673E-13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378.17323480030268</v>
      </c>
      <c r="T139" s="62">
        <f t="shared" si="142"/>
        <v>471.89239871617241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67.781321496004324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1.5720984421773902E-10</v>
      </c>
      <c r="AC139" s="24">
        <f t="shared" si="111"/>
        <v>67.781321496161539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2.2737367544323206E-13</v>
      </c>
      <c r="AJ139" s="14">
        <f>AI139*VLOOKUP('Données projet'!$B$10,Paramètres!$A$1:$I$89,3,0)*VLOOKUP('Données projet'!$B$10,Paramètres!$A$1:$I$89,5,0)</f>
        <v>1.8444552551954985E-13</v>
      </c>
      <c r="AK139" s="14">
        <f t="shared" si="143"/>
        <v>2.580317449479618E-12</v>
      </c>
      <c r="AL139" s="22">
        <f t="shared" si="112"/>
        <v>4.8152955147902165E-12</v>
      </c>
      <c r="AM139" s="62">
        <f t="shared" si="113"/>
        <v>293.33333333333815</v>
      </c>
      <c r="AN139" s="62">
        <f ca="1">AVERAGE(OFFSET($AM$3,0,0,'Données projet'!$E$10+1,1))-AVERAGE(OFFSET($H$3,0,0,'Données projet'!$E$10+1,1))</f>
        <v>199.44889029107367</v>
      </c>
      <c r="AO139" s="62">
        <f t="shared" si="144"/>
        <v>292.30544856287457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18.450507126442012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18.450507126442012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529.99999999999989</v>
      </c>
      <c r="BE139" s="14">
        <f>BD139*VLOOKUP('Données projet'!$B$11,Paramètres!$A$1:$I$89,3,0)*VLOOKUP('Données projet'!$B$11,Paramètres!$A$1:$I$89,5,0)</f>
        <v>248.03999999999994</v>
      </c>
      <c r="BF139" s="14">
        <f t="shared" si="145"/>
        <v>60.166044284441391</v>
      </c>
      <c r="BG139" s="22">
        <f t="shared" si="115"/>
        <v>536.79219379540189</v>
      </c>
      <c r="BH139" s="62">
        <f t="shared" si="116"/>
        <v>830.12552712873526</v>
      </c>
      <c r="BI139" s="62">
        <f ca="1">AVERAGE(OFFSET($BH$3,0,0,'Données projet'!$E$11+1,1))-AVERAGE(OFFSET($H$3,0,0,'Données projet'!$E$11+1,1))</f>
        <v>256.45505140629194</v>
      </c>
      <c r="BJ139" s="62">
        <f t="shared" si="146"/>
        <v>219.6985760545686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20.772970010987219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20.772970010987219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-1.1368683772161603E-13</v>
      </c>
      <c r="BZ139" s="14">
        <f>BY139*VLOOKUP('Données projet'!$B$12,Paramètres!$A$1:$I$89,3,0)*VLOOKUP('Données projet'!$B$12,Paramètres!$A$1:$I$89,5,0)</f>
        <v>-6.7984728957526396E-14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279.69031306919914</v>
      </c>
      <c r="CE139" s="62">
        <f t="shared" si="148"/>
        <v>297.01680128882509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44.259509791945774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1.6196880805972928E-9</v>
      </c>
      <c r="CN139" s="24">
        <f t="shared" si="120"/>
        <v>44.259509793565464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2">
        <f t="shared" si="140"/>
        <v>20.861319623408168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70">
        <f t="shared" si="110"/>
        <v>459.94694834410268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-2.2737367544323206E-13</v>
      </c>
      <c r="O140" s="14">
        <f>N140*VLOOKUP('Données projet'!$B$9,Paramètres!$A$1:$I$89,3,0)*VLOOKUP('Données projet'!$B$9,Paramètres!$A$1:$I$89,5,0)</f>
        <v>-1.2710188457276673E-13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378.17323480030268</v>
      </c>
      <c r="T140" s="62">
        <f t="shared" si="142"/>
        <v>471.89239871617241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66.452171123991562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1.1116414691564401E-10</v>
      </c>
      <c r="AC140" s="24">
        <f t="shared" si="111"/>
        <v>66.452171124102719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2.2737367544323206E-13</v>
      </c>
      <c r="AJ140" s="14">
        <f>AI140*VLOOKUP('Données projet'!$B$10,Paramètres!$A$1:$I$89,3,0)*VLOOKUP('Données projet'!$B$10,Paramètres!$A$1:$I$89,5,0)</f>
        <v>1.8444552551954985E-13</v>
      </c>
      <c r="AK140" s="14">
        <f t="shared" si="143"/>
        <v>2.580317449479618E-12</v>
      </c>
      <c r="AL140" s="22">
        <f t="shared" si="112"/>
        <v>4.8152955147902165E-12</v>
      </c>
      <c r="AM140" s="62">
        <f t="shared" si="113"/>
        <v>293.33333333333815</v>
      </c>
      <c r="AN140" s="62">
        <f ca="1">AVERAGE(OFFSET($AM$3,0,0,'Données projet'!$E$10+1,1))-AVERAGE(OFFSET($H$3,0,0,'Données projet'!$E$10+1,1))</f>
        <v>199.44889029107367</v>
      </c>
      <c r="AO140" s="62">
        <f t="shared" si="144"/>
        <v>292.30544856287457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18.088703935390622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18.088703935390622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529.99999999999989</v>
      </c>
      <c r="BE140" s="14">
        <f>BD140*VLOOKUP('Données projet'!$B$11,Paramètres!$A$1:$I$89,3,0)*VLOOKUP('Données projet'!$B$11,Paramètres!$A$1:$I$89,5,0)</f>
        <v>248.03999999999994</v>
      </c>
      <c r="BF140" s="14">
        <f t="shared" si="145"/>
        <v>60.166044284441391</v>
      </c>
      <c r="BG140" s="22">
        <f t="shared" si="115"/>
        <v>536.79219379540189</v>
      </c>
      <c r="BH140" s="62">
        <f t="shared" si="116"/>
        <v>830.12552712873526</v>
      </c>
      <c r="BI140" s="62">
        <f ca="1">AVERAGE(OFFSET($BH$3,0,0,'Données projet'!$E$11+1,1))-AVERAGE(OFFSET($H$3,0,0,'Données projet'!$E$11+1,1))</f>
        <v>256.45505140629194</v>
      </c>
      <c r="BJ140" s="62">
        <f t="shared" si="146"/>
        <v>219.6985760545686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20.365624739332382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20.365624739332382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-1.1368683772161603E-13</v>
      </c>
      <c r="BZ140" s="14">
        <f>BY140*VLOOKUP('Données projet'!$B$12,Paramètres!$A$1:$I$89,3,0)*VLOOKUP('Données projet'!$B$12,Paramètres!$A$1:$I$89,5,0)</f>
        <v>-6.7984728957526396E-14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279.69031306919914</v>
      </c>
      <c r="CE140" s="62">
        <f t="shared" si="148"/>
        <v>297.01680128882509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43.39160780056109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1.145292425197369E-9</v>
      </c>
      <c r="CN140" s="24">
        <f t="shared" si="120"/>
        <v>43.391607801706385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2">
        <f t="shared" si="140"/>
        <v>20.995810517717057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70">
        <f t="shared" si="110"/>
        <v>461.13213665169064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-2.2737367544323206E-13</v>
      </c>
      <c r="O141" s="14">
        <f>N141*VLOOKUP('Données projet'!$B$9,Paramètres!$A$1:$I$89,3,0)*VLOOKUP('Données projet'!$B$9,Paramètres!$A$1:$I$89,5,0)</f>
        <v>-1.2710188457276673E-13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378.17323480030268</v>
      </c>
      <c r="T141" s="62">
        <f t="shared" si="142"/>
        <v>471.89239871617241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65.149084580072284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7.8604922108869509E-11</v>
      </c>
      <c r="AC141" s="24">
        <f t="shared" si="111"/>
        <v>65.149084580150884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2.2737367544323206E-13</v>
      </c>
      <c r="AJ141" s="14">
        <f>AI141*VLOOKUP('Données projet'!$B$10,Paramètres!$A$1:$I$89,3,0)*VLOOKUP('Données projet'!$B$10,Paramètres!$A$1:$I$89,5,0)</f>
        <v>1.8444552551954985E-13</v>
      </c>
      <c r="AK141" s="14">
        <f t="shared" si="143"/>
        <v>2.580317449479618E-12</v>
      </c>
      <c r="AL141" s="22">
        <f t="shared" si="112"/>
        <v>4.8152955147902165E-12</v>
      </c>
      <c r="AM141" s="62">
        <f t="shared" si="113"/>
        <v>293.33333333333815</v>
      </c>
      <c r="AN141" s="62">
        <f ca="1">AVERAGE(OFFSET($AM$3,0,0,'Données projet'!$E$10+1,1))-AVERAGE(OFFSET($H$3,0,0,'Données projet'!$E$10+1,1))</f>
        <v>199.44889029107367</v>
      </c>
      <c r="AO141" s="62">
        <f t="shared" si="144"/>
        <v>292.30544856287457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17.733995484237592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17.733995484237592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529.99999999999989</v>
      </c>
      <c r="BE141" s="14">
        <f>BD141*VLOOKUP('Données projet'!$B$11,Paramètres!$A$1:$I$89,3,0)*VLOOKUP('Données projet'!$B$11,Paramètres!$A$1:$I$89,5,0)</f>
        <v>248.03999999999994</v>
      </c>
      <c r="BF141" s="14">
        <f t="shared" si="145"/>
        <v>60.166044284441391</v>
      </c>
      <c r="BG141" s="22">
        <f t="shared" si="115"/>
        <v>536.79219379540189</v>
      </c>
      <c r="BH141" s="62">
        <f t="shared" si="116"/>
        <v>830.12552712873526</v>
      </c>
      <c r="BI141" s="62">
        <f ca="1">AVERAGE(OFFSET($BH$3,0,0,'Données projet'!$E$11+1,1))-AVERAGE(OFFSET($H$3,0,0,'Données projet'!$E$11+1,1))</f>
        <v>256.45505140629194</v>
      </c>
      <c r="BJ141" s="62">
        <f t="shared" si="146"/>
        <v>219.6985760545686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19.966267259998613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19.966267259998613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-1.1368683772161603E-13</v>
      </c>
      <c r="BZ141" s="14">
        <f>BY141*VLOOKUP('Données projet'!$B$12,Paramètres!$A$1:$I$89,3,0)*VLOOKUP('Données projet'!$B$12,Paramètres!$A$1:$I$89,5,0)</f>
        <v>-6.7984728957526396E-14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279.69031306919914</v>
      </c>
      <c r="CE141" s="62">
        <f t="shared" si="148"/>
        <v>297.01680128882509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42.540724837859521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8.098440402986464E-10</v>
      </c>
      <c r="CN141" s="24">
        <f t="shared" si="120"/>
        <v>42.540724838669362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2">
        <f t="shared" si="140"/>
        <v>21.130188018659304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70">
        <f t="shared" si="110"/>
        <v>462.31712746583173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-2.2737367544323206E-13</v>
      </c>
      <c r="O142" s="14">
        <f>N142*VLOOKUP('Données projet'!$B$9,Paramètres!$A$1:$I$89,3,0)*VLOOKUP('Données projet'!$B$9,Paramètres!$A$1:$I$89,5,0)</f>
        <v>-1.2710188457276673E-13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378.17323480030268</v>
      </c>
      <c r="T142" s="62">
        <f t="shared" si="142"/>
        <v>471.89239871617241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63.871550768474954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5.5582073457822004E-11</v>
      </c>
      <c r="AC142" s="24">
        <f t="shared" si="111"/>
        <v>63.871550768530533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2.2737367544323206E-13</v>
      </c>
      <c r="AJ142" s="14">
        <f>AI142*VLOOKUP('Données projet'!$B$10,Paramètres!$A$1:$I$89,3,0)*VLOOKUP('Données projet'!$B$10,Paramètres!$A$1:$I$89,5,0)</f>
        <v>1.8444552551954985E-13</v>
      </c>
      <c r="AK142" s="14">
        <f t="shared" si="143"/>
        <v>2.580317449479618E-12</v>
      </c>
      <c r="AL142" s="22">
        <f t="shared" si="112"/>
        <v>4.8152955147902165E-12</v>
      </c>
      <c r="AM142" s="62">
        <f t="shared" si="113"/>
        <v>293.33333333333815</v>
      </c>
      <c r="AN142" s="62">
        <f ca="1">AVERAGE(OFFSET($AM$3,0,0,'Données projet'!$E$10+1,1))-AVERAGE(OFFSET($H$3,0,0,'Données projet'!$E$10+1,1))</f>
        <v>199.44889029107367</v>
      </c>
      <c r="AO142" s="62">
        <f t="shared" si="144"/>
        <v>292.30544856287457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17.386242649460883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17.386242649460883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529.99999999999989</v>
      </c>
      <c r="BE142" s="14">
        <f>BD142*VLOOKUP('Données projet'!$B$11,Paramètres!$A$1:$I$89,3,0)*VLOOKUP('Données projet'!$B$11,Paramètres!$A$1:$I$89,5,0)</f>
        <v>248.03999999999994</v>
      </c>
      <c r="BF142" s="14">
        <f t="shared" si="145"/>
        <v>60.166044284441391</v>
      </c>
      <c r="BG142" s="22">
        <f t="shared" si="115"/>
        <v>536.79219379540189</v>
      </c>
      <c r="BH142" s="62">
        <f t="shared" si="116"/>
        <v>830.12552712873526</v>
      </c>
      <c r="BI142" s="62">
        <f ca="1">AVERAGE(OFFSET($BH$3,0,0,'Données projet'!$E$11+1,1))-AVERAGE(OFFSET($H$3,0,0,'Données projet'!$E$11+1,1))</f>
        <v>256.45505140629194</v>
      </c>
      <c r="BJ142" s="62">
        <f t="shared" si="146"/>
        <v>219.6985760545686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19.574740937250571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19.574740937250571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-1.1368683772161603E-13</v>
      </c>
      <c r="BZ142" s="14">
        <f>BY142*VLOOKUP('Données projet'!$B$12,Paramètres!$A$1:$I$89,3,0)*VLOOKUP('Données projet'!$B$12,Paramètres!$A$1:$I$89,5,0)</f>
        <v>-6.7984728957526396E-14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279.69031306919914</v>
      </c>
      <c r="CE142" s="62">
        <f t="shared" si="148"/>
        <v>297.01680128882509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41.706527171069169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5.7264621259868452E-10</v>
      </c>
      <c r="CN142" s="24">
        <f t="shared" si="120"/>
        <v>41.706527171641817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2">
        <f t="shared" si="140"/>
        <v>21.264453036605797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70">
        <f t="shared" si="110"/>
        <v>463.50192237208853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-2.2737367544323206E-13</v>
      </c>
      <c r="O143" s="14">
        <f>N143*VLOOKUP('Données projet'!$B$9,Paramètres!$A$1:$I$89,3,0)*VLOOKUP('Données projet'!$B$9,Paramètres!$A$1:$I$89,5,0)</f>
        <v>-1.2710188457276673E-13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378.17323480030268</v>
      </c>
      <c r="T143" s="62">
        <f t="shared" si="142"/>
        <v>471.89239871617241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62.619068615704364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3.9302461054434754E-11</v>
      </c>
      <c r="AC143" s="24">
        <f t="shared" si="111"/>
        <v>62.619068615743664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2.2737367544323206E-13</v>
      </c>
      <c r="AJ143" s="14">
        <f>AI143*VLOOKUP('Données projet'!$B$10,Paramètres!$A$1:$I$89,3,0)*VLOOKUP('Données projet'!$B$10,Paramètres!$A$1:$I$89,5,0)</f>
        <v>1.8444552551954985E-13</v>
      </c>
      <c r="AK143" s="14">
        <f t="shared" si="143"/>
        <v>2.580317449479618E-12</v>
      </c>
      <c r="AL143" s="22">
        <f t="shared" si="112"/>
        <v>4.8152955147902165E-12</v>
      </c>
      <c r="AM143" s="62">
        <f t="shared" si="113"/>
        <v>293.33333333333815</v>
      </c>
      <c r="AN143" s="62">
        <f ca="1">AVERAGE(OFFSET($AM$3,0,0,'Données projet'!$E$10+1,1))-AVERAGE(OFFSET($H$3,0,0,'Données projet'!$E$10+1,1))</f>
        <v>199.44889029107367</v>
      </c>
      <c r="AO143" s="62">
        <f t="shared" si="144"/>
        <v>292.30544856287457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17.045309035665859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17.045309035665859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529.99999999999989</v>
      </c>
      <c r="BE143" s="14">
        <f>BD143*VLOOKUP('Données projet'!$B$11,Paramètres!$A$1:$I$89,3,0)*VLOOKUP('Données projet'!$B$11,Paramètres!$A$1:$I$89,5,0)</f>
        <v>248.03999999999994</v>
      </c>
      <c r="BF143" s="14">
        <f t="shared" si="145"/>
        <v>60.166044284441391</v>
      </c>
      <c r="BG143" s="22">
        <f t="shared" si="115"/>
        <v>536.79219379540189</v>
      </c>
      <c r="BH143" s="62">
        <f t="shared" si="116"/>
        <v>830.12552712873526</v>
      </c>
      <c r="BI143" s="62">
        <f ca="1">AVERAGE(OFFSET($BH$3,0,0,'Données projet'!$E$11+1,1))-AVERAGE(OFFSET($H$3,0,0,'Données projet'!$E$11+1,1))</f>
        <v>256.45505140629194</v>
      </c>
      <c r="BJ143" s="62">
        <f t="shared" si="146"/>
        <v>219.6985760545686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19.19089220688414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19.19089220688414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-1.1368683772161603E-13</v>
      </c>
      <c r="BZ143" s="14">
        <f>BY143*VLOOKUP('Données projet'!$B$12,Paramètres!$A$1:$I$89,3,0)*VLOOKUP('Données projet'!$B$12,Paramètres!$A$1:$I$89,5,0)</f>
        <v>-6.7984728957526396E-14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279.69031306919914</v>
      </c>
      <c r="CE143" s="62">
        <f t="shared" si="148"/>
        <v>297.01680128882509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40.888687611714239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4.049220201493232E-10</v>
      </c>
      <c r="CN143" s="24">
        <f t="shared" si="120"/>
        <v>40.888687612119163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2">
        <f t="shared" si="140"/>
        <v>21.39860646817062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70">
        <f t="shared" si="110"/>
        <v>464.68652293206395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-2.2737367544323206E-13</v>
      </c>
      <c r="O144" s="14">
        <f>N144*VLOOKUP('Données projet'!$B$9,Paramètres!$A$1:$I$89,3,0)*VLOOKUP('Données projet'!$B$9,Paramètres!$A$1:$I$89,5,0)</f>
        <v>-1.2710188457276673E-13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378.17323480030268</v>
      </c>
      <c r="T144" s="62">
        <f t="shared" si="142"/>
        <v>471.89239871617241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61.391146874010929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2.7791036728911002E-11</v>
      </c>
      <c r="AC144" s="24">
        <f t="shared" si="111"/>
        <v>61.391146874038718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2.2737367544323206E-13</v>
      </c>
      <c r="AJ144" s="14">
        <f>AI144*VLOOKUP('Données projet'!$B$10,Paramètres!$A$1:$I$89,3,0)*VLOOKUP('Données projet'!$B$10,Paramètres!$A$1:$I$89,5,0)</f>
        <v>1.8444552551954985E-13</v>
      </c>
      <c r="AK144" s="14">
        <f t="shared" si="143"/>
        <v>2.580317449479618E-12</v>
      </c>
      <c r="AL144" s="22">
        <f t="shared" si="112"/>
        <v>4.8152955147902165E-12</v>
      </c>
      <c r="AM144" s="62">
        <f t="shared" si="113"/>
        <v>293.33333333333815</v>
      </c>
      <c r="AN144" s="62">
        <f ca="1">AVERAGE(OFFSET($AM$3,0,0,'Données projet'!$E$10+1,1))-AVERAGE(OFFSET($H$3,0,0,'Données projet'!$E$10+1,1))</f>
        <v>199.44889029107367</v>
      </c>
      <c r="AO144" s="62">
        <f t="shared" si="144"/>
        <v>292.30544856287457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16.711060922088382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16.711060922088382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529.99999999999989</v>
      </c>
      <c r="BE144" s="14">
        <f>BD144*VLOOKUP('Données projet'!$B$11,Paramètres!$A$1:$I$89,3,0)*VLOOKUP('Données projet'!$B$11,Paramètres!$A$1:$I$89,5,0)</f>
        <v>248.03999999999994</v>
      </c>
      <c r="BF144" s="14">
        <f t="shared" si="145"/>
        <v>60.166044284441391</v>
      </c>
      <c r="BG144" s="22">
        <f t="shared" si="115"/>
        <v>536.79219379540189</v>
      </c>
      <c r="BH144" s="62">
        <f t="shared" si="116"/>
        <v>830.12552712873526</v>
      </c>
      <c r="BI144" s="62">
        <f ca="1">AVERAGE(OFFSET($BH$3,0,0,'Données projet'!$E$11+1,1))-AVERAGE(OFFSET($H$3,0,0,'Données projet'!$E$11+1,1))</f>
        <v>256.45505140629194</v>
      </c>
      <c r="BJ144" s="62">
        <f t="shared" si="146"/>
        <v>219.6985760545686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18.814570515995587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18.814570515995587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-1.1368683772161603E-13</v>
      </c>
      <c r="BZ144" s="14">
        <f>BY144*VLOOKUP('Données projet'!$B$12,Paramètres!$A$1:$I$89,3,0)*VLOOKUP('Données projet'!$B$12,Paramètres!$A$1:$I$89,5,0)</f>
        <v>-6.7984728957526396E-14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279.69031306919914</v>
      </c>
      <c r="CE144" s="62">
        <f t="shared" si="148"/>
        <v>297.01680128882509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40.086885387285385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2.8632310629934226E-10</v>
      </c>
      <c r="CN144" s="24">
        <f t="shared" si="120"/>
        <v>40.086885387571705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2">
        <f t="shared" si="140"/>
        <v>21.532649196514924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70">
        <f t="shared" si="110"/>
        <v>465.87093068393028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-2.2737367544323206E-13</v>
      </c>
      <c r="O145" s="14">
        <f>N145*VLOOKUP('Données projet'!$B$9,Paramètres!$A$1:$I$89,3,0)*VLOOKUP('Données projet'!$B$9,Paramètres!$A$1:$I$89,5,0)</f>
        <v>-1.2710188457276673E-13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378.17323480030268</v>
      </c>
      <c r="T145" s="62">
        <f t="shared" si="142"/>
        <v>471.89239871617241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60.187303928713789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1.9651230527217377E-11</v>
      </c>
      <c r="AC145" s="24">
        <f t="shared" si="111"/>
        <v>60.187303928733442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2.2737367544323206E-13</v>
      </c>
      <c r="AJ145" s="14">
        <f>AI145*VLOOKUP('Données projet'!$B$10,Paramètres!$A$1:$I$89,3,0)*VLOOKUP('Données projet'!$B$10,Paramètres!$A$1:$I$89,5,0)</f>
        <v>1.8444552551954985E-13</v>
      </c>
      <c r="AK145" s="14">
        <f t="shared" si="143"/>
        <v>2.580317449479618E-12</v>
      </c>
      <c r="AL145" s="22">
        <f t="shared" si="112"/>
        <v>4.8152955147902165E-12</v>
      </c>
      <c r="AM145" s="62">
        <f t="shared" si="113"/>
        <v>293.33333333333815</v>
      </c>
      <c r="AN145" s="62">
        <f ca="1">AVERAGE(OFFSET($AM$3,0,0,'Données projet'!$E$10+1,1))-AVERAGE(OFFSET($H$3,0,0,'Données projet'!$E$10+1,1))</f>
        <v>199.44889029107367</v>
      </c>
      <c r="AO145" s="62">
        <f t="shared" si="144"/>
        <v>292.30544856287457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16.383367210146943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16.383367210146943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529.99999999999989</v>
      </c>
      <c r="BE145" s="14">
        <f>BD145*VLOOKUP('Données projet'!$B$11,Paramètres!$A$1:$I$89,3,0)*VLOOKUP('Données projet'!$B$11,Paramètres!$A$1:$I$89,5,0)</f>
        <v>248.03999999999994</v>
      </c>
      <c r="BF145" s="14">
        <f t="shared" si="145"/>
        <v>60.166044284441391</v>
      </c>
      <c r="BG145" s="22">
        <f t="shared" si="115"/>
        <v>536.79219379540189</v>
      </c>
      <c r="BH145" s="62">
        <f t="shared" si="116"/>
        <v>830.12552712873526</v>
      </c>
      <c r="BI145" s="62">
        <f ca="1">AVERAGE(OFFSET($BH$3,0,0,'Données projet'!$E$11+1,1))-AVERAGE(OFFSET($H$3,0,0,'Données projet'!$E$11+1,1))</f>
        <v>256.45505140629194</v>
      </c>
      <c r="BJ145" s="62">
        <f t="shared" si="146"/>
        <v>219.6985760545686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18.445628263931791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18.445628263931791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-1.1368683772161603E-13</v>
      </c>
      <c r="BZ145" s="14">
        <f>BY145*VLOOKUP('Données projet'!$B$12,Paramètres!$A$1:$I$89,3,0)*VLOOKUP('Données projet'!$B$12,Paramètres!$A$1:$I$89,5,0)</f>
        <v>-6.7984728957526396E-14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279.69031306919914</v>
      </c>
      <c r="CE145" s="62">
        <f t="shared" si="148"/>
        <v>297.01680128882509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39.30080601542651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2.024610100746616E-10</v>
      </c>
      <c r="CN145" s="24">
        <f t="shared" si="120"/>
        <v>39.300806015628972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2">
        <f t="shared" si="140"/>
        <v>21.666582091642102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70">
        <f t="shared" si="110"/>
        <v>467.0551471429435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-2.2737367544323206E-13</v>
      </c>
      <c r="O146" s="14">
        <f>N146*VLOOKUP('Données projet'!$B$9,Paramètres!$A$1:$I$89,3,0)*VLOOKUP('Données projet'!$B$9,Paramètres!$A$1:$I$89,5,0)</f>
        <v>-1.2710188457276673E-13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378.17323480030268</v>
      </c>
      <c r="T146" s="62">
        <f t="shared" si="142"/>
        <v>471.89239871617241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59.007067609302233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1.3895518364455501E-11</v>
      </c>
      <c r="AC146" s="24">
        <f t="shared" si="111"/>
        <v>59.007067609316131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2.2737367544323206E-13</v>
      </c>
      <c r="AJ146" s="14">
        <f>AI146*VLOOKUP('Données projet'!$B$10,Paramètres!$A$1:$I$89,3,0)*VLOOKUP('Données projet'!$B$10,Paramètres!$A$1:$I$89,5,0)</f>
        <v>1.8444552551954985E-13</v>
      </c>
      <c r="AK146" s="14">
        <f t="shared" si="143"/>
        <v>2.580317449479618E-12</v>
      </c>
      <c r="AL146" s="22">
        <f t="shared" si="112"/>
        <v>4.8152955147902165E-12</v>
      </c>
      <c r="AM146" s="62">
        <f t="shared" si="113"/>
        <v>293.33333333333815</v>
      </c>
      <c r="AN146" s="62">
        <f ca="1">AVERAGE(OFFSET($AM$3,0,0,'Données projet'!$E$10+1,1))-AVERAGE(OFFSET($H$3,0,0,'Données projet'!$E$10+1,1))</f>
        <v>199.44889029107367</v>
      </c>
      <c r="AO146" s="62">
        <f t="shared" si="144"/>
        <v>292.30544856287457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16.062099372023248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16.062099372023248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529.99999999999989</v>
      </c>
      <c r="BE146" s="14">
        <f>BD146*VLOOKUP('Données projet'!$B$11,Paramètres!$A$1:$I$89,3,0)*VLOOKUP('Données projet'!$B$11,Paramètres!$A$1:$I$89,5,0)</f>
        <v>248.03999999999994</v>
      </c>
      <c r="BF146" s="14">
        <f t="shared" si="145"/>
        <v>60.166044284441391</v>
      </c>
      <c r="BG146" s="22">
        <f t="shared" si="115"/>
        <v>536.79219379540189</v>
      </c>
      <c r="BH146" s="62">
        <f t="shared" si="116"/>
        <v>830.12552712873526</v>
      </c>
      <c r="BI146" s="62">
        <f ca="1">AVERAGE(OFFSET($BH$3,0,0,'Données projet'!$E$11+1,1))-AVERAGE(OFFSET($H$3,0,0,'Données projet'!$E$11+1,1))</f>
        <v>256.45505140629194</v>
      </c>
      <c r="BJ146" s="62">
        <f t="shared" si="146"/>
        <v>219.6985760545686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18.083920744398412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18.083920744398412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-1.1368683772161603E-13</v>
      </c>
      <c r="BZ146" s="14">
        <f>BY146*VLOOKUP('Données projet'!$B$12,Paramètres!$A$1:$I$89,3,0)*VLOOKUP('Données projet'!$B$12,Paramètres!$A$1:$I$89,5,0)</f>
        <v>-6.7984728957526396E-14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279.69031306919914</v>
      </c>
      <c r="CE146" s="62">
        <f t="shared" si="148"/>
        <v>297.01680128882509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38.530141180588714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1.4316155314967113E-10</v>
      </c>
      <c r="CN146" s="24">
        <f t="shared" si="120"/>
        <v>38.530141180731874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2">
        <f t="shared" si="140"/>
        <v>21.800406010684483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70">
        <f t="shared" si="110"/>
        <v>468.23917380194229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-2.2737367544323206E-13</v>
      </c>
      <c r="O147" s="14">
        <f>N147*VLOOKUP('Données projet'!$B$9,Paramètres!$A$1:$I$89,3,0)*VLOOKUP('Données projet'!$B$9,Paramètres!$A$1:$I$89,5,0)</f>
        <v>-1.2710188457276673E-13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378.17323480030268</v>
      </c>
      <c r="T147" s="62">
        <f t="shared" si="142"/>
        <v>471.89239871617241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57.849975004241266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9.8256152636086886E-12</v>
      </c>
      <c r="AC147" s="24">
        <f t="shared" si="111"/>
        <v>57.849975004251093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2.2737367544323206E-13</v>
      </c>
      <c r="AJ147" s="14">
        <f>AI147*VLOOKUP('Données projet'!$B$10,Paramètres!$A$1:$I$89,3,0)*VLOOKUP('Données projet'!$B$10,Paramètres!$A$1:$I$89,5,0)</f>
        <v>1.8444552551954985E-13</v>
      </c>
      <c r="AK147" s="14">
        <f t="shared" si="143"/>
        <v>2.580317449479618E-12</v>
      </c>
      <c r="AL147" s="22">
        <f t="shared" si="112"/>
        <v>4.8152955147902165E-12</v>
      </c>
      <c r="AM147" s="62">
        <f t="shared" si="113"/>
        <v>293.33333333333815</v>
      </c>
      <c r="AN147" s="62">
        <f ca="1">AVERAGE(OFFSET($AM$3,0,0,'Données projet'!$E$10+1,1))-AVERAGE(OFFSET($H$3,0,0,'Données projet'!$E$10+1,1))</f>
        <v>199.44889029107367</v>
      </c>
      <c r="AO147" s="62">
        <f t="shared" si="144"/>
        <v>292.30544856287457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15.747131400251124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15.747131400251124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529.99999999999989</v>
      </c>
      <c r="BE147" s="14">
        <f>BD147*VLOOKUP('Données projet'!$B$11,Paramètres!$A$1:$I$89,3,0)*VLOOKUP('Données projet'!$B$11,Paramètres!$A$1:$I$89,5,0)</f>
        <v>248.03999999999994</v>
      </c>
      <c r="BF147" s="14">
        <f t="shared" si="145"/>
        <v>60.166044284441391</v>
      </c>
      <c r="BG147" s="22">
        <f t="shared" si="115"/>
        <v>536.79219379540189</v>
      </c>
      <c r="BH147" s="62">
        <f t="shared" si="116"/>
        <v>830.12552712873526</v>
      </c>
      <c r="BI147" s="62">
        <f ca="1">AVERAGE(OFFSET($BH$3,0,0,'Données projet'!$E$11+1,1))-AVERAGE(OFFSET($H$3,0,0,'Données projet'!$E$11+1,1))</f>
        <v>256.45505140629194</v>
      </c>
      <c r="BJ147" s="62">
        <f t="shared" si="146"/>
        <v>219.6985760545686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17.729306088703282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17.729306088703282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-1.1368683772161603E-13</v>
      </c>
      <c r="BZ147" s="14">
        <f>BY147*VLOOKUP('Données projet'!$B$12,Paramètres!$A$1:$I$89,3,0)*VLOOKUP('Données projet'!$B$12,Paramètres!$A$1:$I$89,5,0)</f>
        <v>-6.7984728957526396E-14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279.69031306919914</v>
      </c>
      <c r="CE147" s="62">
        <f t="shared" si="148"/>
        <v>297.01680128882509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37.774588613102949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1.012305050373308E-10</v>
      </c>
      <c r="CN147" s="24">
        <f t="shared" si="120"/>
        <v>37.77458861320418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2">
        <f t="shared" si="140"/>
        <v>21.934121798181632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70">
        <f t="shared" si="110"/>
        <v>469.42301213183316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-2.2737367544323206E-13</v>
      </c>
      <c r="O148" s="14">
        <f>N148*VLOOKUP('Données projet'!$B$9,Paramètres!$A$1:$I$89,3,0)*VLOOKUP('Données projet'!$B$9,Paramètres!$A$1:$I$89,5,0)</f>
        <v>-1.2710188457276673E-13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378.17323480030268</v>
      </c>
      <c r="T148" s="62">
        <f t="shared" si="142"/>
        <v>471.89239871617241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56.71557227940874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6.9477591822277505E-12</v>
      </c>
      <c r="AC148" s="24">
        <f t="shared" si="111"/>
        <v>56.715572279415689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2.2737367544323206E-13</v>
      </c>
      <c r="AJ148" s="14">
        <f>AI148*VLOOKUP('Données projet'!$B$10,Paramètres!$A$1:$I$89,3,0)*VLOOKUP('Données projet'!$B$10,Paramètres!$A$1:$I$89,5,0)</f>
        <v>1.8444552551954985E-13</v>
      </c>
      <c r="AK148" s="14">
        <f t="shared" si="143"/>
        <v>2.580317449479618E-12</v>
      </c>
      <c r="AL148" s="22">
        <f t="shared" si="112"/>
        <v>4.8152955147902165E-12</v>
      </c>
      <c r="AM148" s="62">
        <f t="shared" si="113"/>
        <v>293.33333333333815</v>
      </c>
      <c r="AN148" s="62">
        <f ca="1">AVERAGE(OFFSET($AM$3,0,0,'Données projet'!$E$10+1,1))-AVERAGE(OFFSET($H$3,0,0,'Données projet'!$E$10+1,1))</f>
        <v>199.44889029107367</v>
      </c>
      <c r="AO148" s="62">
        <f t="shared" si="144"/>
        <v>292.30544856287457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15.438339758293958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15.438339758293958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529.99999999999989</v>
      </c>
      <c r="BE148" s="14">
        <f>BD148*VLOOKUP('Données projet'!$B$11,Paramètres!$A$1:$I$89,3,0)*VLOOKUP('Données projet'!$B$11,Paramètres!$A$1:$I$89,5,0)</f>
        <v>248.03999999999994</v>
      </c>
      <c r="BF148" s="14">
        <f t="shared" si="145"/>
        <v>60.166044284441391</v>
      </c>
      <c r="BG148" s="22">
        <f t="shared" si="115"/>
        <v>536.79219379540189</v>
      </c>
      <c r="BH148" s="62">
        <f t="shared" si="116"/>
        <v>830.12552712873526</v>
      </c>
      <c r="BI148" s="62">
        <f ca="1">AVERAGE(OFFSET($BH$3,0,0,'Données projet'!$E$11+1,1))-AVERAGE(OFFSET($H$3,0,0,'Données projet'!$E$11+1,1))</f>
        <v>256.45505140629194</v>
      </c>
      <c r="BJ148" s="62">
        <f t="shared" si="146"/>
        <v>219.6985760545686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17.381645210112751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17.381645210112751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-1.1368683772161603E-13</v>
      </c>
      <c r="BZ148" s="14">
        <f>BY148*VLOOKUP('Données projet'!$B$12,Paramètres!$A$1:$I$89,3,0)*VLOOKUP('Données projet'!$B$12,Paramètres!$A$1:$I$89,5,0)</f>
        <v>-6.7984728957526396E-14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279.69031306919914</v>
      </c>
      <c r="CE148" s="62">
        <f t="shared" si="148"/>
        <v>297.01680128882509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37.033851970624021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7.1580776574835565E-11</v>
      </c>
      <c r="CN148" s="24">
        <f t="shared" si="120"/>
        <v>37.033851970695601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2">
        <f t="shared" si="140"/>
        <v>22.067730286351065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70">
        <f t="shared" si="110"/>
        <v>470.60666358206163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-2.2737367544323206E-13</v>
      </c>
      <c r="O149" s="14">
        <f>N149*VLOOKUP('Données projet'!$B$9,Paramètres!$A$1:$I$89,3,0)*VLOOKUP('Données projet'!$B$9,Paramètres!$A$1:$I$89,5,0)</f>
        <v>-1.2710188457276673E-13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378.17323480030268</v>
      </c>
      <c r="T149" s="62">
        <f t="shared" si="142"/>
        <v>471.89239871617241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55.603414500092839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4.9128076318043443E-12</v>
      </c>
      <c r="AC149" s="24">
        <f t="shared" si="111"/>
        <v>55.603414500097749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2.2737367544323206E-13</v>
      </c>
      <c r="AJ149" s="14">
        <f>AI149*VLOOKUP('Données projet'!$B$10,Paramètres!$A$1:$I$89,3,0)*VLOOKUP('Données projet'!$B$10,Paramètres!$A$1:$I$89,5,0)</f>
        <v>1.8444552551954985E-13</v>
      </c>
      <c r="AK149" s="14">
        <f t="shared" si="143"/>
        <v>2.580317449479618E-12</v>
      </c>
      <c r="AL149" s="22">
        <f t="shared" si="112"/>
        <v>4.8152955147902165E-12</v>
      </c>
      <c r="AM149" s="62">
        <f t="shared" si="113"/>
        <v>293.33333333333815</v>
      </c>
      <c r="AN149" s="62">
        <f ca="1">AVERAGE(OFFSET($AM$3,0,0,'Données projet'!$E$10+1,1))-AVERAGE(OFFSET($H$3,0,0,'Données projet'!$E$10+1,1))</f>
        <v>199.44889029107367</v>
      </c>
      <c r="AO149" s="62">
        <f t="shared" si="144"/>
        <v>292.30544856287457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15.135603332091268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15.135603332091268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529.99999999999989</v>
      </c>
      <c r="BE149" s="14">
        <f>BD149*VLOOKUP('Données projet'!$B$11,Paramètres!$A$1:$I$89,3,0)*VLOOKUP('Données projet'!$B$11,Paramètres!$A$1:$I$89,5,0)</f>
        <v>248.03999999999994</v>
      </c>
      <c r="BF149" s="14">
        <f t="shared" si="145"/>
        <v>60.166044284441391</v>
      </c>
      <c r="BG149" s="22">
        <f t="shared" si="115"/>
        <v>536.79219379540189</v>
      </c>
      <c r="BH149" s="62">
        <f t="shared" si="116"/>
        <v>830.12552712873526</v>
      </c>
      <c r="BI149" s="62">
        <f ca="1">AVERAGE(OFFSET($BH$3,0,0,'Données projet'!$E$11+1,1))-AVERAGE(OFFSET($H$3,0,0,'Données projet'!$E$11+1,1))</f>
        <v>256.45505140629194</v>
      </c>
      <c r="BJ149" s="62">
        <f t="shared" si="146"/>
        <v>219.6985760545686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17.040801749299181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17.040801749299181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-1.1368683772161603E-13</v>
      </c>
      <c r="BZ149" s="14">
        <f>BY149*VLOOKUP('Données projet'!$B$12,Paramètres!$A$1:$I$89,3,0)*VLOOKUP('Données projet'!$B$12,Paramètres!$A$1:$I$89,5,0)</f>
        <v>-6.7984728957526396E-14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279.69031306919914</v>
      </c>
      <c r="CE149" s="62">
        <f t="shared" si="148"/>
        <v>297.01680128882509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36.307640721899368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5.06152525186654E-11</v>
      </c>
      <c r="CN149" s="24">
        <f t="shared" si="120"/>
        <v>36.30764072194998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2">
        <f t="shared" si="140"/>
        <v>22.201232295351069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70">
        <f t="shared" si="110"/>
        <v>471.79012958106995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-2.2737367544323206E-13</v>
      </c>
      <c r="O150" s="14">
        <f>N150*VLOOKUP('Données projet'!$B$9,Paramètres!$A$1:$I$89,3,0)*VLOOKUP('Données projet'!$B$9,Paramètres!$A$1:$I$89,5,0)</f>
        <v>-1.2710188457276673E-13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378.17323480030268</v>
      </c>
      <c r="T150" s="62">
        <f t="shared" si="142"/>
        <v>471.89239871617241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54.513065456480064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3.4738795911138753E-12</v>
      </c>
      <c r="AC150" s="24">
        <f t="shared" si="111"/>
        <v>54.513065456483538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2.2737367544323206E-13</v>
      </c>
      <c r="AJ150" s="14">
        <f>AI150*VLOOKUP('Données projet'!$B$10,Paramètres!$A$1:$I$89,3,0)*VLOOKUP('Données projet'!$B$10,Paramètres!$A$1:$I$89,5,0)</f>
        <v>1.8444552551954985E-13</v>
      </c>
      <c r="AK150" s="14">
        <f t="shared" si="143"/>
        <v>2.580317449479618E-12</v>
      </c>
      <c r="AL150" s="22">
        <f t="shared" si="112"/>
        <v>4.8152955147902165E-12</v>
      </c>
      <c r="AM150" s="62">
        <f t="shared" si="113"/>
        <v>293.33333333333815</v>
      </c>
      <c r="AN150" s="62">
        <f ca="1">AVERAGE(OFFSET($AM$3,0,0,'Données projet'!$E$10+1,1))-AVERAGE(OFFSET($H$3,0,0,'Données projet'!$E$10+1,1))</f>
        <v>199.44889029107367</v>
      </c>
      <c r="AO150" s="62">
        <f t="shared" si="144"/>
        <v>292.30544856287457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14.838803382555426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14.838803382555426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529.99999999999989</v>
      </c>
      <c r="BE150" s="14">
        <f>BD150*VLOOKUP('Données projet'!$B$11,Paramètres!$A$1:$I$89,3,0)*VLOOKUP('Données projet'!$B$11,Paramètres!$A$1:$I$89,5,0)</f>
        <v>248.03999999999994</v>
      </c>
      <c r="BF150" s="14">
        <f t="shared" si="145"/>
        <v>60.166044284441391</v>
      </c>
      <c r="BG150" s="22">
        <f t="shared" si="115"/>
        <v>536.79219379540189</v>
      </c>
      <c r="BH150" s="62">
        <f t="shared" si="116"/>
        <v>830.12552712873526</v>
      </c>
      <c r="BI150" s="62">
        <f ca="1">AVERAGE(OFFSET($BH$3,0,0,'Données projet'!$E$11+1,1))-AVERAGE(OFFSET($H$3,0,0,'Données projet'!$E$11+1,1))</f>
        <v>256.45505140629194</v>
      </c>
      <c r="BJ150" s="62">
        <f t="shared" si="146"/>
        <v>219.6985760545686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16.706642020858183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16.706642020858183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-1.1368683772161603E-13</v>
      </c>
      <c r="BZ150" s="14">
        <f>BY150*VLOOKUP('Données projet'!$B$12,Paramètres!$A$1:$I$89,3,0)*VLOOKUP('Données projet'!$B$12,Paramètres!$A$1:$I$89,5,0)</f>
        <v>-6.7984728957526396E-14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279.69031306919914</v>
      </c>
      <c r="CE150" s="62">
        <f t="shared" si="148"/>
        <v>297.01680128882509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35.595670032817075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3.5790388287417783E-11</v>
      </c>
      <c r="CN150" s="24">
        <f t="shared" si="120"/>
        <v>35.595670032852865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2">
        <f t="shared" si="140"/>
        <v>22.334628633536237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70">
        <f t="shared" si="110"/>
        <v>472.9734115367425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-2.2737367544323206E-13</v>
      </c>
      <c r="O151" s="14">
        <f>N151*VLOOKUP('Données projet'!$B$9,Paramètres!$A$1:$I$89,3,0)*VLOOKUP('Données projet'!$B$9,Paramètres!$A$1:$I$89,5,0)</f>
        <v>-1.2710188457276673E-13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378.17323480030268</v>
      </c>
      <c r="T151" s="62">
        <f t="shared" si="142"/>
        <v>471.89239871617241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53.444097492565284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2.4564038159021721E-12</v>
      </c>
      <c r="AC151" s="24">
        <f t="shared" si="111"/>
        <v>53.444097492567742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2.2737367544323206E-13</v>
      </c>
      <c r="AJ151" s="14">
        <f>AI151*VLOOKUP('Données projet'!$B$10,Paramètres!$A$1:$I$89,3,0)*VLOOKUP('Données projet'!$B$10,Paramètres!$A$1:$I$89,5,0)</f>
        <v>1.8444552551954985E-13</v>
      </c>
      <c r="AK151" s="14">
        <f t="shared" si="143"/>
        <v>2.580317449479618E-12</v>
      </c>
      <c r="AL151" s="22">
        <f t="shared" si="112"/>
        <v>4.8152955147902165E-12</v>
      </c>
      <c r="AM151" s="62">
        <f t="shared" si="113"/>
        <v>293.33333333333815</v>
      </c>
      <c r="AN151" s="62">
        <f ca="1">AVERAGE(OFFSET($AM$3,0,0,'Données projet'!$E$10+1,1))-AVERAGE(OFFSET($H$3,0,0,'Données projet'!$E$10+1,1))</f>
        <v>199.44889029107367</v>
      </c>
      <c r="AO151" s="62">
        <f t="shared" si="144"/>
        <v>292.30544856287457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14.547823498999888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14.547823498999888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529.99999999999989</v>
      </c>
      <c r="BE151" s="14">
        <f>BD151*VLOOKUP('Données projet'!$B$11,Paramètres!$A$1:$I$89,3,0)*VLOOKUP('Données projet'!$B$11,Paramètres!$A$1:$I$89,5,0)</f>
        <v>248.03999999999994</v>
      </c>
      <c r="BF151" s="14">
        <f t="shared" si="145"/>
        <v>60.166044284441391</v>
      </c>
      <c r="BG151" s="22">
        <f t="shared" si="115"/>
        <v>536.79219379540189</v>
      </c>
      <c r="BH151" s="62">
        <f t="shared" si="116"/>
        <v>830.12552712873526</v>
      </c>
      <c r="BI151" s="62">
        <f ca="1">AVERAGE(OFFSET($BH$3,0,0,'Données projet'!$E$11+1,1))-AVERAGE(OFFSET($H$3,0,0,'Données projet'!$E$11+1,1))</f>
        <v>256.45505140629194</v>
      </c>
      <c r="BJ151" s="62">
        <f t="shared" si="146"/>
        <v>219.6985760545686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16.379034960874602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16.379034960874602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-1.1368683772161603E-13</v>
      </c>
      <c r="BZ151" s="14">
        <f>BY151*VLOOKUP('Données projet'!$B$12,Paramètres!$A$1:$I$89,3,0)*VLOOKUP('Données projet'!$B$12,Paramètres!$A$1:$I$89,5,0)</f>
        <v>-6.7984728957526396E-14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279.69031306919914</v>
      </c>
      <c r="CE151" s="62">
        <f t="shared" si="148"/>
        <v>297.01680128882509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34.897660654688451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2.53076262593327E-11</v>
      </c>
      <c r="CN151" s="24">
        <f t="shared" si="120"/>
        <v>34.897660654713761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2">
        <f t="shared" si="140"/>
        <v>22.467920097706067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70">
        <f t="shared" si="110"/>
        <v>474.15651083683827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-2.2737367544323206E-13</v>
      </c>
      <c r="O152" s="14">
        <f>N152*VLOOKUP('Données projet'!$B$9,Paramètres!$A$1:$I$89,3,0)*VLOOKUP('Données projet'!$B$9,Paramètres!$A$1:$I$89,5,0)</f>
        <v>-1.2710188457276673E-13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378.17323480030268</v>
      </c>
      <c r="T152" s="62">
        <f t="shared" si="142"/>
        <v>471.89239871617241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52.396091338416795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1.7369397955569376E-12</v>
      </c>
      <c r="AC152" s="24">
        <f t="shared" si="111"/>
        <v>52.396091338418529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2.2737367544323206E-13</v>
      </c>
      <c r="AJ152" s="14">
        <f>AI152*VLOOKUP('Données projet'!$B$10,Paramètres!$A$1:$I$89,3,0)*VLOOKUP('Données projet'!$B$10,Paramètres!$A$1:$I$89,5,0)</f>
        <v>1.8444552551954985E-13</v>
      </c>
      <c r="AK152" s="14">
        <f t="shared" si="143"/>
        <v>2.580317449479618E-12</v>
      </c>
      <c r="AL152" s="22">
        <f t="shared" si="112"/>
        <v>4.8152955147902165E-12</v>
      </c>
      <c r="AM152" s="62">
        <f t="shared" si="113"/>
        <v>293.33333333333815</v>
      </c>
      <c r="AN152" s="62">
        <f ca="1">AVERAGE(OFFSET($AM$3,0,0,'Données projet'!$E$10+1,1))-AVERAGE(OFFSET($H$3,0,0,'Données projet'!$E$10+1,1))</f>
        <v>199.44889029107367</v>
      </c>
      <c r="AO152" s="62">
        <f t="shared" si="144"/>
        <v>292.30544856287457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14.262549553480669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14.262549553480669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529.99999999999989</v>
      </c>
      <c r="BE152" s="14">
        <f>BD152*VLOOKUP('Données projet'!$B$11,Paramètres!$A$1:$I$89,3,0)*VLOOKUP('Données projet'!$B$11,Paramètres!$A$1:$I$89,5,0)</f>
        <v>248.03999999999994</v>
      </c>
      <c r="BF152" s="14">
        <f t="shared" si="145"/>
        <v>60.166044284441391</v>
      </c>
      <c r="BG152" s="22">
        <f t="shared" si="115"/>
        <v>536.79219379540189</v>
      </c>
      <c r="BH152" s="62">
        <f t="shared" si="116"/>
        <v>830.12552712873526</v>
      </c>
      <c r="BI152" s="62">
        <f ca="1">AVERAGE(OFFSET($BH$3,0,0,'Données projet'!$E$11+1,1))-AVERAGE(OFFSET($H$3,0,0,'Données projet'!$E$11+1,1))</f>
        <v>256.45505140629194</v>
      </c>
      <c r="BJ152" s="62">
        <f t="shared" si="146"/>
        <v>219.6985760545686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16.057852075516724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16.057852075516724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-1.1368683772161603E-13</v>
      </c>
      <c r="BZ152" s="14">
        <f>BY152*VLOOKUP('Données projet'!$B$12,Paramètres!$A$1:$I$89,3,0)*VLOOKUP('Données projet'!$B$12,Paramètres!$A$1:$I$89,5,0)</f>
        <v>-6.7984728957526396E-14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279.69031306919914</v>
      </c>
      <c r="CE152" s="62">
        <f t="shared" si="148"/>
        <v>297.01680128882509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34.213338814721247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1.7895194143708891E-11</v>
      </c>
      <c r="CN152" s="24">
        <f t="shared" si="120"/>
        <v>34.213338814739146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2">
        <f t="shared" si="140"/>
        <v>22.601107473346371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70">
        <f t="shared" si="110"/>
        <v>475.33942884941183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-2.2737367544323206E-13</v>
      </c>
      <c r="O153" s="14">
        <f>N153*VLOOKUP('Données projet'!$B$9,Paramètres!$A$1:$I$89,3,0)*VLOOKUP('Données projet'!$B$9,Paramètres!$A$1:$I$89,5,0)</f>
        <v>-1.2710188457276673E-13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378.17323480030268</v>
      </c>
      <c r="T153" s="62">
        <f t="shared" si="142"/>
        <v>471.89239871617241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51.368635945730524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1.2282019079510861E-12</v>
      </c>
      <c r="AC153" s="24">
        <f t="shared" si="111"/>
        <v>51.368635945731754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2.2737367544323206E-13</v>
      </c>
      <c r="AJ153" s="14">
        <f>AI153*VLOOKUP('Données projet'!$B$10,Paramètres!$A$1:$I$89,3,0)*VLOOKUP('Données projet'!$B$10,Paramètres!$A$1:$I$89,5,0)</f>
        <v>1.8444552551954985E-13</v>
      </c>
      <c r="AK153" s="14">
        <f t="shared" si="143"/>
        <v>2.580317449479618E-12</v>
      </c>
      <c r="AL153" s="22">
        <f t="shared" si="112"/>
        <v>4.8152955147902165E-12</v>
      </c>
      <c r="AM153" s="62">
        <f t="shared" si="113"/>
        <v>293.33333333333815</v>
      </c>
      <c r="AN153" s="62">
        <f ca="1">AVERAGE(OFFSET($AM$3,0,0,'Données projet'!$E$10+1,1))-AVERAGE(OFFSET($H$3,0,0,'Données projet'!$E$10+1,1))</f>
        <v>199.44889029107367</v>
      </c>
      <c r="AO153" s="62">
        <f t="shared" si="144"/>
        <v>292.30544856287457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13.982869656033158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13.982869656033158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529.99999999999989</v>
      </c>
      <c r="BE153" s="14">
        <f>BD153*VLOOKUP('Données projet'!$B$11,Paramètres!$A$1:$I$89,3,0)*VLOOKUP('Données projet'!$B$11,Paramètres!$A$1:$I$89,5,0)</f>
        <v>248.03999999999994</v>
      </c>
      <c r="BF153" s="14">
        <f t="shared" si="145"/>
        <v>60.166044284441391</v>
      </c>
      <c r="BG153" s="22">
        <f t="shared" si="115"/>
        <v>536.79219379540189</v>
      </c>
      <c r="BH153" s="62">
        <f t="shared" si="116"/>
        <v>830.12552712873526</v>
      </c>
      <c r="BI153" s="62">
        <f ca="1">AVERAGE(OFFSET($BH$3,0,0,'Données projet'!$E$11+1,1))-AVERAGE(OFFSET($H$3,0,0,'Données projet'!$E$11+1,1))</f>
        <v>256.45505140629194</v>
      </c>
      <c r="BJ153" s="62">
        <f t="shared" si="146"/>
        <v>219.6985760545686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15.742967390638498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15.742967390638498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-1.1368683772161603E-13</v>
      </c>
      <c r="BZ153" s="14">
        <f>BY153*VLOOKUP('Données projet'!$B$12,Paramètres!$A$1:$I$89,3,0)*VLOOKUP('Données projet'!$B$12,Paramètres!$A$1:$I$89,5,0)</f>
        <v>-6.7984728957526396E-14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279.69031306919914</v>
      </c>
      <c r="CE153" s="62">
        <f t="shared" si="148"/>
        <v>297.01680128882509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33.542436108640686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1.265381312966635E-11</v>
      </c>
      <c r="CN153" s="24">
        <f t="shared" si="120"/>
        <v>33.542436108653341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2">
        <f t="shared" si="140"/>
        <v>22.734191534864422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70">
        <f t="shared" si="110"/>
        <v>476.52216692322241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-2.2737367544323206E-13</v>
      </c>
      <c r="O154" s="14">
        <f>N154*VLOOKUP('Données projet'!$B$9,Paramètres!$A$1:$I$89,3,0)*VLOOKUP('Données projet'!$B$9,Paramètres!$A$1:$I$89,5,0)</f>
        <v>-1.2710188457276673E-13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378.17323480030268</v>
      </c>
      <c r="T154" s="62">
        <f t="shared" si="142"/>
        <v>471.89239871617241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50.36132832660892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8.6846989777846881E-13</v>
      </c>
      <c r="AC154" s="24">
        <f t="shared" ref="AC154:AC203" si="163">SUM(Z154:AB154)</f>
        <v>50.361328326609787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2.2737367544323206E-13</v>
      </c>
      <c r="AJ154" s="14">
        <f>AI154*VLOOKUP('Données projet'!$B$10,Paramètres!$A$1:$I$89,3,0)*VLOOKUP('Données projet'!$B$10,Paramètres!$A$1:$I$89,5,0)</f>
        <v>1.8444552551954985E-13</v>
      </c>
      <c r="AK154" s="14">
        <f t="shared" ref="AK154:AK203" si="164">EXP(-1.0587+0.8836*LN(AJ154)+0.284)</f>
        <v>2.580317449479618E-12</v>
      </c>
      <c r="AL154" s="22">
        <f t="shared" ref="AL154:AL203" si="165">(AJ154+AK154)*0.475*44/12</f>
        <v>4.8152955147902165E-12</v>
      </c>
      <c r="AM154" s="62">
        <f t="shared" si="113"/>
        <v>293.33333333333815</v>
      </c>
      <c r="AN154" s="62">
        <f ca="1">AVERAGE(OFFSET($AM$3,0,0,'Données projet'!$E$10+1,1))-AVERAGE(OFFSET($H$3,0,0,'Données projet'!$E$10+1,1))</f>
        <v>199.44889029107367</v>
      </c>
      <c r="AO154" s="62">
        <f t="shared" si="144"/>
        <v>292.30544856287457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13.708674110786697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13.708674110786697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529.99999999999989</v>
      </c>
      <c r="BE154" s="14">
        <f>BD154*VLOOKUP('Données projet'!$B$11,Paramètres!$A$1:$I$89,3,0)*VLOOKUP('Données projet'!$B$11,Paramètres!$A$1:$I$89,5,0)</f>
        <v>248.03999999999994</v>
      </c>
      <c r="BF154" s="14">
        <f t="shared" ref="BF154:BF203" si="167">EXP(-1.0587+0.8836*LN(BE154)+0.284)</f>
        <v>60.166044284441391</v>
      </c>
      <c r="BG154" s="22">
        <f t="shared" ref="BG154:BG203" si="168">(BE154+BF154)*0.475*44/12</f>
        <v>536.79219379540189</v>
      </c>
      <c r="BH154" s="62">
        <f t="shared" si="116"/>
        <v>830.12552712873526</v>
      </c>
      <c r="BI154" s="62">
        <f ca="1">AVERAGE(OFFSET($BH$3,0,0,'Données projet'!$E$11+1,1))-AVERAGE(OFFSET($H$3,0,0,'Données projet'!$E$11+1,1))</f>
        <v>256.45505140629194</v>
      </c>
      <c r="BJ154" s="62">
        <f t="shared" si="146"/>
        <v>219.6985760545686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15.43425740237004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15.43425740237004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-1.1368683772161603E-13</v>
      </c>
      <c r="BZ154" s="14">
        <f>BY154*VLOOKUP('Données projet'!$B$12,Paramètres!$A$1:$I$89,3,0)*VLOOKUP('Données projet'!$B$12,Paramètres!$A$1:$I$89,5,0)</f>
        <v>-6.7984728957526396E-14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279.69031306919914</v>
      </c>
      <c r="CE154" s="62">
        <f t="shared" si="148"/>
        <v>297.01680128882509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32.884689395416125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8.9475970718544457E-12</v>
      </c>
      <c r="CN154" s="24">
        <f t="shared" ref="CN154:CN203" si="172">SUM(CK154:CM154)</f>
        <v>32.88468939542507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2">
        <f t="shared" si="140"/>
        <v>22.867173045817363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70">
        <f t="shared" si="110"/>
        <v>477.70472638813214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-2.2737367544323206E-13</v>
      </c>
      <c r="O155" s="14">
        <f>N155*VLOOKUP('Données projet'!$B$9,Paramètres!$A$1:$I$89,3,0)*VLOOKUP('Données projet'!$B$9,Paramètres!$A$1:$I$89,5,0)</f>
        <v>-1.2710188457276673E-13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378.17323480030268</v>
      </c>
      <c r="T155" s="62">
        <f t="shared" si="142"/>
        <v>471.89239871617241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49.37377339550131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6.1410095397554304E-13</v>
      </c>
      <c r="AC155" s="24">
        <f t="shared" si="163"/>
        <v>49.373773395501921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2.2737367544323206E-13</v>
      </c>
      <c r="AJ155" s="14">
        <f>AI155*VLOOKUP('Données projet'!$B$10,Paramètres!$A$1:$I$89,3,0)*VLOOKUP('Données projet'!$B$10,Paramètres!$A$1:$I$89,5,0)</f>
        <v>1.8444552551954985E-13</v>
      </c>
      <c r="AK155" s="14">
        <f t="shared" si="164"/>
        <v>2.580317449479618E-12</v>
      </c>
      <c r="AL155" s="22">
        <f t="shared" si="165"/>
        <v>4.8152955147902165E-12</v>
      </c>
      <c r="AM155" s="62">
        <f t="shared" si="113"/>
        <v>293.33333333333815</v>
      </c>
      <c r="AN155" s="62">
        <f ca="1">AVERAGE(OFFSET($AM$3,0,0,'Données projet'!$E$10+1,1))-AVERAGE(OFFSET($H$3,0,0,'Données projet'!$E$10+1,1))</f>
        <v>199.44889029107367</v>
      </c>
      <c r="AO155" s="62">
        <f t="shared" si="144"/>
        <v>292.30544856287457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13.439855372939752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13.439855372939752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529.99999999999989</v>
      </c>
      <c r="BE155" s="14">
        <f>BD155*VLOOKUP('Données projet'!$B$11,Paramètres!$A$1:$I$89,3,0)*VLOOKUP('Données projet'!$B$11,Paramètres!$A$1:$I$89,5,0)</f>
        <v>248.03999999999994</v>
      </c>
      <c r="BF155" s="14">
        <f t="shared" si="167"/>
        <v>60.166044284441391</v>
      </c>
      <c r="BG155" s="22">
        <f t="shared" si="168"/>
        <v>536.79219379540189</v>
      </c>
      <c r="BH155" s="62">
        <f t="shared" si="116"/>
        <v>830.12552712873526</v>
      </c>
      <c r="BI155" s="62">
        <f ca="1">AVERAGE(OFFSET($BH$3,0,0,'Données projet'!$E$11+1,1))-AVERAGE(OFFSET($H$3,0,0,'Données projet'!$E$11+1,1))</f>
        <v>256.45505140629194</v>
      </c>
      <c r="BJ155" s="62">
        <f t="shared" si="146"/>
        <v>219.6985760545686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15.131601028677027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15.131601028677027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-1.1368683772161603E-13</v>
      </c>
      <c r="BZ155" s="14">
        <f>BY155*VLOOKUP('Données projet'!$B$12,Paramètres!$A$1:$I$89,3,0)*VLOOKUP('Données projet'!$B$12,Paramètres!$A$1:$I$89,5,0)</f>
        <v>-6.7984728957526396E-14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279.69031306919914</v>
      </c>
      <c r="CE155" s="62">
        <f t="shared" si="148"/>
        <v>297.01680128882509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32.239840694052013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6.326906564833175E-12</v>
      </c>
      <c r="CN155" s="24">
        <f t="shared" si="172"/>
        <v>32.239840694058337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2">
        <f t="shared" si="140"/>
        <v>23.000052759134679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70">
        <f t="shared" si="110"/>
        <v>478.88710855549317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-2.2737367544323206E-13</v>
      </c>
      <c r="O156" s="14">
        <f>N156*VLOOKUP('Données projet'!$B$9,Paramètres!$A$1:$I$89,3,0)*VLOOKUP('Données projet'!$B$9,Paramètres!$A$1:$I$89,5,0)</f>
        <v>-1.2710188457276673E-13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378.17323480030268</v>
      </c>
      <c r="T156" s="62">
        <f t="shared" si="142"/>
        <v>471.89239871617241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48.405583814243691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4.3423494888923441E-13</v>
      </c>
      <c r="AC156" s="24">
        <f t="shared" si="163"/>
        <v>48.405583814244125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2.2737367544323206E-13</v>
      </c>
      <c r="AJ156" s="14">
        <f>AI156*VLOOKUP('Données projet'!$B$10,Paramètres!$A$1:$I$89,3,0)*VLOOKUP('Données projet'!$B$10,Paramètres!$A$1:$I$89,5,0)</f>
        <v>1.8444552551954985E-13</v>
      </c>
      <c r="AK156" s="14">
        <f t="shared" si="164"/>
        <v>2.580317449479618E-12</v>
      </c>
      <c r="AL156" s="22">
        <f t="shared" si="165"/>
        <v>4.8152955147902165E-12</v>
      </c>
      <c r="AM156" s="62">
        <f t="shared" si="113"/>
        <v>293.33333333333815</v>
      </c>
      <c r="AN156" s="62">
        <f ca="1">AVERAGE(OFFSET($AM$3,0,0,'Données projet'!$E$10+1,1))-AVERAGE(OFFSET($H$3,0,0,'Données projet'!$E$10+1,1))</f>
        <v>199.44889029107367</v>
      </c>
      <c r="AO156" s="62">
        <f t="shared" si="144"/>
        <v>292.30544856287457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13.176308006578745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13.176308006578745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529.99999999999989</v>
      </c>
      <c r="BE156" s="14">
        <f>BD156*VLOOKUP('Données projet'!$B$11,Paramètres!$A$1:$I$89,3,0)*VLOOKUP('Données projet'!$B$11,Paramètres!$A$1:$I$89,5,0)</f>
        <v>248.03999999999994</v>
      </c>
      <c r="BF156" s="14">
        <f t="shared" si="167"/>
        <v>60.166044284441391</v>
      </c>
      <c r="BG156" s="22">
        <f t="shared" si="168"/>
        <v>536.79219379540189</v>
      </c>
      <c r="BH156" s="62">
        <f t="shared" si="116"/>
        <v>830.12552712873526</v>
      </c>
      <c r="BI156" s="62">
        <f ca="1">AVERAGE(OFFSET($BH$3,0,0,'Données projet'!$E$11+1,1))-AVERAGE(OFFSET($H$3,0,0,'Données projet'!$E$11+1,1))</f>
        <v>256.45505140629194</v>
      </c>
      <c r="BJ156" s="62">
        <f t="shared" si="146"/>
        <v>219.6985760545686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14.834879561869974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14.834879561869974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-1.1368683772161603E-13</v>
      </c>
      <c r="BZ156" s="14">
        <f>BY156*VLOOKUP('Données projet'!$B$12,Paramètres!$A$1:$I$89,3,0)*VLOOKUP('Données projet'!$B$12,Paramètres!$A$1:$I$89,5,0)</f>
        <v>-6.7984728957526396E-14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279.69031306919914</v>
      </c>
      <c r="CE156" s="62">
        <f t="shared" si="148"/>
        <v>297.01680128882509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31.607637082402782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4.4737985359272228E-12</v>
      </c>
      <c r="CN156" s="24">
        <f t="shared" si="172"/>
        <v>31.607637082407255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2">
        <f t="shared" si="140"/>
        <v>23.132831417334586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70">
        <f t="shared" si="110"/>
        <v>480.06931471852465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-2.2737367544323206E-13</v>
      </c>
      <c r="O157" s="14">
        <f>N157*VLOOKUP('Données projet'!$B$9,Paramètres!$A$1:$I$89,3,0)*VLOOKUP('Données projet'!$B$9,Paramètres!$A$1:$I$89,5,0)</f>
        <v>-1.2710188457276673E-13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378.17323480030268</v>
      </c>
      <c r="T157" s="62">
        <f t="shared" si="142"/>
        <v>471.89239871617241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47.456379840137195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3.0705047698777152E-13</v>
      </c>
      <c r="AC157" s="24">
        <f t="shared" si="163"/>
        <v>47.456379840137501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2.2737367544323206E-13</v>
      </c>
      <c r="AJ157" s="14">
        <f>AI157*VLOOKUP('Données projet'!$B$10,Paramètres!$A$1:$I$89,3,0)*VLOOKUP('Données projet'!$B$10,Paramètres!$A$1:$I$89,5,0)</f>
        <v>1.8444552551954985E-13</v>
      </c>
      <c r="AK157" s="14">
        <f t="shared" si="164"/>
        <v>2.580317449479618E-12</v>
      </c>
      <c r="AL157" s="22">
        <f t="shared" si="165"/>
        <v>4.8152955147902165E-12</v>
      </c>
      <c r="AM157" s="62">
        <f t="shared" si="113"/>
        <v>293.33333333333815</v>
      </c>
      <c r="AN157" s="62">
        <f ca="1">AVERAGE(OFFSET($AM$3,0,0,'Données projet'!$E$10+1,1))-AVERAGE(OFFSET($H$3,0,0,'Données projet'!$E$10+1,1))</f>
        <v>199.44889029107367</v>
      </c>
      <c r="AO157" s="62">
        <f t="shared" si="144"/>
        <v>292.30544856287457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12.917928643324057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12.917928643324057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529.99999999999989</v>
      </c>
      <c r="BE157" s="14">
        <f>BD157*VLOOKUP('Données projet'!$B$11,Paramètres!$A$1:$I$89,3,0)*VLOOKUP('Données projet'!$B$11,Paramètres!$A$1:$I$89,5,0)</f>
        <v>248.03999999999994</v>
      </c>
      <c r="BF157" s="14">
        <f t="shared" si="167"/>
        <v>60.166044284441391</v>
      </c>
      <c r="BG157" s="22">
        <f t="shared" si="168"/>
        <v>536.79219379540189</v>
      </c>
      <c r="BH157" s="62">
        <f t="shared" si="116"/>
        <v>830.12552712873526</v>
      </c>
      <c r="BI157" s="62">
        <f ca="1">AVERAGE(OFFSET($BH$3,0,0,'Données projet'!$E$11+1,1))-AVERAGE(OFFSET($H$3,0,0,'Données projet'!$E$11+1,1))</f>
        <v>256.45505140629194</v>
      </c>
      <c r="BJ157" s="62">
        <f t="shared" si="146"/>
        <v>219.6985760545686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14.543976622044783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14.543976622044783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-1.1368683772161603E-13</v>
      </c>
      <c r="BZ157" s="14">
        <f>BY157*VLOOKUP('Données projet'!$B$12,Paramètres!$A$1:$I$89,3,0)*VLOOKUP('Données projet'!$B$12,Paramètres!$A$1:$I$89,5,0)</f>
        <v>-6.7984728957526396E-14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279.69031306919914</v>
      </c>
      <c r="CE157" s="62">
        <f t="shared" si="148"/>
        <v>297.01680128882509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30.987830597971865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3.1634532824165875E-12</v>
      </c>
      <c r="CN157" s="24">
        <f t="shared" si="172"/>
        <v>30.987830597975027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2">
        <f t="shared" si="140"/>
        <v>23.265509752734562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70">
        <f t="shared" si="110"/>
        <v>481.25134615267967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-2.2737367544323206E-13</v>
      </c>
      <c r="O158" s="14">
        <f>N158*VLOOKUP('Données projet'!$B$9,Paramètres!$A$1:$I$89,3,0)*VLOOKUP('Données projet'!$B$9,Paramètres!$A$1:$I$89,5,0)</f>
        <v>-1.2710188457276673E-13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378.17323480030268</v>
      </c>
      <c r="T158" s="62">
        <f t="shared" si="142"/>
        <v>471.89239871617241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46.52578917700567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2.171174744446172E-13</v>
      </c>
      <c r="AC158" s="24">
        <f t="shared" si="163"/>
        <v>46.52578917700589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2.2737367544323206E-13</v>
      </c>
      <c r="AJ158" s="14">
        <f>AI158*VLOOKUP('Données projet'!$B$10,Paramètres!$A$1:$I$89,3,0)*VLOOKUP('Données projet'!$B$10,Paramètres!$A$1:$I$89,5,0)</f>
        <v>1.8444552551954985E-13</v>
      </c>
      <c r="AK158" s="14">
        <f t="shared" si="164"/>
        <v>2.580317449479618E-12</v>
      </c>
      <c r="AL158" s="22">
        <f t="shared" si="165"/>
        <v>4.8152955147902165E-12</v>
      </c>
      <c r="AM158" s="62">
        <f t="shared" si="113"/>
        <v>293.33333333333815</v>
      </c>
      <c r="AN158" s="62">
        <f ca="1">AVERAGE(OFFSET($AM$3,0,0,'Données projet'!$E$10+1,1))-AVERAGE(OFFSET($H$3,0,0,'Données projet'!$E$10+1,1))</f>
        <v>199.44889029107367</v>
      </c>
      <c r="AO158" s="62">
        <f t="shared" si="144"/>
        <v>292.30544856287457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12.664615941786943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12.664615941786943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529.99999999999989</v>
      </c>
      <c r="BE158" s="14">
        <f>BD158*VLOOKUP('Données projet'!$B$11,Paramètres!$A$1:$I$89,3,0)*VLOOKUP('Données projet'!$B$11,Paramètres!$A$1:$I$89,5,0)</f>
        <v>248.03999999999994</v>
      </c>
      <c r="BF158" s="14">
        <f t="shared" si="167"/>
        <v>60.166044284441391</v>
      </c>
      <c r="BG158" s="22">
        <f t="shared" si="168"/>
        <v>536.79219379540189</v>
      </c>
      <c r="BH158" s="62">
        <f t="shared" si="116"/>
        <v>830.12552712873526</v>
      </c>
      <c r="BI158" s="62">
        <f ca="1">AVERAGE(OFFSET($BH$3,0,0,'Données projet'!$E$11+1,1))-AVERAGE(OFFSET($H$3,0,0,'Données projet'!$E$11+1,1))</f>
        <v>256.45505140629194</v>
      </c>
      <c r="BJ158" s="62">
        <f t="shared" si="146"/>
        <v>219.6985760545686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14.258778111436291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14.258778111436291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-1.1368683772161603E-13</v>
      </c>
      <c r="BZ158" s="14">
        <f>BY158*VLOOKUP('Données projet'!$B$12,Paramètres!$A$1:$I$89,3,0)*VLOOKUP('Données projet'!$B$12,Paramètres!$A$1:$I$89,5,0)</f>
        <v>-6.7984728957526396E-14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279.69031306919914</v>
      </c>
      <c r="CE158" s="62">
        <f t="shared" si="148"/>
        <v>297.01680128882509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30.38017814065601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2.2368992679636114E-12</v>
      </c>
      <c r="CN158" s="24">
        <f t="shared" si="172"/>
        <v>30.380178140658249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2">
        <f t="shared" si="140"/>
        <v>23.398088487656484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70">
        <f t="shared" si="110"/>
        <v>482.433204116002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-2.2737367544323206E-13</v>
      </c>
      <c r="O159" s="14">
        <f>N159*VLOOKUP('Données projet'!$B$9,Paramètres!$A$1:$I$89,3,0)*VLOOKUP('Données projet'!$B$9,Paramètres!$A$1:$I$89,5,0)</f>
        <v>-1.2710188457276673E-13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378.17323480030268</v>
      </c>
      <c r="T159" s="62">
        <f t="shared" si="142"/>
        <v>471.89239871617241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45.613446829173903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1.5352523849388576E-13</v>
      </c>
      <c r="AC159" s="24">
        <f t="shared" si="163"/>
        <v>45.613446829174059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2.2737367544323206E-13</v>
      </c>
      <c r="AJ159" s="14">
        <f>AI159*VLOOKUP('Données projet'!$B$10,Paramètres!$A$1:$I$89,3,0)*VLOOKUP('Données projet'!$B$10,Paramètres!$A$1:$I$89,5,0)</f>
        <v>1.8444552551954985E-13</v>
      </c>
      <c r="AK159" s="14">
        <f t="shared" si="164"/>
        <v>2.580317449479618E-12</v>
      </c>
      <c r="AL159" s="22">
        <f t="shared" si="165"/>
        <v>4.8152955147902165E-12</v>
      </c>
      <c r="AM159" s="62">
        <f t="shared" si="113"/>
        <v>293.33333333333815</v>
      </c>
      <c r="AN159" s="62">
        <f ca="1">AVERAGE(OFFSET($AM$3,0,0,'Données projet'!$E$10+1,1))-AVERAGE(OFFSET($H$3,0,0,'Données projet'!$E$10+1,1))</f>
        <v>199.44889029107367</v>
      </c>
      <c r="AO159" s="62">
        <f t="shared" si="144"/>
        <v>292.30544856287457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12.41627054782148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12.41627054782148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529.99999999999989</v>
      </c>
      <c r="BE159" s="14">
        <f>BD159*VLOOKUP('Données projet'!$B$11,Paramètres!$A$1:$I$89,3,0)*VLOOKUP('Données projet'!$B$11,Paramètres!$A$1:$I$89,5,0)</f>
        <v>248.03999999999994</v>
      </c>
      <c r="BF159" s="14">
        <f t="shared" si="167"/>
        <v>60.166044284441391</v>
      </c>
      <c r="BG159" s="22">
        <f t="shared" si="168"/>
        <v>536.79219379540189</v>
      </c>
      <c r="BH159" s="62">
        <f t="shared" si="116"/>
        <v>830.12552712873526</v>
      </c>
      <c r="BI159" s="62">
        <f ca="1">AVERAGE(OFFSET($BH$3,0,0,'Données projet'!$E$11+1,1))-AVERAGE(OFFSET($H$3,0,0,'Données projet'!$E$11+1,1))</f>
        <v>256.45505140629194</v>
      </c>
      <c r="BJ159" s="62">
        <f t="shared" si="146"/>
        <v>219.6985760545686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13.979172169666915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13.979172169666915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-1.1368683772161603E-13</v>
      </c>
      <c r="BZ159" s="14">
        <f>BY159*VLOOKUP('Données projet'!$B$12,Paramètres!$A$1:$I$89,3,0)*VLOOKUP('Données projet'!$B$12,Paramètres!$A$1:$I$89,5,0)</f>
        <v>-6.7984728957526396E-14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279.69031306919914</v>
      </c>
      <c r="CE159" s="62">
        <f t="shared" si="148"/>
        <v>297.01680128882509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29.784441377396718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1.5817266412082937E-12</v>
      </c>
      <c r="CN159" s="24">
        <f t="shared" si="172"/>
        <v>29.784441377398299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2">
        <f t="shared" si="140"/>
        <v>23.530568334626178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70">
        <f t="shared" si="110"/>
        <v>483.61488984947425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-2.2737367544323206E-13</v>
      </c>
      <c r="O160" s="14">
        <f>N160*VLOOKUP('Données projet'!$B$9,Paramètres!$A$1:$I$89,3,0)*VLOOKUP('Données projet'!$B$9,Paramètres!$A$1:$I$89,5,0)</f>
        <v>-1.2710188457276673E-13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378.17323480030268</v>
      </c>
      <c r="T160" s="62">
        <f t="shared" si="142"/>
        <v>471.89239871617241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44.718994958309224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1.085587372223086E-13</v>
      </c>
      <c r="AC160" s="24">
        <f t="shared" si="163"/>
        <v>44.718994958309331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2.2737367544323206E-13</v>
      </c>
      <c r="AJ160" s="14">
        <f>AI160*VLOOKUP('Données projet'!$B$10,Paramètres!$A$1:$I$89,3,0)*VLOOKUP('Données projet'!$B$10,Paramètres!$A$1:$I$89,5,0)</f>
        <v>1.8444552551954985E-13</v>
      </c>
      <c r="AK160" s="14">
        <f t="shared" si="164"/>
        <v>2.580317449479618E-12</v>
      </c>
      <c r="AL160" s="22">
        <f t="shared" si="165"/>
        <v>4.8152955147902165E-12</v>
      </c>
      <c r="AM160" s="62">
        <f t="shared" si="113"/>
        <v>293.33333333333815</v>
      </c>
      <c r="AN160" s="62">
        <f ca="1">AVERAGE(OFFSET($AM$3,0,0,'Données projet'!$E$10+1,1))-AVERAGE(OFFSET($H$3,0,0,'Données projet'!$E$10+1,1))</f>
        <v>199.44889029107367</v>
      </c>
      <c r="AO160" s="62">
        <f t="shared" si="144"/>
        <v>292.30544856287457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12.172795055555946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12.172795055555946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529.99999999999989</v>
      </c>
      <c r="BE160" s="14">
        <f>BD160*VLOOKUP('Données projet'!$B$11,Paramètres!$A$1:$I$89,3,0)*VLOOKUP('Données projet'!$B$11,Paramètres!$A$1:$I$89,5,0)</f>
        <v>248.03999999999994</v>
      </c>
      <c r="BF160" s="14">
        <f t="shared" si="167"/>
        <v>60.166044284441391</v>
      </c>
      <c r="BG160" s="22">
        <f t="shared" si="168"/>
        <v>536.79219379540189</v>
      </c>
      <c r="BH160" s="62">
        <f t="shared" si="116"/>
        <v>830.12552712873526</v>
      </c>
      <c r="BI160" s="62">
        <f ca="1">AVERAGE(OFFSET($BH$3,0,0,'Données projet'!$E$11+1,1))-AVERAGE(OFFSET($H$3,0,0,'Données projet'!$E$11+1,1))</f>
        <v>256.45505140629194</v>
      </c>
      <c r="BJ160" s="62">
        <f t="shared" si="146"/>
        <v>219.6985760545686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13.705049129872853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13.705049129872853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-1.1368683772161603E-13</v>
      </c>
      <c r="BZ160" s="14">
        <f>BY160*VLOOKUP('Données projet'!$B$12,Paramètres!$A$1:$I$89,3,0)*VLOOKUP('Données projet'!$B$12,Paramètres!$A$1:$I$89,5,0)</f>
        <v>-6.7984728957526396E-14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279.69031306919914</v>
      </c>
      <c r="CE160" s="62">
        <f t="shared" si="148"/>
        <v>297.01680128882509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29.200386648701393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1.1184496339818057E-12</v>
      </c>
      <c r="CN160" s="24">
        <f t="shared" si="172"/>
        <v>29.200386648702512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2">
        <f t="shared" si="140"/>
        <v>23.662949996567761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70">
        <f t="shared" si="110"/>
        <v>484.79640457735582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-2.2737367544323206E-13</v>
      </c>
      <c r="O161" s="14">
        <f>N161*VLOOKUP('Données projet'!$B$9,Paramètres!$A$1:$I$89,3,0)*VLOOKUP('Données projet'!$B$9,Paramètres!$A$1:$I$89,5,0)</f>
        <v>-1.2710188457276673E-13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378.17323480030268</v>
      </c>
      <c r="T161" s="62">
        <f t="shared" si="142"/>
        <v>471.89239871617241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43.842082743070435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7.6762619246942879E-14</v>
      </c>
      <c r="AC161" s="24">
        <f t="shared" si="163"/>
        <v>43.842082743070513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2.2737367544323206E-13</v>
      </c>
      <c r="AJ161" s="14">
        <f>AI161*VLOOKUP('Données projet'!$B$10,Paramètres!$A$1:$I$89,3,0)*VLOOKUP('Données projet'!$B$10,Paramètres!$A$1:$I$89,5,0)</f>
        <v>1.8444552551954985E-13</v>
      </c>
      <c r="AK161" s="14">
        <f t="shared" si="164"/>
        <v>2.580317449479618E-12</v>
      </c>
      <c r="AL161" s="22">
        <f t="shared" si="165"/>
        <v>4.8152955147902165E-12</v>
      </c>
      <c r="AM161" s="62">
        <f t="shared" si="113"/>
        <v>293.33333333333815</v>
      </c>
      <c r="AN161" s="62">
        <f ca="1">AVERAGE(OFFSET($AM$3,0,0,'Données projet'!$E$10+1,1))-AVERAGE(OFFSET($H$3,0,0,'Données projet'!$E$10+1,1))</f>
        <v>199.44889029107367</v>
      </c>
      <c r="AO161" s="62">
        <f t="shared" si="144"/>
        <v>292.30544856287457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11.934093969188353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11.934093969188353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529.99999999999989</v>
      </c>
      <c r="BE161" s="14">
        <f>BD161*VLOOKUP('Données projet'!$B$11,Paramètres!$A$1:$I$89,3,0)*VLOOKUP('Données projet'!$B$11,Paramètres!$A$1:$I$89,5,0)</f>
        <v>248.03999999999994</v>
      </c>
      <c r="BF161" s="14">
        <f t="shared" si="167"/>
        <v>60.166044284441391</v>
      </c>
      <c r="BG161" s="22">
        <f t="shared" si="168"/>
        <v>536.79219379540189</v>
      </c>
      <c r="BH161" s="62">
        <f t="shared" si="116"/>
        <v>830.12552712873526</v>
      </c>
      <c r="BI161" s="62">
        <f ca="1">AVERAGE(OFFSET($BH$3,0,0,'Données projet'!$E$11+1,1))-AVERAGE(OFFSET($H$3,0,0,'Données projet'!$E$11+1,1))</f>
        <v>256.45505140629194</v>
      </c>
      <c r="BJ161" s="62">
        <f t="shared" si="146"/>
        <v>219.6985760545686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13.436301475690607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13.436301475690607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-1.1368683772161603E-13</v>
      </c>
      <c r="BZ161" s="14">
        <f>BY161*VLOOKUP('Données projet'!$B$12,Paramètres!$A$1:$I$89,3,0)*VLOOKUP('Données projet'!$B$12,Paramètres!$A$1:$I$89,5,0)</f>
        <v>-6.7984728957526396E-14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279.69031306919914</v>
      </c>
      <c r="CE161" s="62">
        <f t="shared" si="148"/>
        <v>297.01680128882509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28.627784876997577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7.9086332060414687E-13</v>
      </c>
      <c r="CN161" s="24">
        <f t="shared" si="172"/>
        <v>28.627784876998369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2">
        <f t="shared" si="140"/>
        <v>23.795234166993069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70">
        <f t="shared" si="110"/>
        <v>485.97774950751329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-2.2737367544323206E-13</v>
      </c>
      <c r="O162" s="14">
        <f>N162*VLOOKUP('Données projet'!$B$9,Paramètres!$A$1:$I$89,3,0)*VLOOKUP('Données projet'!$B$9,Paramètres!$A$1:$I$89,5,0)</f>
        <v>-1.2710188457276673E-13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378.17323480030268</v>
      </c>
      <c r="T162" s="62">
        <f t="shared" si="142"/>
        <v>471.89239871617241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42.982366241508842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5.4279368611154301E-14</v>
      </c>
      <c r="AC162" s="24">
        <f t="shared" si="163"/>
        <v>42.982366241508899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2.2737367544323206E-13</v>
      </c>
      <c r="AJ162" s="14">
        <f>AI162*VLOOKUP('Données projet'!$B$10,Paramètres!$A$1:$I$89,3,0)*VLOOKUP('Données projet'!$B$10,Paramètres!$A$1:$I$89,5,0)</f>
        <v>1.8444552551954985E-13</v>
      </c>
      <c r="AK162" s="14">
        <f t="shared" si="164"/>
        <v>2.580317449479618E-12</v>
      </c>
      <c r="AL162" s="22">
        <f t="shared" si="165"/>
        <v>4.8152955147902165E-12</v>
      </c>
      <c r="AM162" s="62">
        <f t="shared" si="113"/>
        <v>293.33333333333815</v>
      </c>
      <c r="AN162" s="62">
        <f ca="1">AVERAGE(OFFSET($AM$3,0,0,'Données projet'!$E$10+1,1))-AVERAGE(OFFSET($H$3,0,0,'Données projet'!$E$10+1,1))</f>
        <v>199.44889029107367</v>
      </c>
      <c r="AO162" s="62">
        <f t="shared" si="144"/>
        <v>292.30544856287457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11.700073665531141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11.700073665531141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529.99999999999989</v>
      </c>
      <c r="BE162" s="14">
        <f>BD162*VLOOKUP('Données projet'!$B$11,Paramètres!$A$1:$I$89,3,0)*VLOOKUP('Données projet'!$B$11,Paramètres!$A$1:$I$89,5,0)</f>
        <v>248.03999999999994</v>
      </c>
      <c r="BF162" s="14">
        <f t="shared" si="167"/>
        <v>60.166044284441391</v>
      </c>
      <c r="BG162" s="22">
        <f t="shared" si="168"/>
        <v>536.79219379540189</v>
      </c>
      <c r="BH162" s="62">
        <f t="shared" si="116"/>
        <v>830.12552712873526</v>
      </c>
      <c r="BI162" s="62">
        <f ca="1">AVERAGE(OFFSET($BH$3,0,0,'Données projet'!$E$11+1,1))-AVERAGE(OFFSET($H$3,0,0,'Données projet'!$E$11+1,1))</f>
        <v>256.45505140629194</v>
      </c>
      <c r="BJ162" s="62">
        <f t="shared" si="146"/>
        <v>219.6985760545686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13.172823799086993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13.172823799086993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-1.1368683772161603E-13</v>
      </c>
      <c r="BZ162" s="14">
        <f>BY162*VLOOKUP('Données projet'!$B$12,Paramètres!$A$1:$I$89,3,0)*VLOOKUP('Données projet'!$B$12,Paramètres!$A$1:$I$89,5,0)</f>
        <v>-6.7984728957526396E-14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279.69031306919914</v>
      </c>
      <c r="CE162" s="62">
        <f t="shared" si="148"/>
        <v>297.01680128882509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28.066411476784278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5.5922481699090286E-13</v>
      </c>
      <c r="CN162" s="24">
        <f t="shared" si="172"/>
        <v>28.066411476784836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2">
        <f t="shared" si="140"/>
        <v>23.927421530185995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70">
        <f t="shared" si="110"/>
        <v>487.15892583174093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-2.2737367544323206E-13</v>
      </c>
      <c r="O163" s="14">
        <f>N163*VLOOKUP('Données projet'!$B$9,Paramètres!$A$1:$I$89,3,0)*VLOOKUP('Données projet'!$B$9,Paramètres!$A$1:$I$89,5,0)</f>
        <v>-1.2710188457276673E-13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378.17323480030268</v>
      </c>
      <c r="T163" s="62">
        <f t="shared" si="142"/>
        <v>471.89239871617241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42.139508256167581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3.838130962347144E-14</v>
      </c>
      <c r="AC163" s="24">
        <f t="shared" si="163"/>
        <v>42.139508256167616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2.2737367544323206E-13</v>
      </c>
      <c r="AJ163" s="14">
        <f>AI163*VLOOKUP('Données projet'!$B$10,Paramètres!$A$1:$I$89,3,0)*VLOOKUP('Données projet'!$B$10,Paramètres!$A$1:$I$89,5,0)</f>
        <v>1.8444552551954985E-13</v>
      </c>
      <c r="AK163" s="14">
        <f t="shared" si="164"/>
        <v>2.580317449479618E-12</v>
      </c>
      <c r="AL163" s="22">
        <f t="shared" si="165"/>
        <v>4.8152955147902165E-12</v>
      </c>
      <c r="AM163" s="62">
        <f t="shared" si="113"/>
        <v>293.33333333333815</v>
      </c>
      <c r="AN163" s="62">
        <f ca="1">AVERAGE(OFFSET($AM$3,0,0,'Données projet'!$E$10+1,1))-AVERAGE(OFFSET($H$3,0,0,'Données projet'!$E$10+1,1))</f>
        <v>199.44889029107367</v>
      </c>
      <c r="AO163" s="62">
        <f t="shared" si="144"/>
        <v>292.30544856287457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11.470642357290357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11.470642357290357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529.99999999999989</v>
      </c>
      <c r="BE163" s="14">
        <f>BD163*VLOOKUP('Données projet'!$B$11,Paramètres!$A$1:$I$89,3,0)*VLOOKUP('Données projet'!$B$11,Paramètres!$A$1:$I$89,5,0)</f>
        <v>248.03999999999994</v>
      </c>
      <c r="BF163" s="14">
        <f t="shared" si="167"/>
        <v>60.166044284441391</v>
      </c>
      <c r="BG163" s="22">
        <f t="shared" si="168"/>
        <v>536.79219379540189</v>
      </c>
      <c r="BH163" s="62">
        <f t="shared" si="116"/>
        <v>830.12552712873526</v>
      </c>
      <c r="BI163" s="62">
        <f ca="1">AVERAGE(OFFSET($BH$3,0,0,'Données projet'!$E$11+1,1))-AVERAGE(OFFSET($H$3,0,0,'Données projet'!$E$11+1,1))</f>
        <v>256.45505140629194</v>
      </c>
      <c r="BJ163" s="62">
        <f t="shared" si="146"/>
        <v>219.6985760545686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12.914512759016061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12.914512759016061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-1.1368683772161603E-13</v>
      </c>
      <c r="BZ163" s="14">
        <f>BY163*VLOOKUP('Données projet'!$B$12,Paramètres!$A$1:$I$89,3,0)*VLOOKUP('Données projet'!$B$12,Paramètres!$A$1:$I$89,5,0)</f>
        <v>-6.7984728957526396E-14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279.69031306919914</v>
      </c>
      <c r="CE163" s="62">
        <f t="shared" si="148"/>
        <v>297.01680128882509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27.516046266545196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3.9543166030207344E-13</v>
      </c>
      <c r="CN163" s="24">
        <f t="shared" si="172"/>
        <v>27.51604626654559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2">
        <f t="shared" si="140"/>
        <v>24.059512761382141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70">
        <f t="shared" si="110"/>
        <v>488.33993472607426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-2.2737367544323206E-13</v>
      </c>
      <c r="O164" s="14">
        <f>N164*VLOOKUP('Données projet'!$B$9,Paramètres!$A$1:$I$89,3,0)*VLOOKUP('Données projet'!$B$9,Paramètres!$A$1:$I$89,5,0)</f>
        <v>-1.2710188457276673E-13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378.17323480030268</v>
      </c>
      <c r="T164" s="62">
        <f t="shared" si="142"/>
        <v>471.89239871617241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41.313178201826254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2.713968430557715E-14</v>
      </c>
      <c r="AC164" s="24">
        <f t="shared" si="163"/>
        <v>41.313178201826283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2.2737367544323206E-13</v>
      </c>
      <c r="AJ164" s="14">
        <f>AI164*VLOOKUP('Données projet'!$B$10,Paramètres!$A$1:$I$89,3,0)*VLOOKUP('Données projet'!$B$10,Paramètres!$A$1:$I$89,5,0)</f>
        <v>1.8444552551954985E-13</v>
      </c>
      <c r="AK164" s="14">
        <f t="shared" si="164"/>
        <v>2.580317449479618E-12</v>
      </c>
      <c r="AL164" s="22">
        <f t="shared" si="165"/>
        <v>4.8152955147902165E-12</v>
      </c>
      <c r="AM164" s="62">
        <f t="shared" si="113"/>
        <v>293.33333333333815</v>
      </c>
      <c r="AN164" s="62">
        <f ca="1">AVERAGE(OFFSET($AM$3,0,0,'Données projet'!$E$10+1,1))-AVERAGE(OFFSET($H$3,0,0,'Données projet'!$E$10+1,1))</f>
        <v>199.44889029107367</v>
      </c>
      <c r="AO164" s="62">
        <f t="shared" si="144"/>
        <v>292.30544856287457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11.245710057064894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11.245710057064894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529.99999999999989</v>
      </c>
      <c r="BE164" s="14">
        <f>BD164*VLOOKUP('Données projet'!$B$11,Paramètres!$A$1:$I$89,3,0)*VLOOKUP('Données projet'!$B$11,Paramètres!$A$1:$I$89,5,0)</f>
        <v>248.03999999999994</v>
      </c>
      <c r="BF164" s="14">
        <f t="shared" si="167"/>
        <v>60.166044284441391</v>
      </c>
      <c r="BG164" s="22">
        <f t="shared" si="168"/>
        <v>536.79219379540189</v>
      </c>
      <c r="BH164" s="62">
        <f t="shared" si="116"/>
        <v>830.12552712873526</v>
      </c>
      <c r="BI164" s="62">
        <f ca="1">AVERAGE(OFFSET($BH$3,0,0,'Données projet'!$E$11+1,1))-AVERAGE(OFFSET($H$3,0,0,'Données projet'!$E$11+1,1))</f>
        <v>256.45505140629194</v>
      </c>
      <c r="BJ164" s="62">
        <f t="shared" si="146"/>
        <v>219.6985760545686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12.661267040886742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12.661267040886742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-1.1368683772161603E-13</v>
      </c>
      <c r="BZ164" s="14">
        <f>BY164*VLOOKUP('Données projet'!$B$12,Paramètres!$A$1:$I$89,3,0)*VLOOKUP('Données projet'!$B$12,Paramètres!$A$1:$I$89,5,0)</f>
        <v>-6.7984728957526396E-14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279.69031306919914</v>
      </c>
      <c r="CE164" s="62">
        <f t="shared" si="148"/>
        <v>297.01680128882509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26.976473382389269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2.7961240849545143E-13</v>
      </c>
      <c r="CN164" s="24">
        <f t="shared" si="172"/>
        <v>26.97647338238955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2">
        <f t="shared" si="140"/>
        <v>24.191508526944009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70">
        <f t="shared" si="110"/>
        <v>489.52077735109452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-2.2737367544323206E-13</v>
      </c>
      <c r="O165" s="14">
        <f>N165*VLOOKUP('Données projet'!$B$9,Paramètres!$A$1:$I$89,3,0)*VLOOKUP('Données projet'!$B$9,Paramètres!$A$1:$I$89,5,0)</f>
        <v>-1.2710188457276673E-13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378.17323480030268</v>
      </c>
      <c r="T165" s="62">
        <f t="shared" si="142"/>
        <v>471.89239871617241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40.503051975838993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1.919065481173572E-14</v>
      </c>
      <c r="AC165" s="24">
        <f t="shared" si="163"/>
        <v>40.503051975839014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2.2737367544323206E-13</v>
      </c>
      <c r="AJ165" s="14">
        <f>AI165*VLOOKUP('Données projet'!$B$10,Paramètres!$A$1:$I$89,3,0)*VLOOKUP('Données projet'!$B$10,Paramètres!$A$1:$I$89,5,0)</f>
        <v>1.8444552551954985E-13</v>
      </c>
      <c r="AK165" s="14">
        <f t="shared" si="164"/>
        <v>2.580317449479618E-12</v>
      </c>
      <c r="AL165" s="22">
        <f t="shared" si="165"/>
        <v>4.8152955147902165E-12</v>
      </c>
      <c r="AM165" s="62">
        <f t="shared" si="113"/>
        <v>293.33333333333815</v>
      </c>
      <c r="AN165" s="62">
        <f ca="1">AVERAGE(OFFSET($AM$3,0,0,'Données projet'!$E$10+1,1))-AVERAGE(OFFSET($H$3,0,0,'Données projet'!$E$10+1,1))</f>
        <v>199.44889029107367</v>
      </c>
      <c r="AO165" s="62">
        <f t="shared" si="144"/>
        <v>292.30544856287457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11.025188542051696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11.025188542051696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529.99999999999989</v>
      </c>
      <c r="BE165" s="14">
        <f>BD165*VLOOKUP('Données projet'!$B$11,Paramètres!$A$1:$I$89,3,0)*VLOOKUP('Données projet'!$B$11,Paramètres!$A$1:$I$89,5,0)</f>
        <v>248.03999999999994</v>
      </c>
      <c r="BF165" s="14">
        <f t="shared" si="167"/>
        <v>60.166044284441391</v>
      </c>
      <c r="BG165" s="22">
        <f t="shared" si="168"/>
        <v>536.79219379540189</v>
      </c>
      <c r="BH165" s="62">
        <f t="shared" si="116"/>
        <v>830.12552712873526</v>
      </c>
      <c r="BI165" s="62">
        <f ca="1">AVERAGE(OFFSET($BH$3,0,0,'Données projet'!$E$11+1,1))-AVERAGE(OFFSET($H$3,0,0,'Données projet'!$E$11+1,1))</f>
        <v>256.45505140629194</v>
      </c>
      <c r="BJ165" s="62">
        <f t="shared" si="146"/>
        <v>219.6985760545686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12.412987316825303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12.412987316825303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-1.1368683772161603E-13</v>
      </c>
      <c r="BZ165" s="14">
        <f>BY165*VLOOKUP('Données projet'!$B$12,Paramètres!$A$1:$I$89,3,0)*VLOOKUP('Données projet'!$B$12,Paramètres!$A$1:$I$89,5,0)</f>
        <v>-6.7984728957526396E-14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279.69031306919914</v>
      </c>
      <c r="CE165" s="62">
        <f t="shared" si="148"/>
        <v>297.01680128882509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26.447481193384679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1.9771583015103672E-13</v>
      </c>
      <c r="CN165" s="24">
        <f t="shared" si="172"/>
        <v>26.447481193384878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2">
        <f t="shared" si="140"/>
        <v>24.323409484531542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70">
        <f t="shared" si="110"/>
        <v>490.70145485222611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-2.2737367544323206E-13</v>
      </c>
      <c r="O166" s="14">
        <f>N166*VLOOKUP('Données projet'!$B$9,Paramètres!$A$1:$I$89,3,0)*VLOOKUP('Données projet'!$B$9,Paramètres!$A$1:$I$89,5,0)</f>
        <v>-1.2710188457276673E-13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378.17323480030268</v>
      </c>
      <c r="T166" s="62">
        <f t="shared" si="142"/>
        <v>471.89239871617241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39.708811831015133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1.3569842152788575E-14</v>
      </c>
      <c r="AC166" s="24">
        <f t="shared" si="163"/>
        <v>39.708811831015147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2.2737367544323206E-13</v>
      </c>
      <c r="AJ166" s="14">
        <f>AI166*VLOOKUP('Données projet'!$B$10,Paramètres!$A$1:$I$89,3,0)*VLOOKUP('Données projet'!$B$10,Paramètres!$A$1:$I$89,5,0)</f>
        <v>1.8444552551954985E-13</v>
      </c>
      <c r="AK166" s="14">
        <f t="shared" si="164"/>
        <v>2.580317449479618E-12</v>
      </c>
      <c r="AL166" s="22">
        <f t="shared" si="165"/>
        <v>4.8152955147902165E-12</v>
      </c>
      <c r="AM166" s="62">
        <f t="shared" si="113"/>
        <v>293.33333333333815</v>
      </c>
      <c r="AN166" s="62">
        <f ca="1">AVERAGE(OFFSET($AM$3,0,0,'Données projet'!$E$10+1,1))-AVERAGE(OFFSET($H$3,0,0,'Données projet'!$E$10+1,1))</f>
        <v>199.44889029107367</v>
      </c>
      <c r="AO166" s="62">
        <f t="shared" si="144"/>
        <v>292.30544856287457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10.808991319443063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10.808991319443063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529.99999999999989</v>
      </c>
      <c r="BE166" s="14">
        <f>BD166*VLOOKUP('Données projet'!$B$11,Paramètres!$A$1:$I$89,3,0)*VLOOKUP('Données projet'!$B$11,Paramètres!$A$1:$I$89,5,0)</f>
        <v>248.03999999999994</v>
      </c>
      <c r="BF166" s="14">
        <f t="shared" si="167"/>
        <v>60.166044284441391</v>
      </c>
      <c r="BG166" s="22">
        <f t="shared" si="168"/>
        <v>536.79219379540189</v>
      </c>
      <c r="BH166" s="62">
        <f t="shared" si="116"/>
        <v>830.12552712873526</v>
      </c>
      <c r="BI166" s="62">
        <f ca="1">AVERAGE(OFFSET($BH$3,0,0,'Données projet'!$E$11+1,1))-AVERAGE(OFFSET($H$3,0,0,'Données projet'!$E$11+1,1))</f>
        <v>256.45505140629194</v>
      </c>
      <c r="BJ166" s="62">
        <f t="shared" si="146"/>
        <v>219.6985760545686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12.16957620671703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12.16957620671703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-1.1368683772161603E-13</v>
      </c>
      <c r="BZ166" s="14">
        <f>BY166*VLOOKUP('Données projet'!$B$12,Paramètres!$A$1:$I$89,3,0)*VLOOKUP('Données projet'!$B$12,Paramètres!$A$1:$I$89,5,0)</f>
        <v>-6.7984728957526396E-14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279.69031306919914</v>
      </c>
      <c r="CE166" s="62">
        <f t="shared" si="148"/>
        <v>297.01680128882509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25.928862218553093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1.3980620424772571E-13</v>
      </c>
      <c r="CN166" s="24">
        <f t="shared" si="172"/>
        <v>25.928862218553231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2">
        <f t="shared" si="140"/>
        <v>24.455216283268463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70">
        <f t="shared" si="110"/>
        <v>491.88196836002629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-2.2737367544323206E-13</v>
      </c>
      <c r="O167" s="14">
        <f>N167*VLOOKUP('Données projet'!$B$9,Paramètres!$A$1:$I$89,3,0)*VLOOKUP('Données projet'!$B$9,Paramètres!$A$1:$I$89,5,0)</f>
        <v>-1.2710188457276673E-13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378.17323480030268</v>
      </c>
      <c r="T167" s="62">
        <f t="shared" si="142"/>
        <v>471.89239871617241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38.930146250992621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9.5953274058678599E-15</v>
      </c>
      <c r="AC167" s="24">
        <f t="shared" si="163"/>
        <v>38.930146250992628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2.2737367544323206E-13</v>
      </c>
      <c r="AJ167" s="14">
        <f>AI167*VLOOKUP('Données projet'!$B$10,Paramètres!$A$1:$I$89,3,0)*VLOOKUP('Données projet'!$B$10,Paramètres!$A$1:$I$89,5,0)</f>
        <v>1.8444552551954985E-13</v>
      </c>
      <c r="AK167" s="14">
        <f t="shared" si="164"/>
        <v>2.580317449479618E-12</v>
      </c>
      <c r="AL167" s="22">
        <f t="shared" si="165"/>
        <v>4.8152955147902165E-12</v>
      </c>
      <c r="AM167" s="62">
        <f t="shared" si="113"/>
        <v>293.33333333333815</v>
      </c>
      <c r="AN167" s="62">
        <f ca="1">AVERAGE(OFFSET($AM$3,0,0,'Données projet'!$E$10+1,1))-AVERAGE(OFFSET($H$3,0,0,'Données projet'!$E$10+1,1))</f>
        <v>199.44889029107367</v>
      </c>
      <c r="AO167" s="62">
        <f t="shared" si="144"/>
        <v>292.30544856287457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10.597033592502502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10.597033592502502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529.99999999999989</v>
      </c>
      <c r="BE167" s="14">
        <f>BD167*VLOOKUP('Données projet'!$B$11,Paramètres!$A$1:$I$89,3,0)*VLOOKUP('Données projet'!$B$11,Paramètres!$A$1:$I$89,5,0)</f>
        <v>248.03999999999994</v>
      </c>
      <c r="BF167" s="14">
        <f t="shared" si="167"/>
        <v>60.166044284441391</v>
      </c>
      <c r="BG167" s="22">
        <f t="shared" si="168"/>
        <v>536.79219379540189</v>
      </c>
      <c r="BH167" s="62">
        <f t="shared" si="116"/>
        <v>830.12552712873526</v>
      </c>
      <c r="BI167" s="62">
        <f ca="1">AVERAGE(OFFSET($BH$3,0,0,'Données projet'!$E$11+1,1))-AVERAGE(OFFSET($H$3,0,0,'Données projet'!$E$11+1,1))</f>
        <v>256.45505140629194</v>
      </c>
      <c r="BJ167" s="62">
        <f t="shared" si="146"/>
        <v>219.6985760545686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11.930938240011864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11.930938240011864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-1.1368683772161603E-13</v>
      </c>
      <c r="BZ167" s="14">
        <f>BY167*VLOOKUP('Données projet'!$B$12,Paramètres!$A$1:$I$89,3,0)*VLOOKUP('Données projet'!$B$12,Paramètres!$A$1:$I$89,5,0)</f>
        <v>-6.7984728957526396E-14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279.69031306919914</v>
      </c>
      <c r="CE167" s="62">
        <f t="shared" si="148"/>
        <v>297.01680128882509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25.420413045491614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9.8857915075518359E-14</v>
      </c>
      <c r="CN167" s="24">
        <f t="shared" si="172"/>
        <v>25.420413045491713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2">
        <f t="shared" si="140"/>
        <v>24.586929563904505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70">
        <f t="shared" si="110"/>
        <v>493.06231899046742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-2.2737367544323206E-13</v>
      </c>
      <c r="O168" s="14">
        <f>N168*VLOOKUP('Données projet'!$B$9,Paramètres!$A$1:$I$89,3,0)*VLOOKUP('Données projet'!$B$9,Paramètres!$A$1:$I$89,5,0)</f>
        <v>-1.2710188457276673E-13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378.17323480030268</v>
      </c>
      <c r="T168" s="62">
        <f t="shared" si="142"/>
        <v>471.89239871617241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38.166749828055238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6.7849210763942876E-15</v>
      </c>
      <c r="AC168" s="24">
        <f t="shared" si="163"/>
        <v>38.166749828055245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2.2737367544323206E-13</v>
      </c>
      <c r="AJ168" s="14">
        <f>AI168*VLOOKUP('Données projet'!$B$10,Paramètres!$A$1:$I$89,3,0)*VLOOKUP('Données projet'!$B$10,Paramètres!$A$1:$I$89,5,0)</f>
        <v>1.8444552551954985E-13</v>
      </c>
      <c r="AK168" s="14">
        <f t="shared" si="164"/>
        <v>2.580317449479618E-12</v>
      </c>
      <c r="AL168" s="22">
        <f t="shared" si="165"/>
        <v>4.8152955147902165E-12</v>
      </c>
      <c r="AM168" s="62">
        <f t="shared" si="113"/>
        <v>293.33333333333815</v>
      </c>
      <c r="AN168" s="62">
        <f ca="1">AVERAGE(OFFSET($AM$3,0,0,'Données projet'!$E$10+1,1))-AVERAGE(OFFSET($H$3,0,0,'Données projet'!$E$10+1,1))</f>
        <v>199.44889029107367</v>
      </c>
      <c r="AO168" s="62">
        <f t="shared" si="144"/>
        <v>292.30544856287457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10.389232227305797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10.389232227305797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529.99999999999989</v>
      </c>
      <c r="BE168" s="14">
        <f>BD168*VLOOKUP('Données projet'!$B$11,Paramètres!$A$1:$I$89,3,0)*VLOOKUP('Données projet'!$B$11,Paramètres!$A$1:$I$89,5,0)</f>
        <v>248.03999999999994</v>
      </c>
      <c r="BF168" s="14">
        <f t="shared" si="167"/>
        <v>60.166044284441391</v>
      </c>
      <c r="BG168" s="22">
        <f t="shared" si="168"/>
        <v>536.79219379540189</v>
      </c>
      <c r="BH168" s="62">
        <f t="shared" si="116"/>
        <v>830.12552712873526</v>
      </c>
      <c r="BI168" s="62">
        <f ca="1">AVERAGE(OFFSET($BH$3,0,0,'Données projet'!$E$11+1,1))-AVERAGE(OFFSET($H$3,0,0,'Données projet'!$E$11+1,1))</f>
        <v>256.45505140629194</v>
      </c>
      <c r="BJ168" s="62">
        <f t="shared" si="146"/>
        <v>219.6985760545686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11.696979818278999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11.696979818278999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-1.1368683772161603E-13</v>
      </c>
      <c r="BZ168" s="14">
        <f>BY168*VLOOKUP('Données projet'!$B$12,Paramètres!$A$1:$I$89,3,0)*VLOOKUP('Données projet'!$B$12,Paramètres!$A$1:$I$89,5,0)</f>
        <v>-6.7984728957526396E-14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279.69031306919914</v>
      </c>
      <c r="CE168" s="62">
        <f t="shared" si="148"/>
        <v>297.01680128882509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24.921934250590496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6.9903102123862857E-14</v>
      </c>
      <c r="CN168" s="24">
        <f t="shared" si="172"/>
        <v>24.921934250590567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2">
        <f t="shared" si="140"/>
        <v>24.718549958973419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70">
        <f t="shared" si="110"/>
        <v>494.24250784521246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-2.2737367544323206E-13</v>
      </c>
      <c r="O169" s="14">
        <f>N169*VLOOKUP('Données projet'!$B$9,Paramètres!$A$1:$I$89,3,0)*VLOOKUP('Données projet'!$B$9,Paramètres!$A$1:$I$89,5,0)</f>
        <v>-1.2710188457276673E-13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378.17323480030268</v>
      </c>
      <c r="T169" s="62">
        <f t="shared" si="142"/>
        <v>471.89239871617241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37.418323143345816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4.79766370293393E-15</v>
      </c>
      <c r="AC169" s="24">
        <f t="shared" si="163"/>
        <v>37.418323143345823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2.2737367544323206E-13</v>
      </c>
      <c r="AJ169" s="14">
        <f>AI169*VLOOKUP('Données projet'!$B$10,Paramètres!$A$1:$I$89,3,0)*VLOOKUP('Données projet'!$B$10,Paramètres!$A$1:$I$89,5,0)</f>
        <v>1.8444552551954985E-13</v>
      </c>
      <c r="AK169" s="14">
        <f t="shared" si="164"/>
        <v>2.580317449479618E-12</v>
      </c>
      <c r="AL169" s="22">
        <f t="shared" si="165"/>
        <v>4.8152955147902165E-12</v>
      </c>
      <c r="AM169" s="62">
        <f t="shared" si="113"/>
        <v>293.33333333333815</v>
      </c>
      <c r="AN169" s="62">
        <f ca="1">AVERAGE(OFFSET($AM$3,0,0,'Données projet'!$E$10+1,1))-AVERAGE(OFFSET($H$3,0,0,'Données projet'!$E$10+1,1))</f>
        <v>199.44889029107367</v>
      </c>
      <c r="AO169" s="62">
        <f t="shared" si="144"/>
        <v>292.30544856287457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10.185505720134282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10.185505720134282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529.99999999999989</v>
      </c>
      <c r="BE169" s="14">
        <f>BD169*VLOOKUP('Données projet'!$B$11,Paramètres!$A$1:$I$89,3,0)*VLOOKUP('Données projet'!$B$11,Paramètres!$A$1:$I$89,5,0)</f>
        <v>248.03999999999994</v>
      </c>
      <c r="BF169" s="14">
        <f t="shared" si="167"/>
        <v>60.166044284441391</v>
      </c>
      <c r="BG169" s="22">
        <f t="shared" si="168"/>
        <v>536.79219379540189</v>
      </c>
      <c r="BH169" s="62">
        <f t="shared" si="116"/>
        <v>830.12552712873526</v>
      </c>
      <c r="BI169" s="62">
        <f ca="1">AVERAGE(OFFSET($BH$3,0,0,'Données projet'!$E$11+1,1))-AVERAGE(OFFSET($H$3,0,0,'Données projet'!$E$11+1,1))</f>
        <v>256.45505140629194</v>
      </c>
      <c r="BJ169" s="62">
        <f t="shared" si="146"/>
        <v>219.6985760545686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11.467609178495769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11.467609178495769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-1.1368683772161603E-13</v>
      </c>
      <c r="BZ169" s="14">
        <f>BY169*VLOOKUP('Données projet'!$B$12,Paramètres!$A$1:$I$89,3,0)*VLOOKUP('Données projet'!$B$12,Paramètres!$A$1:$I$89,5,0)</f>
        <v>-6.7984728957526396E-14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279.69031306919914</v>
      </c>
      <c r="CE169" s="62">
        <f t="shared" si="148"/>
        <v>297.01680128882509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24.433230320815348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4.942895753775918E-14</v>
      </c>
      <c r="CN169" s="24">
        <f t="shared" si="172"/>
        <v>24.433230320815397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2">
        <f t="shared" si="140"/>
        <v>24.850078092947228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70">
        <f t="shared" si="110"/>
        <v>495.42253601188349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-2.2737367544323206E-13</v>
      </c>
      <c r="O170" s="14">
        <f>N170*VLOOKUP('Données projet'!$B$9,Paramètres!$A$1:$I$89,3,0)*VLOOKUP('Données projet'!$B$9,Paramètres!$A$1:$I$89,5,0)</f>
        <v>-1.2710188457276673E-13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378.17323480030268</v>
      </c>
      <c r="T170" s="62">
        <f t="shared" si="142"/>
        <v>471.89239871617241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36.684572649428347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3.3924605381971438E-15</v>
      </c>
      <c r="AC170" s="24">
        <f t="shared" si="163"/>
        <v>36.684572649428347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2.2737367544323206E-13</v>
      </c>
      <c r="AJ170" s="14">
        <f>AI170*VLOOKUP('Données projet'!$B$10,Paramètres!$A$1:$I$89,3,0)*VLOOKUP('Données projet'!$B$10,Paramètres!$A$1:$I$89,5,0)</f>
        <v>1.8444552551954985E-13</v>
      </c>
      <c r="AK170" s="14">
        <f t="shared" si="164"/>
        <v>2.580317449479618E-12</v>
      </c>
      <c r="AL170" s="22">
        <f t="shared" si="165"/>
        <v>4.8152955147902165E-12</v>
      </c>
      <c r="AM170" s="62">
        <f t="shared" si="113"/>
        <v>293.33333333333815</v>
      </c>
      <c r="AN170" s="62">
        <f ca="1">AVERAGE(OFFSET($AM$3,0,0,'Données projet'!$E$10+1,1))-AVERAGE(OFFSET($H$3,0,0,'Données projet'!$E$10+1,1))</f>
        <v>199.44889029107367</v>
      </c>
      <c r="AO170" s="62">
        <f t="shared" si="144"/>
        <v>292.30544856287457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9.9857741655075003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9.9857741655075003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529.99999999999989</v>
      </c>
      <c r="BE170" s="14">
        <f>BD170*VLOOKUP('Données projet'!$B$11,Paramètres!$A$1:$I$89,3,0)*VLOOKUP('Données projet'!$B$11,Paramètres!$A$1:$I$89,5,0)</f>
        <v>248.03999999999994</v>
      </c>
      <c r="BF170" s="14">
        <f t="shared" si="167"/>
        <v>60.166044284441391</v>
      </c>
      <c r="BG170" s="22">
        <f t="shared" si="168"/>
        <v>536.79219379540189</v>
      </c>
      <c r="BH170" s="62">
        <f t="shared" si="116"/>
        <v>830.12552712873526</v>
      </c>
      <c r="BI170" s="62">
        <f ca="1">AVERAGE(OFFSET($BH$3,0,0,'Données projet'!$E$11+1,1))-AVERAGE(OFFSET($H$3,0,0,'Données projet'!$E$11+1,1))</f>
        <v>256.45505140629194</v>
      </c>
      <c r="BJ170" s="62">
        <f t="shared" si="146"/>
        <v>219.6985760545686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11.242736357056412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11.242736357056412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-1.1368683772161603E-13</v>
      </c>
      <c r="BZ170" s="14">
        <f>BY170*VLOOKUP('Données projet'!$B$12,Paramètres!$A$1:$I$89,3,0)*VLOOKUP('Données projet'!$B$12,Paramètres!$A$1:$I$89,5,0)</f>
        <v>-6.7984728957526396E-14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279.69031306919914</v>
      </c>
      <c r="CE170" s="62">
        <f t="shared" si="148"/>
        <v>297.01680128882509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23.954109577023125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3.4951551061931428E-14</v>
      </c>
      <c r="CN170" s="24">
        <f t="shared" si="172"/>
        <v>23.954109577023161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2">
        <f t="shared" si="140"/>
        <v>24.981514582386627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70">
        <f t="shared" si="110"/>
        <v>496.60240456432382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-2.2737367544323206E-13</v>
      </c>
      <c r="O171" s="14">
        <f>N171*VLOOKUP('Données projet'!$B$9,Paramètres!$A$1:$I$89,3,0)*VLOOKUP('Données projet'!$B$9,Paramètres!$A$1:$I$89,5,0)</f>
        <v>-1.2710188457276673E-13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378.17323480030268</v>
      </c>
      <c r="T171" s="62">
        <f t="shared" si="142"/>
        <v>471.89239871617241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35.965210555152986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2.398831851466965E-15</v>
      </c>
      <c r="AC171" s="24">
        <f t="shared" si="163"/>
        <v>35.965210555152986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2.2737367544323206E-13</v>
      </c>
      <c r="AJ171" s="14">
        <f>AI171*VLOOKUP('Données projet'!$B$10,Paramètres!$A$1:$I$89,3,0)*VLOOKUP('Données projet'!$B$10,Paramètres!$A$1:$I$89,5,0)</f>
        <v>1.8444552551954985E-13</v>
      </c>
      <c r="AK171" s="14">
        <f t="shared" si="164"/>
        <v>2.580317449479618E-12</v>
      </c>
      <c r="AL171" s="22">
        <f t="shared" si="165"/>
        <v>4.8152955147902165E-12</v>
      </c>
      <c r="AM171" s="62">
        <f t="shared" si="113"/>
        <v>293.33333333333815</v>
      </c>
      <c r="AN171" s="62">
        <f ca="1">AVERAGE(OFFSET($AM$3,0,0,'Données projet'!$E$10+1,1))-AVERAGE(OFFSET($H$3,0,0,'Données projet'!$E$10+1,1))</f>
        <v>199.44889029107367</v>
      </c>
      <c r="AO171" s="62">
        <f t="shared" si="144"/>
        <v>292.30544856287457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9.7899592248427307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9.7899592248427307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529.99999999999989</v>
      </c>
      <c r="BE171" s="14">
        <f>BD171*VLOOKUP('Données projet'!$B$11,Paramètres!$A$1:$I$89,3,0)*VLOOKUP('Données projet'!$B$11,Paramètres!$A$1:$I$89,5,0)</f>
        <v>248.03999999999994</v>
      </c>
      <c r="BF171" s="14">
        <f t="shared" si="167"/>
        <v>60.166044284441391</v>
      </c>
      <c r="BG171" s="22">
        <f t="shared" si="168"/>
        <v>536.79219379540189</v>
      </c>
      <c r="BH171" s="62">
        <f t="shared" si="116"/>
        <v>830.12552712873526</v>
      </c>
      <c r="BI171" s="62">
        <f ca="1">AVERAGE(OFFSET($BH$3,0,0,'Données projet'!$E$11+1,1))-AVERAGE(OFFSET($H$3,0,0,'Données projet'!$E$11+1,1))</f>
        <v>256.45505140629194</v>
      </c>
      <c r="BJ171" s="62">
        <f t="shared" si="146"/>
        <v>219.6985760545686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11.022273154486601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11.022273154486601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-1.1368683772161603E-13</v>
      </c>
      <c r="BZ171" s="14">
        <f>BY171*VLOOKUP('Données projet'!$B$12,Paramètres!$A$1:$I$89,3,0)*VLOOKUP('Données projet'!$B$12,Paramètres!$A$1:$I$89,5,0)</f>
        <v>-6.7984728957526396E-14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279.69031306919914</v>
      </c>
      <c r="CE171" s="62">
        <f t="shared" si="148"/>
        <v>297.01680128882509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23.48438409878187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2.471447876887959E-14</v>
      </c>
      <c r="CN171" s="24">
        <f t="shared" si="172"/>
        <v>23.484384098781895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2">
        <f t="shared" si="140"/>
        <v>25.112860036087632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70">
        <f t="shared" si="110"/>
        <v>497.78211456285305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-2.2737367544323206E-13</v>
      </c>
      <c r="O172" s="14">
        <f>N172*VLOOKUP('Données projet'!$B$9,Paramètres!$A$1:$I$89,3,0)*VLOOKUP('Données projet'!$B$9,Paramètres!$A$1:$I$89,5,0)</f>
        <v>-1.2710188457276673E-13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378.17323480030268</v>
      </c>
      <c r="T172" s="62">
        <f t="shared" si="142"/>
        <v>471.89239871617241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35.259954712778814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1.6962302690985719E-15</v>
      </c>
      <c r="AC172" s="24">
        <f t="shared" si="163"/>
        <v>35.259954712778814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2.2737367544323206E-13</v>
      </c>
      <c r="AJ172" s="14">
        <f>AI172*VLOOKUP('Données projet'!$B$10,Paramètres!$A$1:$I$89,3,0)*VLOOKUP('Données projet'!$B$10,Paramètres!$A$1:$I$89,5,0)</f>
        <v>1.8444552551954985E-13</v>
      </c>
      <c r="AK172" s="14">
        <f t="shared" si="164"/>
        <v>2.580317449479618E-12</v>
      </c>
      <c r="AL172" s="22">
        <f t="shared" si="165"/>
        <v>4.8152955147902165E-12</v>
      </c>
      <c r="AM172" s="62">
        <f t="shared" si="113"/>
        <v>293.33333333333815</v>
      </c>
      <c r="AN172" s="62">
        <f ca="1">AVERAGE(OFFSET($AM$3,0,0,'Données projet'!$E$10+1,1))-AVERAGE(OFFSET($H$3,0,0,'Données projet'!$E$10+1,1))</f>
        <v>199.44889029107367</v>
      </c>
      <c r="AO172" s="62">
        <f t="shared" si="144"/>
        <v>292.30544856287457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9.5979840957290765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9.5979840957290765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529.99999999999989</v>
      </c>
      <c r="BE172" s="14">
        <f>BD172*VLOOKUP('Données projet'!$B$11,Paramètres!$A$1:$I$89,3,0)*VLOOKUP('Données projet'!$B$11,Paramètres!$A$1:$I$89,5,0)</f>
        <v>248.03999999999994</v>
      </c>
      <c r="BF172" s="14">
        <f t="shared" si="167"/>
        <v>60.166044284441391</v>
      </c>
      <c r="BG172" s="22">
        <f t="shared" si="168"/>
        <v>536.79219379540189</v>
      </c>
      <c r="BH172" s="62">
        <f t="shared" si="116"/>
        <v>830.12552712873526</v>
      </c>
      <c r="BI172" s="62">
        <f ca="1">AVERAGE(OFFSET($BH$3,0,0,'Données projet'!$E$11+1,1))-AVERAGE(OFFSET($H$3,0,0,'Données projet'!$E$11+1,1))</f>
        <v>256.45505140629194</v>
      </c>
      <c r="BJ172" s="62">
        <f t="shared" si="146"/>
        <v>219.6985760545686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10.806133100849911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10.806133100849911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-1.1368683772161603E-13</v>
      </c>
      <c r="BZ172" s="14">
        <f>BY172*VLOOKUP('Données projet'!$B$12,Paramètres!$A$1:$I$89,3,0)*VLOOKUP('Données projet'!$B$12,Paramètres!$A$1:$I$89,5,0)</f>
        <v>-6.7984728957526396E-14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279.69031306919914</v>
      </c>
      <c r="CE172" s="62">
        <f t="shared" si="148"/>
        <v>297.01680128882509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23.023869650664675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1.7475775530965714E-14</v>
      </c>
      <c r="CN172" s="24">
        <f t="shared" si="172"/>
        <v>23.023869650664693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2">
        <f t="shared" si="140"/>
        <v>25.244115055224771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70">
        <f t="shared" si="110"/>
        <v>498.96166705451697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-2.2737367544323206E-13</v>
      </c>
      <c r="O173" s="14">
        <f>N173*VLOOKUP('Données projet'!$B$9,Paramètres!$A$1:$I$89,3,0)*VLOOKUP('Données projet'!$B$9,Paramètres!$A$1:$I$89,5,0)</f>
        <v>-1.2710188457276673E-13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378.17323480030268</v>
      </c>
      <c r="T173" s="62">
        <f t="shared" si="142"/>
        <v>471.89239871617241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34.568528507310013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1.1994159257334825E-15</v>
      </c>
      <c r="AC173" s="24">
        <f t="shared" si="163"/>
        <v>34.568528507310013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2.2737367544323206E-13</v>
      </c>
      <c r="AJ173" s="14">
        <f>AI173*VLOOKUP('Données projet'!$B$10,Paramètres!$A$1:$I$89,3,0)*VLOOKUP('Données projet'!$B$10,Paramètres!$A$1:$I$89,5,0)</f>
        <v>1.8444552551954985E-13</v>
      </c>
      <c r="AK173" s="14">
        <f t="shared" si="164"/>
        <v>2.580317449479618E-12</v>
      </c>
      <c r="AL173" s="22">
        <f t="shared" si="165"/>
        <v>4.8152955147902165E-12</v>
      </c>
      <c r="AM173" s="62">
        <f t="shared" si="113"/>
        <v>293.33333333333815</v>
      </c>
      <c r="AN173" s="62">
        <f ca="1">AVERAGE(OFFSET($AM$3,0,0,'Données projet'!$E$10+1,1))-AVERAGE(OFFSET($H$3,0,0,'Données projet'!$E$10+1,1))</f>
        <v>199.44889029107367</v>
      </c>
      <c r="AO173" s="62">
        <f t="shared" si="144"/>
        <v>292.30544856287457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9.4097734818040735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9.4097734818040735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529.99999999999989</v>
      </c>
      <c r="BE173" s="14">
        <f>BD173*VLOOKUP('Données projet'!$B$11,Paramètres!$A$1:$I$89,3,0)*VLOOKUP('Données projet'!$B$11,Paramètres!$A$1:$I$89,5,0)</f>
        <v>248.03999999999994</v>
      </c>
      <c r="BF173" s="14">
        <f t="shared" si="167"/>
        <v>60.166044284441391</v>
      </c>
      <c r="BG173" s="22">
        <f t="shared" si="168"/>
        <v>536.79219379540189</v>
      </c>
      <c r="BH173" s="62">
        <f t="shared" si="116"/>
        <v>830.12552712873526</v>
      </c>
      <c r="BI173" s="62">
        <f ca="1">AVERAGE(OFFSET($BH$3,0,0,'Données projet'!$E$11+1,1))-AVERAGE(OFFSET($H$3,0,0,'Données projet'!$E$11+1,1))</f>
        <v>256.45505140629194</v>
      </c>
      <c r="BJ173" s="62">
        <f t="shared" si="146"/>
        <v>219.6985760545686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10.594231421832619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10.594231421832619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-1.1368683772161603E-13</v>
      </c>
      <c r="BZ173" s="14">
        <f>BY173*VLOOKUP('Données projet'!$B$12,Paramètres!$A$1:$I$89,3,0)*VLOOKUP('Données projet'!$B$12,Paramètres!$A$1:$I$89,5,0)</f>
        <v>-6.7984728957526396E-14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279.69031306919914</v>
      </c>
      <c r="CE173" s="62">
        <f t="shared" si="148"/>
        <v>297.01680128882509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22.572385609988981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1.2357239384439795E-14</v>
      </c>
      <c r="CN173" s="24">
        <f t="shared" si="172"/>
        <v>22.572385609988991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2">
        <f t="shared" si="140"/>
        <v>25.375280233490745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70">
        <f t="shared" si="110"/>
        <v>500.1410630733302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-2.2737367544323206E-13</v>
      </c>
      <c r="O174" s="14">
        <f>N174*VLOOKUP('Données projet'!$B$9,Paramètres!$A$1:$I$89,3,0)*VLOOKUP('Données projet'!$B$9,Paramètres!$A$1:$I$89,5,0)</f>
        <v>-1.2710188457276673E-13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378.17323480030268</v>
      </c>
      <c r="T174" s="62">
        <f t="shared" si="142"/>
        <v>471.89239871617241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33.890660748002112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8.4811513454928595E-16</v>
      </c>
      <c r="AC174" s="24">
        <f t="shared" si="163"/>
        <v>33.890660748002112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2.2737367544323206E-13</v>
      </c>
      <c r="AJ174" s="14">
        <f>AI174*VLOOKUP('Données projet'!$B$10,Paramètres!$A$1:$I$89,3,0)*VLOOKUP('Données projet'!$B$10,Paramètres!$A$1:$I$89,5,0)</f>
        <v>1.8444552551954985E-13</v>
      </c>
      <c r="AK174" s="14">
        <f t="shared" si="164"/>
        <v>2.580317449479618E-12</v>
      </c>
      <c r="AL174" s="22">
        <f t="shared" si="165"/>
        <v>4.8152955147902165E-12</v>
      </c>
      <c r="AM174" s="62">
        <f t="shared" si="113"/>
        <v>293.33333333333815</v>
      </c>
      <c r="AN174" s="62">
        <f ca="1">AVERAGE(OFFSET($AM$3,0,0,'Données projet'!$E$10+1,1))-AVERAGE(OFFSET($H$3,0,0,'Données projet'!$E$10+1,1))</f>
        <v>199.44889029107367</v>
      </c>
      <c r="AO174" s="62">
        <f t="shared" si="144"/>
        <v>292.30544856287457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9.2252535632210009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9.2252535632210009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529.99999999999989</v>
      </c>
      <c r="BE174" s="14">
        <f>BD174*VLOOKUP('Données projet'!$B$11,Paramètres!$A$1:$I$89,3,0)*VLOOKUP('Données projet'!$B$11,Paramètres!$A$1:$I$89,5,0)</f>
        <v>248.03999999999994</v>
      </c>
      <c r="BF174" s="14">
        <f t="shared" si="167"/>
        <v>60.166044284441391</v>
      </c>
      <c r="BG174" s="22">
        <f t="shared" si="168"/>
        <v>536.79219379540189</v>
      </c>
      <c r="BH174" s="62">
        <f t="shared" si="116"/>
        <v>830.12552712873526</v>
      </c>
      <c r="BI174" s="62">
        <f ca="1">AVERAGE(OFFSET($BH$3,0,0,'Données projet'!$E$11+1,1))-AVERAGE(OFFSET($H$3,0,0,'Données projet'!$E$11+1,1))</f>
        <v>256.45505140629194</v>
      </c>
      <c r="BJ174" s="62">
        <f t="shared" si="146"/>
        <v>219.6985760545686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10.386485005493595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10.386485005493595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-1.1368683772161603E-13</v>
      </c>
      <c r="BZ174" s="14">
        <f>BY174*VLOOKUP('Données projet'!$B$12,Paramètres!$A$1:$I$89,3,0)*VLOOKUP('Données projet'!$B$12,Paramètres!$A$1:$I$89,5,0)</f>
        <v>-6.7984728957526396E-14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279.69031306919914</v>
      </c>
      <c r="CE174" s="62">
        <f t="shared" si="148"/>
        <v>297.01680128882509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22.129754895972862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8.7378877654828571E-15</v>
      </c>
      <c r="CN174" s="24">
        <f t="shared" si="172"/>
        <v>22.129754895972869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2">
        <f t="shared" si="140"/>
        <v>25.506356157232712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70">
        <f t="shared" si="110"/>
        <v>501.32030364051411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-2.2737367544323206E-13</v>
      </c>
      <c r="O175" s="14">
        <f>N175*VLOOKUP('Données projet'!$B$9,Paramètres!$A$1:$I$89,3,0)*VLOOKUP('Données projet'!$B$9,Paramètres!$A$1:$I$89,5,0)</f>
        <v>-1.2710188457276673E-13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378.17323480030268</v>
      </c>
      <c r="T175" s="62">
        <f t="shared" si="142"/>
        <v>471.89239871617241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33.226085561995731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5.9970796286674125E-16</v>
      </c>
      <c r="AC175" s="24">
        <f t="shared" si="163"/>
        <v>33.226085561995731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2.2737367544323206E-13</v>
      </c>
      <c r="AJ175" s="14">
        <f>AI175*VLOOKUP('Données projet'!$B$10,Paramètres!$A$1:$I$89,3,0)*VLOOKUP('Données projet'!$B$10,Paramètres!$A$1:$I$89,5,0)</f>
        <v>1.8444552551954985E-13</v>
      </c>
      <c r="AK175" s="14">
        <f t="shared" si="164"/>
        <v>2.580317449479618E-12</v>
      </c>
      <c r="AL175" s="22">
        <f t="shared" si="165"/>
        <v>4.8152955147902165E-12</v>
      </c>
      <c r="AM175" s="62">
        <f t="shared" si="113"/>
        <v>293.33333333333815</v>
      </c>
      <c r="AN175" s="62">
        <f ca="1">AVERAGE(OFFSET($AM$3,0,0,'Données projet'!$E$10+1,1))-AVERAGE(OFFSET($H$3,0,0,'Données projet'!$E$10+1,1))</f>
        <v>199.44889029107367</v>
      </c>
      <c r="AO175" s="62">
        <f t="shared" si="144"/>
        <v>292.30544856287457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9.0443519676953059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9.0443519676953059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529.99999999999989</v>
      </c>
      <c r="BE175" s="14">
        <f>BD175*VLOOKUP('Données projet'!$B$11,Paramètres!$A$1:$I$89,3,0)*VLOOKUP('Données projet'!$B$11,Paramètres!$A$1:$I$89,5,0)</f>
        <v>248.03999999999994</v>
      </c>
      <c r="BF175" s="14">
        <f t="shared" si="167"/>
        <v>60.166044284441391</v>
      </c>
      <c r="BG175" s="22">
        <f t="shared" si="168"/>
        <v>536.79219379540189</v>
      </c>
      <c r="BH175" s="62">
        <f t="shared" si="116"/>
        <v>830.12552712873526</v>
      </c>
      <c r="BI175" s="62">
        <f ca="1">AVERAGE(OFFSET($BH$3,0,0,'Données projet'!$E$11+1,1))-AVERAGE(OFFSET($H$3,0,0,'Données projet'!$E$11+1,1))</f>
        <v>256.45505140629194</v>
      </c>
      <c r="BJ175" s="62">
        <f t="shared" si="146"/>
        <v>219.6985760545686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10.182812369666177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10.182812369666177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-1.1368683772161603E-13</v>
      </c>
      <c r="BZ175" s="14">
        <f>BY175*VLOOKUP('Données projet'!$B$12,Paramètres!$A$1:$I$89,3,0)*VLOOKUP('Données projet'!$B$12,Paramètres!$A$1:$I$89,5,0)</f>
        <v>-6.7984728957526396E-14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279.69031306919914</v>
      </c>
      <c r="CE175" s="62">
        <f t="shared" si="148"/>
        <v>297.01680128882509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21.695803900280524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6.1786196922198974E-15</v>
      </c>
      <c r="CN175" s="24">
        <f t="shared" si="172"/>
        <v>21.695803900280531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2">
        <f t="shared" si="140"/>
        <v>25.637343405585391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70">
        <f t="shared" si="110"/>
        <v>502.49938976472833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-2.2737367544323206E-13</v>
      </c>
      <c r="O176" s="14">
        <f>N176*VLOOKUP('Données projet'!$B$9,Paramètres!$A$1:$I$89,3,0)*VLOOKUP('Données projet'!$B$9,Paramètres!$A$1:$I$89,5,0)</f>
        <v>-1.2710188457276673E-13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378.17323480030268</v>
      </c>
      <c r="T176" s="62">
        <f t="shared" si="142"/>
        <v>471.89239871617241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32.574542290036092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4.2405756727464298E-16</v>
      </c>
      <c r="AC176" s="24">
        <f t="shared" si="163"/>
        <v>32.574542290036092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2.2737367544323206E-13</v>
      </c>
      <c r="AJ176" s="14">
        <f>AI176*VLOOKUP('Données projet'!$B$10,Paramètres!$A$1:$I$89,3,0)*VLOOKUP('Données projet'!$B$10,Paramètres!$A$1:$I$89,5,0)</f>
        <v>1.8444552551954985E-13</v>
      </c>
      <c r="AK176" s="14">
        <f t="shared" si="164"/>
        <v>2.580317449479618E-12</v>
      </c>
      <c r="AL176" s="22">
        <f t="shared" si="165"/>
        <v>4.8152955147902165E-12</v>
      </c>
      <c r="AM176" s="62">
        <f t="shared" si="113"/>
        <v>293.33333333333815</v>
      </c>
      <c r="AN176" s="62">
        <f ca="1">AVERAGE(OFFSET($AM$3,0,0,'Données projet'!$E$10+1,1))-AVERAGE(OFFSET($H$3,0,0,'Données projet'!$E$10+1,1))</f>
        <v>199.44889029107367</v>
      </c>
      <c r="AO176" s="62">
        <f t="shared" si="144"/>
        <v>292.30544856287457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8.8669977421187909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8.8669977421187909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529.99999999999989</v>
      </c>
      <c r="BE176" s="14">
        <f>BD176*VLOOKUP('Données projet'!$B$11,Paramètres!$A$1:$I$89,3,0)*VLOOKUP('Données projet'!$B$11,Paramètres!$A$1:$I$89,5,0)</f>
        <v>248.03999999999994</v>
      </c>
      <c r="BF176" s="14">
        <f t="shared" si="167"/>
        <v>60.166044284441391</v>
      </c>
      <c r="BG176" s="22">
        <f t="shared" si="168"/>
        <v>536.79219379540189</v>
      </c>
      <c r="BH176" s="62">
        <f t="shared" si="116"/>
        <v>830.12552712873526</v>
      </c>
      <c r="BI176" s="62">
        <f ca="1">AVERAGE(OFFSET($BH$3,0,0,'Données projet'!$E$11+1,1))-AVERAGE(OFFSET($H$3,0,0,'Données projet'!$E$11+1,1))</f>
        <v>256.45505140629194</v>
      </c>
      <c r="BJ176" s="62">
        <f t="shared" si="146"/>
        <v>219.6985760545686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9.9831336299992923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9.9831336299992923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-1.1368683772161603E-13</v>
      </c>
      <c r="BZ176" s="14">
        <f>BY176*VLOOKUP('Données projet'!$B$12,Paramètres!$A$1:$I$89,3,0)*VLOOKUP('Données projet'!$B$12,Paramètres!$A$1:$I$89,5,0)</f>
        <v>-6.7984728957526396E-14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279.69031306919914</v>
      </c>
      <c r="CE176" s="62">
        <f t="shared" si="148"/>
        <v>297.01680128882509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21.270362418929739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4.3689438827414286E-15</v>
      </c>
      <c r="CN176" s="24">
        <f t="shared" si="172"/>
        <v>21.270362418929743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2">
        <f t="shared" si="140"/>
        <v>25.768242550600831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70">
        <f t="shared" si="110"/>
        <v>503.67832244229692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-2.2737367544323206E-13</v>
      </c>
      <c r="O177" s="14">
        <f>N177*VLOOKUP('Données projet'!$B$9,Paramètres!$A$1:$I$89,3,0)*VLOOKUP('Données projet'!$B$9,Paramètres!$A$1:$I$89,5,0)</f>
        <v>-1.2710188457276673E-13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378.17323480030268</v>
      </c>
      <c r="T177" s="62">
        <f t="shared" si="142"/>
        <v>471.89239871617241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31.935775384237427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2.9985398143337062E-16</v>
      </c>
      <c r="AC177" s="24">
        <f t="shared" si="163"/>
        <v>31.935775384237427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2.2737367544323206E-13</v>
      </c>
      <c r="AJ177" s="14">
        <f>AI177*VLOOKUP('Données projet'!$B$10,Paramètres!$A$1:$I$89,3,0)*VLOOKUP('Données projet'!$B$10,Paramètres!$A$1:$I$89,5,0)</f>
        <v>1.8444552551954985E-13</v>
      </c>
      <c r="AK177" s="14">
        <f t="shared" si="164"/>
        <v>2.580317449479618E-12</v>
      </c>
      <c r="AL177" s="22">
        <f t="shared" si="165"/>
        <v>4.8152955147902165E-12</v>
      </c>
      <c r="AM177" s="62">
        <f t="shared" si="113"/>
        <v>293.33333333333815</v>
      </c>
      <c r="AN177" s="62">
        <f ca="1">AVERAGE(OFFSET($AM$3,0,0,'Données projet'!$E$10+1,1))-AVERAGE(OFFSET($H$3,0,0,'Données projet'!$E$10+1,1))</f>
        <v>199.44889029107367</v>
      </c>
      <c r="AO177" s="62">
        <f t="shared" si="144"/>
        <v>292.30544856287457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8.693121324730436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8.693121324730436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529.99999999999989</v>
      </c>
      <c r="BE177" s="14">
        <f>BD177*VLOOKUP('Données projet'!$B$11,Paramètres!$A$1:$I$89,3,0)*VLOOKUP('Données projet'!$B$11,Paramètres!$A$1:$I$89,5,0)</f>
        <v>248.03999999999994</v>
      </c>
      <c r="BF177" s="14">
        <f t="shared" si="167"/>
        <v>60.166044284441391</v>
      </c>
      <c r="BG177" s="22">
        <f t="shared" si="168"/>
        <v>536.79219379540189</v>
      </c>
      <c r="BH177" s="62">
        <f t="shared" si="116"/>
        <v>830.12552712873526</v>
      </c>
      <c r="BI177" s="62">
        <f ca="1">AVERAGE(OFFSET($BH$3,0,0,'Données projet'!$E$11+1,1))-AVERAGE(OFFSET($H$3,0,0,'Données projet'!$E$11+1,1))</f>
        <v>256.45505140629194</v>
      </c>
      <c r="BJ177" s="62">
        <f t="shared" si="146"/>
        <v>219.6985760545686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9.7873704686252712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9.7873704686252712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-1.1368683772161603E-13</v>
      </c>
      <c r="BZ177" s="14">
        <f>BY177*VLOOKUP('Données projet'!$B$12,Paramètres!$A$1:$I$89,3,0)*VLOOKUP('Données projet'!$B$12,Paramètres!$A$1:$I$89,5,0)</f>
        <v>-6.7984728957526396E-14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279.69031306919914</v>
      </c>
      <c r="CE177" s="62">
        <f t="shared" si="148"/>
        <v>297.01680128882509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20.853263585534563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3.0893098461099487E-15</v>
      </c>
      <c r="CN177" s="24">
        <f t="shared" si="172"/>
        <v>20.853263585534567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2">
        <f t="shared" si="140"/>
        <v>25.89905415737541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70">
        <f t="shared" si="110"/>
        <v>504.85710265742932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-2.2737367544323206E-13</v>
      </c>
      <c r="O178" s="14">
        <f>N178*VLOOKUP('Données projet'!$B$9,Paramètres!$A$1:$I$89,3,0)*VLOOKUP('Données projet'!$B$9,Paramètres!$A$1:$I$89,5,0)</f>
        <v>-1.2710188457276673E-13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378.17323480030268</v>
      </c>
      <c r="T178" s="62">
        <f t="shared" si="142"/>
        <v>471.89239871617241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31.309534307852132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2.1202878363732149E-16</v>
      </c>
      <c r="AC178" s="24">
        <f t="shared" si="163"/>
        <v>31.309534307852132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2.2737367544323206E-13</v>
      </c>
      <c r="AJ178" s="14">
        <f>AI178*VLOOKUP('Données projet'!$B$10,Paramètres!$A$1:$I$89,3,0)*VLOOKUP('Données projet'!$B$10,Paramètres!$A$1:$I$89,5,0)</f>
        <v>1.8444552551954985E-13</v>
      </c>
      <c r="AK178" s="14">
        <f t="shared" si="164"/>
        <v>2.580317449479618E-12</v>
      </c>
      <c r="AL178" s="22">
        <f t="shared" si="165"/>
        <v>4.8152955147902165E-12</v>
      </c>
      <c r="AM178" s="62">
        <f t="shared" si="113"/>
        <v>293.33333333333815</v>
      </c>
      <c r="AN178" s="62">
        <f ca="1">AVERAGE(OFFSET($AM$3,0,0,'Données projet'!$E$10+1,1))-AVERAGE(OFFSET($H$3,0,0,'Données projet'!$E$10+1,1))</f>
        <v>199.44889029107367</v>
      </c>
      <c r="AO178" s="62">
        <f t="shared" si="144"/>
        <v>292.30544856287457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8.5226545178329243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8.5226545178329243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529.99999999999989</v>
      </c>
      <c r="BE178" s="14">
        <f>BD178*VLOOKUP('Données projet'!$B$11,Paramètres!$A$1:$I$89,3,0)*VLOOKUP('Données projet'!$B$11,Paramètres!$A$1:$I$89,5,0)</f>
        <v>248.03999999999994</v>
      </c>
      <c r="BF178" s="14">
        <f t="shared" si="167"/>
        <v>60.166044284441391</v>
      </c>
      <c r="BG178" s="22">
        <f t="shared" si="168"/>
        <v>536.79219379540189</v>
      </c>
      <c r="BH178" s="62">
        <f t="shared" si="116"/>
        <v>830.12552712873526</v>
      </c>
      <c r="BI178" s="62">
        <f ca="1">AVERAGE(OFFSET($BH$3,0,0,'Données projet'!$E$11+1,1))-AVERAGE(OFFSET($H$3,0,0,'Données projet'!$E$11+1,1))</f>
        <v>256.45505140629194</v>
      </c>
      <c r="BJ178" s="62">
        <f t="shared" si="146"/>
        <v>219.6985760545686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9.5954461034420557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9.5954461034420557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-1.1368683772161603E-13</v>
      </c>
      <c r="BZ178" s="14">
        <f>BY178*VLOOKUP('Données projet'!$B$12,Paramètres!$A$1:$I$89,3,0)*VLOOKUP('Données projet'!$B$12,Paramètres!$A$1:$I$89,5,0)</f>
        <v>-6.7984728957526396E-14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279.69031306919914</v>
      </c>
      <c r="CE178" s="62">
        <f t="shared" si="148"/>
        <v>297.01680128882509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20.444343805857098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2.1844719413707143E-15</v>
      </c>
      <c r="CN178" s="24">
        <f t="shared" si="172"/>
        <v>20.444343805857102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2">
        <f t="shared" si="140"/>
        <v>26.029778784173445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70">
        <f t="shared" si="110"/>
        <v>506.03573138243593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-2.2737367544323206E-13</v>
      </c>
      <c r="O179" s="14">
        <f>N179*VLOOKUP('Données projet'!$B$9,Paramètres!$A$1:$I$89,3,0)*VLOOKUP('Données projet'!$B$9,Paramètres!$A$1:$I$89,5,0)</f>
        <v>-1.2710188457276673E-13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378.17323480030268</v>
      </c>
      <c r="T179" s="62">
        <f t="shared" si="142"/>
        <v>471.89239871617241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30.695573437005415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1.4992699071668531E-16</v>
      </c>
      <c r="AC179" s="24">
        <f t="shared" si="163"/>
        <v>30.695573437005415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2.2737367544323206E-13</v>
      </c>
      <c r="AJ179" s="14">
        <f>AI179*VLOOKUP('Données projet'!$B$10,Paramètres!$A$1:$I$89,3,0)*VLOOKUP('Données projet'!$B$10,Paramètres!$A$1:$I$89,5,0)</f>
        <v>1.8444552551954985E-13</v>
      </c>
      <c r="AK179" s="14">
        <f t="shared" si="164"/>
        <v>2.580317449479618E-12</v>
      </c>
      <c r="AL179" s="22">
        <f t="shared" si="165"/>
        <v>4.8152955147902165E-12</v>
      </c>
      <c r="AM179" s="62">
        <f t="shared" si="113"/>
        <v>293.33333333333815</v>
      </c>
      <c r="AN179" s="62">
        <f ca="1">AVERAGE(OFFSET($AM$3,0,0,'Données projet'!$E$10+1,1))-AVERAGE(OFFSET($H$3,0,0,'Données projet'!$E$10+1,1))</f>
        <v>199.44889029107367</v>
      </c>
      <c r="AO179" s="62">
        <f t="shared" si="144"/>
        <v>292.30544856287457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8.3555304610441858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8.3555304610441858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529.99999999999989</v>
      </c>
      <c r="BE179" s="14">
        <f>BD179*VLOOKUP('Données projet'!$B$11,Paramètres!$A$1:$I$89,3,0)*VLOOKUP('Données projet'!$B$11,Paramètres!$A$1:$I$89,5,0)</f>
        <v>248.03999999999994</v>
      </c>
      <c r="BF179" s="14">
        <f t="shared" si="167"/>
        <v>60.166044284441391</v>
      </c>
      <c r="BG179" s="22">
        <f t="shared" si="168"/>
        <v>536.79219379540189</v>
      </c>
      <c r="BH179" s="62">
        <f t="shared" si="116"/>
        <v>830.12552712873526</v>
      </c>
      <c r="BI179" s="62">
        <f ca="1">AVERAGE(OFFSET($BH$3,0,0,'Données projet'!$E$11+1,1))-AVERAGE(OFFSET($H$3,0,0,'Données projet'!$E$11+1,1))</f>
        <v>256.45505140629194</v>
      </c>
      <c r="BJ179" s="62">
        <f t="shared" si="146"/>
        <v>219.6985760545686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9.4072852579977795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9.4072852579977795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-1.1368683772161603E-13</v>
      </c>
      <c r="BZ179" s="14">
        <f>BY179*VLOOKUP('Données projet'!$B$12,Paramètres!$A$1:$I$89,3,0)*VLOOKUP('Données projet'!$B$12,Paramètres!$A$1:$I$89,5,0)</f>
        <v>-6.7984728957526396E-14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279.69031306919914</v>
      </c>
      <c r="CE179" s="62">
        <f t="shared" si="148"/>
        <v>297.01680128882509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20.043442693642671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1.5446549230549744E-15</v>
      </c>
      <c r="CN179" s="24">
        <f t="shared" si="172"/>
        <v>20.043442693642671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2">
        <f t="shared" si="140"/>
        <v>26.160416982548288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70">
        <f t="shared" si="110"/>
        <v>507.21420957793879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-2.2737367544323206E-13</v>
      </c>
      <c r="O180" s="14">
        <f>N180*VLOOKUP('Données projet'!$B$9,Paramètres!$A$1:$I$89,3,0)*VLOOKUP('Données projet'!$B$9,Paramètres!$A$1:$I$89,5,0)</f>
        <v>-1.2710188457276673E-13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378.17323480030268</v>
      </c>
      <c r="T180" s="62">
        <f t="shared" si="142"/>
        <v>471.89239871617241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30.093651964356848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1.0601439181866074E-16</v>
      </c>
      <c r="AC180" s="24">
        <f t="shared" si="163"/>
        <v>30.093651964356848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2.2737367544323206E-13</v>
      </c>
      <c r="AJ180" s="14">
        <f>AI180*VLOOKUP('Données projet'!$B$10,Paramètres!$A$1:$I$89,3,0)*VLOOKUP('Données projet'!$B$10,Paramètres!$A$1:$I$89,5,0)</f>
        <v>1.8444552551954985E-13</v>
      </c>
      <c r="AK180" s="14">
        <f t="shared" si="164"/>
        <v>2.580317449479618E-12</v>
      </c>
      <c r="AL180" s="22">
        <f t="shared" si="165"/>
        <v>4.8152955147902165E-12</v>
      </c>
      <c r="AM180" s="62">
        <f t="shared" si="113"/>
        <v>293.33333333333815</v>
      </c>
      <c r="AN180" s="62">
        <f ca="1">AVERAGE(OFFSET($AM$3,0,0,'Données projet'!$E$10+1,1))-AVERAGE(OFFSET($H$3,0,0,'Données projet'!$E$10+1,1))</f>
        <v>199.44889029107367</v>
      </c>
      <c r="AO180" s="62">
        <f t="shared" si="144"/>
        <v>292.30544856287457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8.1916836050734663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8.1916836050734663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529.99999999999989</v>
      </c>
      <c r="BE180" s="14">
        <f>BD180*VLOOKUP('Données projet'!$B$11,Paramètres!$A$1:$I$89,3,0)*VLOOKUP('Données projet'!$B$11,Paramètres!$A$1:$I$89,5,0)</f>
        <v>248.03999999999994</v>
      </c>
      <c r="BF180" s="14">
        <f t="shared" si="167"/>
        <v>60.166044284441391</v>
      </c>
      <c r="BG180" s="22">
        <f t="shared" si="168"/>
        <v>536.79219379540189</v>
      </c>
      <c r="BH180" s="62">
        <f t="shared" si="116"/>
        <v>830.12552712873526</v>
      </c>
      <c r="BI180" s="62">
        <f ca="1">AVERAGE(OFFSET($BH$3,0,0,'Données projet'!$E$11+1,1))-AVERAGE(OFFSET($H$3,0,0,'Données projet'!$E$11+1,1))</f>
        <v>256.45505140629194</v>
      </c>
      <c r="BJ180" s="62">
        <f t="shared" si="146"/>
        <v>219.6985760545686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9.2228141319658814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9.2228141319658814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-1.1368683772161603E-13</v>
      </c>
      <c r="BZ180" s="14">
        <f>BY180*VLOOKUP('Données projet'!$B$12,Paramètres!$A$1:$I$89,3,0)*VLOOKUP('Données projet'!$B$12,Paramètres!$A$1:$I$89,5,0)</f>
        <v>-6.7984728957526396E-14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279.69031306919914</v>
      </c>
      <c r="CE180" s="62">
        <f t="shared" si="148"/>
        <v>297.01680128882509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19.650403007713233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1.0922359706853571E-15</v>
      </c>
      <c r="CN180" s="24">
        <f t="shared" si="172"/>
        <v>19.650403007713233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2">
        <f t="shared" si="140"/>
        <v>26.290969297460425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70">
        <f t="shared" si="110"/>
        <v>508.39253819307743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-2.2737367544323206E-13</v>
      </c>
      <c r="O181" s="14">
        <f>N181*VLOOKUP('Données projet'!$B$9,Paramètres!$A$1:$I$89,3,0)*VLOOKUP('Données projet'!$B$9,Paramètres!$A$1:$I$89,5,0)</f>
        <v>-1.2710188457276673E-13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378.17323480030268</v>
      </c>
      <c r="T181" s="62">
        <f t="shared" si="142"/>
        <v>471.89239871617241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29.50353380465107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7.4963495358342656E-17</v>
      </c>
      <c r="AC181" s="24">
        <f t="shared" si="163"/>
        <v>29.50353380465107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2.2737367544323206E-13</v>
      </c>
      <c r="AJ181" s="14">
        <f>AI181*VLOOKUP('Données projet'!$B$10,Paramètres!$A$1:$I$89,3,0)*VLOOKUP('Données projet'!$B$10,Paramètres!$A$1:$I$89,5,0)</f>
        <v>1.8444552551954985E-13</v>
      </c>
      <c r="AK181" s="14">
        <f t="shared" si="164"/>
        <v>2.580317449479618E-12</v>
      </c>
      <c r="AL181" s="22">
        <f t="shared" si="165"/>
        <v>4.8152955147902165E-12</v>
      </c>
      <c r="AM181" s="62">
        <f t="shared" si="113"/>
        <v>293.33333333333815</v>
      </c>
      <c r="AN181" s="62">
        <f ca="1">AVERAGE(OFFSET($AM$3,0,0,'Données projet'!$E$10+1,1))-AVERAGE(OFFSET($H$3,0,0,'Données projet'!$E$10+1,1))</f>
        <v>199.44889029107367</v>
      </c>
      <c r="AO181" s="62">
        <f t="shared" si="144"/>
        <v>292.30544856287457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8.0310496860116185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8.0310496860116185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529.99999999999989</v>
      </c>
      <c r="BE181" s="14">
        <f>BD181*VLOOKUP('Données projet'!$B$11,Paramètres!$A$1:$I$89,3,0)*VLOOKUP('Données projet'!$B$11,Paramètres!$A$1:$I$89,5,0)</f>
        <v>248.03999999999994</v>
      </c>
      <c r="BF181" s="14">
        <f t="shared" si="167"/>
        <v>60.166044284441391</v>
      </c>
      <c r="BG181" s="22">
        <f t="shared" si="168"/>
        <v>536.79219379540189</v>
      </c>
      <c r="BH181" s="62">
        <f t="shared" si="116"/>
        <v>830.12552712873526</v>
      </c>
      <c r="BI181" s="62">
        <f ca="1">AVERAGE(OFFSET($BH$3,0,0,'Données projet'!$E$11+1,1))-AVERAGE(OFFSET($H$3,0,0,'Données projet'!$E$11+1,1))</f>
        <v>256.45505140629194</v>
      </c>
      <c r="BJ181" s="62">
        <f t="shared" si="146"/>
        <v>219.6985760545686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9.0419603721991919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9.0419603721991919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-1.1368683772161603E-13</v>
      </c>
      <c r="BZ181" s="14">
        <f>BY181*VLOOKUP('Données projet'!$B$12,Paramètres!$A$1:$I$89,3,0)*VLOOKUP('Données projet'!$B$12,Paramètres!$A$1:$I$89,5,0)</f>
        <v>-6.7984728957526396E-14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279.69031306919914</v>
      </c>
      <c r="CE181" s="62">
        <f t="shared" si="148"/>
        <v>297.01680128882509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19.265070590294336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7.7232746152748718E-16</v>
      </c>
      <c r="CN181" s="24">
        <f t="shared" si="172"/>
        <v>19.265070590294336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2">
        <f t="shared" si="140"/>
        <v>26.421436267392767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70">
        <f t="shared" si="110"/>
        <v>509.57071816570965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-2.2737367544323206E-13</v>
      </c>
      <c r="O182" s="14">
        <f>N182*VLOOKUP('Données projet'!$B$9,Paramètres!$A$1:$I$89,3,0)*VLOOKUP('Données projet'!$B$9,Paramètres!$A$1:$I$89,5,0)</f>
        <v>-1.2710188457276673E-13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378.17323480030268</v>
      </c>
      <c r="T182" s="62">
        <f t="shared" si="142"/>
        <v>471.89239871617241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28.924987502120587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5.3007195909330372E-17</v>
      </c>
      <c r="AC182" s="24">
        <f t="shared" si="163"/>
        <v>28.924987502120587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2.2737367544323206E-13</v>
      </c>
      <c r="AJ182" s="14">
        <f>AI182*VLOOKUP('Données projet'!$B$10,Paramètres!$A$1:$I$89,3,0)*VLOOKUP('Données projet'!$B$10,Paramètres!$A$1:$I$89,5,0)</f>
        <v>1.8444552551954985E-13</v>
      </c>
      <c r="AK182" s="14">
        <f t="shared" si="164"/>
        <v>2.580317449479618E-12</v>
      </c>
      <c r="AL182" s="22">
        <f t="shared" si="165"/>
        <v>4.8152955147902165E-12</v>
      </c>
      <c r="AM182" s="62">
        <f t="shared" si="113"/>
        <v>293.33333333333815</v>
      </c>
      <c r="AN182" s="62">
        <f ca="1">AVERAGE(OFFSET($AM$3,0,0,'Données projet'!$E$10+1,1))-AVERAGE(OFFSET($H$3,0,0,'Données projet'!$E$10+1,1))</f>
        <v>199.44889029107367</v>
      </c>
      <c r="AO182" s="62">
        <f t="shared" si="144"/>
        <v>292.30544856287457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7.8735657001255568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7.8735657001255568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529.99999999999989</v>
      </c>
      <c r="BE182" s="14">
        <f>BD182*VLOOKUP('Données projet'!$B$11,Paramètres!$A$1:$I$89,3,0)*VLOOKUP('Données projet'!$B$11,Paramètres!$A$1:$I$89,5,0)</f>
        <v>248.03999999999994</v>
      </c>
      <c r="BF182" s="14">
        <f t="shared" si="167"/>
        <v>60.166044284441391</v>
      </c>
      <c r="BG182" s="22">
        <f t="shared" si="168"/>
        <v>536.79219379540189</v>
      </c>
      <c r="BH182" s="62">
        <f t="shared" si="116"/>
        <v>830.12552712873526</v>
      </c>
      <c r="BI182" s="62">
        <f ca="1">AVERAGE(OFFSET($BH$3,0,0,'Données projet'!$E$11+1,1))-AVERAGE(OFFSET($H$3,0,0,'Données projet'!$E$11+1,1))</f>
        <v>256.45505140629194</v>
      </c>
      <c r="BJ182" s="62">
        <f t="shared" si="146"/>
        <v>219.6985760545686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8.8646530443516269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8.8646530443516269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-1.1368683772161603E-13</v>
      </c>
      <c r="BZ182" s="14">
        <f>BY182*VLOOKUP('Données projet'!$B$12,Paramètres!$A$1:$I$89,3,0)*VLOOKUP('Données projet'!$B$12,Paramètres!$A$1:$I$89,5,0)</f>
        <v>-6.7984728957526396E-14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279.69031306919914</v>
      </c>
      <c r="CE182" s="62">
        <f t="shared" si="148"/>
        <v>297.01680128882509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18.887294306551457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5.4611798534267857E-16</v>
      </c>
      <c r="CN182" s="24">
        <f t="shared" si="172"/>
        <v>18.887294306551457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2">
        <f t="shared" si="140"/>
        <v>26.551818424463544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70">
        <f t="shared" si="110"/>
        <v>510.74875042260788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-2.2737367544323206E-13</v>
      </c>
      <c r="O183" s="14">
        <f>N183*VLOOKUP('Données projet'!$B$9,Paramètres!$A$1:$I$89,3,0)*VLOOKUP('Données projet'!$B$9,Paramètres!$A$1:$I$89,5,0)</f>
        <v>-1.2710188457276673E-13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378.17323480030268</v>
      </c>
      <c r="T183" s="62">
        <f t="shared" si="142"/>
        <v>471.89239871617241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28.357786139704327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3.7481747679171328E-17</v>
      </c>
      <c r="AC183" s="24">
        <f t="shared" si="163"/>
        <v>28.357786139704327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2.2737367544323206E-13</v>
      </c>
      <c r="AJ183" s="14">
        <f>AI183*VLOOKUP('Données projet'!$B$10,Paramètres!$A$1:$I$89,3,0)*VLOOKUP('Données projet'!$B$10,Paramètres!$A$1:$I$89,5,0)</f>
        <v>1.8444552551954985E-13</v>
      </c>
      <c r="AK183" s="14">
        <f t="shared" si="164"/>
        <v>2.580317449479618E-12</v>
      </c>
      <c r="AL183" s="22">
        <f t="shared" si="165"/>
        <v>4.8152955147902165E-12</v>
      </c>
      <c r="AM183" s="62">
        <f t="shared" si="113"/>
        <v>293.33333333333815</v>
      </c>
      <c r="AN183" s="62">
        <f ca="1">AVERAGE(OFFSET($AM$3,0,0,'Données projet'!$E$10+1,1))-AVERAGE(OFFSET($H$3,0,0,'Données projet'!$E$10+1,1))</f>
        <v>199.44889029107367</v>
      </c>
      <c r="AO183" s="62">
        <f t="shared" si="144"/>
        <v>292.30544856287457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7.7191698791469738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7.7191698791469738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529.99999999999989</v>
      </c>
      <c r="BE183" s="14">
        <f>BD183*VLOOKUP('Données projet'!$B$11,Paramètres!$A$1:$I$89,3,0)*VLOOKUP('Données projet'!$B$11,Paramètres!$A$1:$I$89,5,0)</f>
        <v>248.03999999999994</v>
      </c>
      <c r="BF183" s="14">
        <f t="shared" si="167"/>
        <v>60.166044284441391</v>
      </c>
      <c r="BG183" s="22">
        <f t="shared" si="168"/>
        <v>536.79219379540189</v>
      </c>
      <c r="BH183" s="62">
        <f t="shared" si="116"/>
        <v>830.12552712873526</v>
      </c>
      <c r="BI183" s="62">
        <f ca="1">AVERAGE(OFFSET($BH$3,0,0,'Données projet'!$E$11+1,1))-AVERAGE(OFFSET($H$3,0,0,'Données projet'!$E$11+1,1))</f>
        <v>256.45505140629194</v>
      </c>
      <c r="BJ183" s="62">
        <f t="shared" si="146"/>
        <v>219.6985760545686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8.6908226050563613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8.6908226050563613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-1.1368683772161603E-13</v>
      </c>
      <c r="BZ183" s="14">
        <f>BY183*VLOOKUP('Données projet'!$B$12,Paramètres!$A$1:$I$89,3,0)*VLOOKUP('Données projet'!$B$12,Paramètres!$A$1:$I$89,5,0)</f>
        <v>-6.7984728957526396E-14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279.69031306919914</v>
      </c>
      <c r="CE183" s="62">
        <f t="shared" si="148"/>
        <v>297.01680128882509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18.516925985311993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3.8616373076374359E-16</v>
      </c>
      <c r="CN183" s="24">
        <f t="shared" si="172"/>
        <v>18.516925985311993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2">
        <f t="shared" si="140"/>
        <v>26.682116294536339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70">
        <f t="shared" si="110"/>
        <v>511.92663587965137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-2.2737367544323206E-13</v>
      </c>
      <c r="O184" s="14">
        <f>N184*VLOOKUP('Données projet'!$B$9,Paramètres!$A$1:$I$89,3,0)*VLOOKUP('Données projet'!$B$9,Paramètres!$A$1:$I$89,5,0)</f>
        <v>-1.2710188457276673E-13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378.17323480030268</v>
      </c>
      <c r="T184" s="62">
        <f t="shared" si="142"/>
        <v>471.89239871617241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27.80170725004638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2.6503597954665186E-17</v>
      </c>
      <c r="AC184" s="24">
        <f t="shared" si="163"/>
        <v>27.80170725004638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2.2737367544323206E-13</v>
      </c>
      <c r="AJ184" s="14">
        <f>AI184*VLOOKUP('Données projet'!$B$10,Paramètres!$A$1:$I$89,3,0)*VLOOKUP('Données projet'!$B$10,Paramètres!$A$1:$I$89,5,0)</f>
        <v>1.8444552551954985E-13</v>
      </c>
      <c r="AK184" s="14">
        <f t="shared" si="164"/>
        <v>2.580317449479618E-12</v>
      </c>
      <c r="AL184" s="22">
        <f t="shared" si="165"/>
        <v>4.8152955147902165E-12</v>
      </c>
      <c r="AM184" s="62">
        <f t="shared" si="113"/>
        <v>293.33333333333815</v>
      </c>
      <c r="AN184" s="62">
        <f ca="1">AVERAGE(OFFSET($AM$3,0,0,'Données projet'!$E$10+1,1))-AVERAGE(OFFSET($H$3,0,0,'Données projet'!$E$10+1,1))</f>
        <v>199.44889029107367</v>
      </c>
      <c r="AO184" s="62">
        <f t="shared" si="144"/>
        <v>292.30544856287457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7.5678016660456287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7.5678016660456287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529.99999999999989</v>
      </c>
      <c r="BE184" s="14">
        <f>BD184*VLOOKUP('Données projet'!$B$11,Paramètres!$A$1:$I$89,3,0)*VLOOKUP('Données projet'!$B$11,Paramètres!$A$1:$I$89,5,0)</f>
        <v>248.03999999999994</v>
      </c>
      <c r="BF184" s="14">
        <f t="shared" si="167"/>
        <v>60.166044284441391</v>
      </c>
      <c r="BG184" s="22">
        <f t="shared" si="168"/>
        <v>536.79219379540189</v>
      </c>
      <c r="BH184" s="62">
        <f t="shared" si="116"/>
        <v>830.12552712873526</v>
      </c>
      <c r="BI184" s="62">
        <f ca="1">AVERAGE(OFFSET($BH$3,0,0,'Données projet'!$E$11+1,1))-AVERAGE(OFFSET($H$3,0,0,'Données projet'!$E$11+1,1))</f>
        <v>256.45505140629194</v>
      </c>
      <c r="BJ184" s="62">
        <f t="shared" si="146"/>
        <v>219.6985760545686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8.5204008746495763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8.5204008746495763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-1.1368683772161603E-13</v>
      </c>
      <c r="BZ184" s="14">
        <f>BY184*VLOOKUP('Données projet'!$B$12,Paramètres!$A$1:$I$89,3,0)*VLOOKUP('Données projet'!$B$12,Paramètres!$A$1:$I$89,5,0)</f>
        <v>-6.7984728957526396E-14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279.69031306919914</v>
      </c>
      <c r="CE184" s="62">
        <f t="shared" si="148"/>
        <v>297.01680128882509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18.153820360949666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2.7305899267133928E-16</v>
      </c>
      <c r="CN184" s="24">
        <f t="shared" si="172"/>
        <v>18.153820360949666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2">
        <f t="shared" si="140"/>
        <v>26.812330397327784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70">
        <f t="shared" si="110"/>
        <v>513.10437544201318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-2.2737367544323206E-13</v>
      </c>
      <c r="O185" s="14">
        <f>N185*VLOOKUP('Données projet'!$B$9,Paramètres!$A$1:$I$89,3,0)*VLOOKUP('Données projet'!$B$9,Paramètres!$A$1:$I$89,5,0)</f>
        <v>-1.2710188457276673E-13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378.17323480030268</v>
      </c>
      <c r="T185" s="62">
        <f t="shared" si="142"/>
        <v>471.89239871617241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27.256532728239993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1.8740873839585664E-17</v>
      </c>
      <c r="AC185" s="24">
        <f t="shared" si="163"/>
        <v>27.256532728239993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2.2737367544323206E-13</v>
      </c>
      <c r="AJ185" s="14">
        <f>AI185*VLOOKUP('Données projet'!$B$10,Paramètres!$A$1:$I$89,3,0)*VLOOKUP('Données projet'!$B$10,Paramètres!$A$1:$I$89,5,0)</f>
        <v>1.8444552551954985E-13</v>
      </c>
      <c r="AK185" s="14">
        <f t="shared" si="164"/>
        <v>2.580317449479618E-12</v>
      </c>
      <c r="AL185" s="22">
        <f t="shared" si="165"/>
        <v>4.8152955147902165E-12</v>
      </c>
      <c r="AM185" s="62">
        <f t="shared" si="113"/>
        <v>293.33333333333815</v>
      </c>
      <c r="AN185" s="62">
        <f ca="1">AVERAGE(OFFSET($AM$3,0,0,'Données projet'!$E$10+1,1))-AVERAGE(OFFSET($H$3,0,0,'Données projet'!$E$10+1,1))</f>
        <v>199.44889029107367</v>
      </c>
      <c r="AO185" s="62">
        <f t="shared" si="144"/>
        <v>292.30544856287457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7.4194016912777077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7.4194016912777077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529.99999999999989</v>
      </c>
      <c r="BE185" s="14">
        <f>BD185*VLOOKUP('Données projet'!$B$11,Paramètres!$A$1:$I$89,3,0)*VLOOKUP('Données projet'!$B$11,Paramètres!$A$1:$I$89,5,0)</f>
        <v>248.03999999999994</v>
      </c>
      <c r="BF185" s="14">
        <f t="shared" si="167"/>
        <v>60.166044284441391</v>
      </c>
      <c r="BG185" s="22">
        <f t="shared" si="168"/>
        <v>536.79219379540189</v>
      </c>
      <c r="BH185" s="62">
        <f t="shared" si="116"/>
        <v>830.12552712873526</v>
      </c>
      <c r="BI185" s="62">
        <f ca="1">AVERAGE(OFFSET($BH$3,0,0,'Données projet'!$E$11+1,1))-AVERAGE(OFFSET($H$3,0,0,'Données projet'!$E$11+1,1))</f>
        <v>256.45505140629194</v>
      </c>
      <c r="BJ185" s="62">
        <f t="shared" si="146"/>
        <v>219.6985760545686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8.3533210104290774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8.3533210104290774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-1.1368683772161603E-13</v>
      </c>
      <c r="BZ185" s="14">
        <f>BY185*VLOOKUP('Données projet'!$B$12,Paramètres!$A$1:$I$89,3,0)*VLOOKUP('Données projet'!$B$12,Paramètres!$A$1:$I$89,5,0)</f>
        <v>-6.7984728957526396E-14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279.69031306919914</v>
      </c>
      <c r="CE185" s="62">
        <f t="shared" si="148"/>
        <v>297.01680128882509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17.79783501640852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1.930818653818718E-16</v>
      </c>
      <c r="CN185" s="24">
        <f t="shared" si="172"/>
        <v>17.79783501640852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2">
        <f t="shared" si="140"/>
        <v>26.942461246512842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70">
        <f t="shared" si="110"/>
        <v>514.28197000434375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-2.2737367544323206E-13</v>
      </c>
      <c r="O186" s="14">
        <f>N186*VLOOKUP('Données projet'!$B$9,Paramètres!$A$1:$I$89,3,0)*VLOOKUP('Données projet'!$B$9,Paramètres!$A$1:$I$89,5,0)</f>
        <v>-1.2710188457276673E-13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378.17323480030268</v>
      </c>
      <c r="T186" s="62">
        <f t="shared" si="142"/>
        <v>471.89239871617241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26.722048746282603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1.3251798977332593E-17</v>
      </c>
      <c r="AC186" s="24">
        <f t="shared" si="163"/>
        <v>26.722048746282603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2.2737367544323206E-13</v>
      </c>
      <c r="AJ186" s="14">
        <f>AI186*VLOOKUP('Données projet'!$B$10,Paramètres!$A$1:$I$89,3,0)*VLOOKUP('Données projet'!$B$10,Paramètres!$A$1:$I$89,5,0)</f>
        <v>1.8444552551954985E-13</v>
      </c>
      <c r="AK186" s="14">
        <f t="shared" si="164"/>
        <v>2.580317449479618E-12</v>
      </c>
      <c r="AL186" s="22">
        <f t="shared" si="165"/>
        <v>4.8152955147902165E-12</v>
      </c>
      <c r="AM186" s="62">
        <f t="shared" si="113"/>
        <v>293.33333333333815</v>
      </c>
      <c r="AN186" s="62">
        <f ca="1">AVERAGE(OFFSET($AM$3,0,0,'Données projet'!$E$10+1,1))-AVERAGE(OFFSET($H$3,0,0,'Données projet'!$E$10+1,1))</f>
        <v>199.44889029107367</v>
      </c>
      <c r="AO186" s="62">
        <f t="shared" si="144"/>
        <v>292.30544856287457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7.2739117494999386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7.2739117494999386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529.99999999999989</v>
      </c>
      <c r="BE186" s="14">
        <f>BD186*VLOOKUP('Données projet'!$B$11,Paramètres!$A$1:$I$89,3,0)*VLOOKUP('Données projet'!$B$11,Paramètres!$A$1:$I$89,5,0)</f>
        <v>248.03999999999994</v>
      </c>
      <c r="BF186" s="14">
        <f t="shared" si="167"/>
        <v>60.166044284441391</v>
      </c>
      <c r="BG186" s="22">
        <f t="shared" si="168"/>
        <v>536.79219379540189</v>
      </c>
      <c r="BH186" s="62">
        <f t="shared" si="116"/>
        <v>830.12552712873526</v>
      </c>
      <c r="BI186" s="62">
        <f ca="1">AVERAGE(OFFSET($BH$3,0,0,'Données projet'!$E$11+1,1))-AVERAGE(OFFSET($H$3,0,0,'Données projet'!$E$11+1,1))</f>
        <v>256.45505140629194</v>
      </c>
      <c r="BJ186" s="62">
        <f t="shared" si="146"/>
        <v>219.6985760545686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8.1895174804372886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8.1895174804372886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-1.1368683772161603E-13</v>
      </c>
      <c r="BZ186" s="14">
        <f>BY186*VLOOKUP('Données projet'!$B$12,Paramètres!$A$1:$I$89,3,0)*VLOOKUP('Données projet'!$B$12,Paramètres!$A$1:$I$89,5,0)</f>
        <v>-6.7984728957526396E-14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279.69031306919914</v>
      </c>
      <c r="CE186" s="62">
        <f t="shared" si="148"/>
        <v>297.01680128882509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17.448830327344208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1.3652949633566964E-16</v>
      </c>
      <c r="CN186" s="24">
        <f t="shared" si="172"/>
        <v>17.448830327344208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2">
        <f t="shared" si="140"/>
        <v>27.072509349827552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70">
        <f t="shared" si="110"/>
        <v>515.45942045095035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-2.2737367544323206E-13</v>
      </c>
      <c r="O187" s="14">
        <f>N187*VLOOKUP('Données projet'!$B$9,Paramètres!$A$1:$I$89,3,0)*VLOOKUP('Données projet'!$B$9,Paramètres!$A$1:$I$89,5,0)</f>
        <v>-1.2710188457276673E-13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378.17323480030268</v>
      </c>
      <c r="T187" s="62">
        <f t="shared" si="142"/>
        <v>471.89239871617241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26.198045669208359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9.370436919792832E-18</v>
      </c>
      <c r="AC187" s="24">
        <f t="shared" si="163"/>
        <v>26.198045669208359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2.2737367544323206E-13</v>
      </c>
      <c r="AJ187" s="14">
        <f>AI187*VLOOKUP('Données projet'!$B$10,Paramètres!$A$1:$I$89,3,0)*VLOOKUP('Données projet'!$B$10,Paramètres!$A$1:$I$89,5,0)</f>
        <v>1.8444552551954985E-13</v>
      </c>
      <c r="AK187" s="14">
        <f t="shared" si="164"/>
        <v>2.580317449479618E-12</v>
      </c>
      <c r="AL187" s="22">
        <f t="shared" si="165"/>
        <v>4.8152955147902165E-12</v>
      </c>
      <c r="AM187" s="62">
        <f t="shared" si="113"/>
        <v>293.33333333333815</v>
      </c>
      <c r="AN187" s="62">
        <f ca="1">AVERAGE(OFFSET($AM$3,0,0,'Données projet'!$E$10+1,1))-AVERAGE(OFFSET($H$3,0,0,'Données projet'!$E$10+1,1))</f>
        <v>199.44889029107367</v>
      </c>
      <c r="AO187" s="62">
        <f t="shared" si="144"/>
        <v>292.30544856287457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7.1312747767403293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7.1312747767403293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529.99999999999989</v>
      </c>
      <c r="BE187" s="14">
        <f>BD187*VLOOKUP('Données projet'!$B$11,Paramètres!$A$1:$I$89,3,0)*VLOOKUP('Données projet'!$B$11,Paramètres!$A$1:$I$89,5,0)</f>
        <v>248.03999999999994</v>
      </c>
      <c r="BF187" s="14">
        <f t="shared" si="167"/>
        <v>60.166044284441391</v>
      </c>
      <c r="BG187" s="22">
        <f t="shared" si="168"/>
        <v>536.79219379540189</v>
      </c>
      <c r="BH187" s="62">
        <f t="shared" si="116"/>
        <v>830.12552712873526</v>
      </c>
      <c r="BI187" s="62">
        <f ca="1">AVERAGE(OFFSET($BH$3,0,0,'Données projet'!$E$11+1,1))-AVERAGE(OFFSET($H$3,0,0,'Données projet'!$E$11+1,1))</f>
        <v>256.45505140629194</v>
      </c>
      <c r="BJ187" s="62">
        <f t="shared" si="146"/>
        <v>219.6985760545686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8.0289260377583496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8.0289260377583496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-1.1368683772161603E-13</v>
      </c>
      <c r="BZ187" s="14">
        <f>BY187*VLOOKUP('Données projet'!$B$12,Paramètres!$A$1:$I$89,3,0)*VLOOKUP('Données projet'!$B$12,Paramètres!$A$1:$I$89,5,0)</f>
        <v>-6.7984728957526396E-14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279.69031306919914</v>
      </c>
      <c r="CE187" s="62">
        <f t="shared" si="148"/>
        <v>297.01680128882509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17.106669407360606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9.6540932690935898E-17</v>
      </c>
      <c r="CN187" s="24">
        <f t="shared" si="172"/>
        <v>17.106669407360606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2">
        <f t="shared" si="140"/>
        <v>27.202475209169677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70">
        <f t="shared" si="110"/>
        <v>516.63672765597119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-2.2737367544323206E-13</v>
      </c>
      <c r="O188" s="14">
        <f>N188*VLOOKUP('Données projet'!$B$9,Paramètres!$A$1:$I$89,3,0)*VLOOKUP('Données projet'!$B$9,Paramètres!$A$1:$I$89,5,0)</f>
        <v>-1.2710188457276673E-13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378.17323480030268</v>
      </c>
      <c r="T188" s="62">
        <f t="shared" si="142"/>
        <v>471.89239871617241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25.684317972865223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6.6258994886662965E-18</v>
      </c>
      <c r="AC188" s="24">
        <f t="shared" si="163"/>
        <v>25.684317972865223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2.2737367544323206E-13</v>
      </c>
      <c r="AJ188" s="14">
        <f>AI188*VLOOKUP('Données projet'!$B$10,Paramètres!$A$1:$I$89,3,0)*VLOOKUP('Données projet'!$B$10,Paramètres!$A$1:$I$89,5,0)</f>
        <v>1.8444552551954985E-13</v>
      </c>
      <c r="AK188" s="14">
        <f t="shared" si="164"/>
        <v>2.580317449479618E-12</v>
      </c>
      <c r="AL188" s="22">
        <f t="shared" si="165"/>
        <v>4.8152955147902165E-12</v>
      </c>
      <c r="AM188" s="62">
        <f t="shared" si="113"/>
        <v>293.33333333333815</v>
      </c>
      <c r="AN188" s="62">
        <f ca="1">AVERAGE(OFFSET($AM$3,0,0,'Données projet'!$E$10+1,1))-AVERAGE(OFFSET($H$3,0,0,'Données projet'!$E$10+1,1))</f>
        <v>199.44889029107367</v>
      </c>
      <c r="AO188" s="62">
        <f t="shared" si="144"/>
        <v>292.30544856287457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6.9914348280165735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6.9914348280165735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529.99999999999989</v>
      </c>
      <c r="BE188" s="14">
        <f>BD188*VLOOKUP('Données projet'!$B$11,Paramètres!$A$1:$I$89,3,0)*VLOOKUP('Données projet'!$B$11,Paramètres!$A$1:$I$89,5,0)</f>
        <v>248.03999999999994</v>
      </c>
      <c r="BF188" s="14">
        <f t="shared" si="167"/>
        <v>60.166044284441391</v>
      </c>
      <c r="BG188" s="22">
        <f t="shared" si="168"/>
        <v>536.79219379540189</v>
      </c>
      <c r="BH188" s="62">
        <f t="shared" si="116"/>
        <v>830.12552712873526</v>
      </c>
      <c r="BI188" s="62">
        <f ca="1">AVERAGE(OFFSET($BH$3,0,0,'Données projet'!$E$11+1,1))-AVERAGE(OFFSET($H$3,0,0,'Données projet'!$E$11+1,1))</f>
        <v>256.45505140629194</v>
      </c>
      <c r="BJ188" s="62">
        <f t="shared" si="146"/>
        <v>219.6985760545686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7.8714836953192364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7.8714836953192364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-1.1368683772161603E-13</v>
      </c>
      <c r="BZ188" s="14">
        <f>BY188*VLOOKUP('Données projet'!$B$12,Paramètres!$A$1:$I$89,3,0)*VLOOKUP('Données projet'!$B$12,Paramètres!$A$1:$I$89,5,0)</f>
        <v>-6.7984728957526396E-14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279.69031306919914</v>
      </c>
      <c r="CE188" s="62">
        <f t="shared" si="148"/>
        <v>297.01680128882509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16.771218054320329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6.8264748167834821E-17</v>
      </c>
      <c r="CN188" s="24">
        <f t="shared" si="172"/>
        <v>16.771218054320329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2">
        <f t="shared" si="140"/>
        <v>27.332359320697009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70">
        <f t="shared" si="110"/>
        <v>517.81389248354799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-2.2737367544323206E-13</v>
      </c>
      <c r="O189" s="14">
        <f>N189*VLOOKUP('Données projet'!$B$9,Paramètres!$A$1:$I$89,3,0)*VLOOKUP('Données projet'!$B$9,Paramètres!$A$1:$I$89,5,0)</f>
        <v>-1.2710188457276673E-13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378.17323480030268</v>
      </c>
      <c r="T189" s="62">
        <f t="shared" si="142"/>
        <v>471.89239871617241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25.180664163304421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4.685218459896416E-18</v>
      </c>
      <c r="AC189" s="24">
        <f t="shared" si="163"/>
        <v>25.180664163304421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2.2737367544323206E-13</v>
      </c>
      <c r="AJ189" s="14">
        <f>AI189*VLOOKUP('Données projet'!$B$10,Paramètres!$A$1:$I$89,3,0)*VLOOKUP('Données projet'!$B$10,Paramètres!$A$1:$I$89,5,0)</f>
        <v>1.8444552551954985E-13</v>
      </c>
      <c r="AK189" s="14">
        <f t="shared" si="164"/>
        <v>2.580317449479618E-12</v>
      </c>
      <c r="AL189" s="22">
        <f t="shared" si="165"/>
        <v>4.8152955147902165E-12</v>
      </c>
      <c r="AM189" s="62">
        <f t="shared" si="113"/>
        <v>293.33333333333815</v>
      </c>
      <c r="AN189" s="62">
        <f ca="1">AVERAGE(OFFSET($AM$3,0,0,'Données projet'!$E$10+1,1))-AVERAGE(OFFSET($H$3,0,0,'Données projet'!$E$10+1,1))</f>
        <v>199.44889029107367</v>
      </c>
      <c r="AO189" s="62">
        <f t="shared" si="144"/>
        <v>292.30544856287457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6.8543370553933434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6.8543370553933434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529.99999999999989</v>
      </c>
      <c r="BE189" s="14">
        <f>BD189*VLOOKUP('Données projet'!$B$11,Paramètres!$A$1:$I$89,3,0)*VLOOKUP('Données projet'!$B$11,Paramètres!$A$1:$I$89,5,0)</f>
        <v>248.03999999999994</v>
      </c>
      <c r="BF189" s="14">
        <f t="shared" si="167"/>
        <v>60.166044284441391</v>
      </c>
      <c r="BG189" s="22">
        <f t="shared" si="168"/>
        <v>536.79219379540189</v>
      </c>
      <c r="BH189" s="62">
        <f t="shared" si="116"/>
        <v>830.12552712873526</v>
      </c>
      <c r="BI189" s="62">
        <f ca="1">AVERAGE(OFFSET($BH$3,0,0,'Données projet'!$E$11+1,1))-AVERAGE(OFFSET($H$3,0,0,'Données projet'!$E$11+1,1))</f>
        <v>256.45505140629194</v>
      </c>
      <c r="BJ189" s="62">
        <f t="shared" si="146"/>
        <v>219.6985760545686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7.7171287011850076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7.7171287011850076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-1.1368683772161603E-13</v>
      </c>
      <c r="BZ189" s="14">
        <f>BY189*VLOOKUP('Données projet'!$B$12,Paramètres!$A$1:$I$89,3,0)*VLOOKUP('Données projet'!$B$12,Paramètres!$A$1:$I$89,5,0)</f>
        <v>-6.7984728957526396E-14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279.69031306919914</v>
      </c>
      <c r="CE189" s="62">
        <f t="shared" si="148"/>
        <v>297.01680128882509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16.442344697708048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4.8270466345467949E-17</v>
      </c>
      <c r="CN189" s="24">
        <f t="shared" si="172"/>
        <v>16.442344697708048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2">
        <f t="shared" si="140"/>
        <v>27.462162174923463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70">
        <f t="shared" si="110"/>
        <v>518.99091578799244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-2.2737367544323206E-13</v>
      </c>
      <c r="O190" s="14">
        <f>N190*VLOOKUP('Données projet'!$B$9,Paramètres!$A$1:$I$89,3,0)*VLOOKUP('Données projet'!$B$9,Paramètres!$A$1:$I$89,5,0)</f>
        <v>-1.2710188457276673E-13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378.17323480030268</v>
      </c>
      <c r="T190" s="62">
        <f t="shared" si="142"/>
        <v>471.89239871617241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24.686886697750616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3.3129497443331482E-18</v>
      </c>
      <c r="AC190" s="24">
        <f t="shared" si="163"/>
        <v>24.686886697750616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2.2737367544323206E-13</v>
      </c>
      <c r="AJ190" s="14">
        <f>AI190*VLOOKUP('Données projet'!$B$10,Paramètres!$A$1:$I$89,3,0)*VLOOKUP('Données projet'!$B$10,Paramètres!$A$1:$I$89,5,0)</f>
        <v>1.8444552551954985E-13</v>
      </c>
      <c r="AK190" s="14">
        <f t="shared" si="164"/>
        <v>2.580317449479618E-12</v>
      </c>
      <c r="AL190" s="22">
        <f t="shared" si="165"/>
        <v>4.8152955147902165E-12</v>
      </c>
      <c r="AM190" s="62">
        <f t="shared" si="113"/>
        <v>293.33333333333815</v>
      </c>
      <c r="AN190" s="62">
        <f ca="1">AVERAGE(OFFSET($AM$3,0,0,'Données projet'!$E$10+1,1))-AVERAGE(OFFSET($H$3,0,0,'Données projet'!$E$10+1,1))</f>
        <v>199.44889029107367</v>
      </c>
      <c r="AO190" s="62">
        <f t="shared" si="144"/>
        <v>292.30544856287457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6.7199276864698705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6.7199276864698705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529.99999999999989</v>
      </c>
      <c r="BE190" s="14">
        <f>BD190*VLOOKUP('Données projet'!$B$11,Paramètres!$A$1:$I$89,3,0)*VLOOKUP('Données projet'!$B$11,Paramètres!$A$1:$I$89,5,0)</f>
        <v>248.03999999999994</v>
      </c>
      <c r="BF190" s="14">
        <f t="shared" si="167"/>
        <v>60.166044284441391</v>
      </c>
      <c r="BG190" s="22">
        <f t="shared" si="168"/>
        <v>536.79219379540189</v>
      </c>
      <c r="BH190" s="62">
        <f t="shared" si="116"/>
        <v>830.12552712873526</v>
      </c>
      <c r="BI190" s="62">
        <f ca="1">AVERAGE(OFFSET($BH$3,0,0,'Données projet'!$E$11+1,1))-AVERAGE(OFFSET($H$3,0,0,'Données projet'!$E$11+1,1))</f>
        <v>256.45505140629194</v>
      </c>
      <c r="BJ190" s="62">
        <f t="shared" si="146"/>
        <v>219.6985760545686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7.565800514338501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7.565800514338501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-1.1368683772161603E-13</v>
      </c>
      <c r="BZ190" s="14">
        <f>BY190*VLOOKUP('Données projet'!$B$12,Paramètres!$A$1:$I$89,3,0)*VLOOKUP('Données projet'!$B$12,Paramètres!$A$1:$I$89,5,0)</f>
        <v>-6.7984728957526396E-14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279.69031306919914</v>
      </c>
      <c r="CE190" s="62">
        <f t="shared" si="148"/>
        <v>297.01680128882509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16.119920347025992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3.4132374083917411E-17</v>
      </c>
      <c r="CN190" s="24">
        <f t="shared" si="172"/>
        <v>16.119920347025992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2">
        <f t="shared" si="140"/>
        <v>27.591884256813145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70">
        <f t="shared" si="110"/>
        <v>520.16779841395021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-2.2737367544323206E-13</v>
      </c>
      <c r="O191" s="14">
        <f>N191*VLOOKUP('Données projet'!$B$9,Paramètres!$A$1:$I$89,3,0)*VLOOKUP('Données projet'!$B$9,Paramètres!$A$1:$I$89,5,0)</f>
        <v>-1.2710188457276673E-13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378.17323480030268</v>
      </c>
      <c r="T191" s="62">
        <f t="shared" si="142"/>
        <v>471.89239871617241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24.202791907121807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2.342609229948208E-18</v>
      </c>
      <c r="AC191" s="24">
        <f t="shared" si="163"/>
        <v>24.202791907121807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2.2737367544323206E-13</v>
      </c>
      <c r="AJ191" s="14">
        <f>AI191*VLOOKUP('Données projet'!$B$10,Paramètres!$A$1:$I$89,3,0)*VLOOKUP('Données projet'!$B$10,Paramètres!$A$1:$I$89,5,0)</f>
        <v>1.8444552551954985E-13</v>
      </c>
      <c r="AK191" s="14">
        <f t="shared" si="164"/>
        <v>2.580317449479618E-12</v>
      </c>
      <c r="AL191" s="22">
        <f t="shared" si="165"/>
        <v>4.8152955147902165E-12</v>
      </c>
      <c r="AM191" s="62">
        <f t="shared" si="113"/>
        <v>293.33333333333815</v>
      </c>
      <c r="AN191" s="62">
        <f ca="1">AVERAGE(OFFSET($AM$3,0,0,'Données projet'!$E$10+1,1))-AVERAGE(OFFSET($H$3,0,0,'Données projet'!$E$10+1,1))</f>
        <v>199.44889029107367</v>
      </c>
      <c r="AO191" s="62">
        <f t="shared" si="144"/>
        <v>292.30544856287457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6.5881540032893673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6.5881540032893673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529.99999999999989</v>
      </c>
      <c r="BE191" s="14">
        <f>BD191*VLOOKUP('Données projet'!$B$11,Paramètres!$A$1:$I$89,3,0)*VLOOKUP('Données projet'!$B$11,Paramètres!$A$1:$I$89,5,0)</f>
        <v>248.03999999999994</v>
      </c>
      <c r="BF191" s="14">
        <f t="shared" si="167"/>
        <v>60.166044284441391</v>
      </c>
      <c r="BG191" s="22">
        <f t="shared" si="168"/>
        <v>536.79219379540189</v>
      </c>
      <c r="BH191" s="62">
        <f t="shared" si="116"/>
        <v>830.12552712873526</v>
      </c>
      <c r="BI191" s="62">
        <f ca="1">AVERAGE(OFFSET($BH$3,0,0,'Données projet'!$E$11+1,1))-AVERAGE(OFFSET($H$3,0,0,'Données projet'!$E$11+1,1))</f>
        <v>256.45505140629194</v>
      </c>
      <c r="BJ191" s="62">
        <f t="shared" si="146"/>
        <v>219.6985760545686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7.4174397809349744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7.4174397809349744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-1.1368683772161603E-13</v>
      </c>
      <c r="BZ191" s="14">
        <f>BY191*VLOOKUP('Données projet'!$B$12,Paramètres!$A$1:$I$89,3,0)*VLOOKUP('Données projet'!$B$12,Paramètres!$A$1:$I$89,5,0)</f>
        <v>-6.7984728957526396E-14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279.69031306919914</v>
      </c>
      <c r="CE191" s="62">
        <f t="shared" si="148"/>
        <v>297.01680128882509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15.803818541201377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2.4135233172733974E-17</v>
      </c>
      <c r="CN191" s="24">
        <f t="shared" si="172"/>
        <v>15.803818541201377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2">
        <f t="shared" si="140"/>
        <v>27.721526045872363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70">
        <f t="shared" si="110"/>
        <v>521.34454119656175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-2.2737367544323206E-13</v>
      </c>
      <c r="O192" s="14">
        <f>N192*VLOOKUP('Données projet'!$B$9,Paramètres!$A$1:$I$89,3,0)*VLOOKUP('Données projet'!$B$9,Paramètres!$A$1:$I$89,5,0)</f>
        <v>-1.2710188457276673E-13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378.17323480030268</v>
      </c>
      <c r="T192" s="62">
        <f t="shared" si="142"/>
        <v>471.89239871617241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23.728189920068562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1.6564748721665741E-18</v>
      </c>
      <c r="AC192" s="24">
        <f t="shared" si="163"/>
        <v>23.728189920068562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2.2737367544323206E-13</v>
      </c>
      <c r="AJ192" s="14">
        <f>AI192*VLOOKUP('Données projet'!$B$10,Paramètres!$A$1:$I$89,3,0)*VLOOKUP('Données projet'!$B$10,Paramètres!$A$1:$I$89,5,0)</f>
        <v>1.8444552551954985E-13</v>
      </c>
      <c r="AK192" s="14">
        <f t="shared" si="164"/>
        <v>2.580317449479618E-12</v>
      </c>
      <c r="AL192" s="22">
        <f t="shared" si="165"/>
        <v>4.8152955147902165E-12</v>
      </c>
      <c r="AM192" s="62">
        <f t="shared" si="113"/>
        <v>293.33333333333815</v>
      </c>
      <c r="AN192" s="62">
        <f ca="1">AVERAGE(OFFSET($AM$3,0,0,'Données projet'!$E$10+1,1))-AVERAGE(OFFSET($H$3,0,0,'Données projet'!$E$10+1,1))</f>
        <v>199.44889029107367</v>
      </c>
      <c r="AO192" s="62">
        <f t="shared" si="144"/>
        <v>292.30544856287457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6.4589643216620232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6.4589643216620232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529.99999999999989</v>
      </c>
      <c r="BE192" s="14">
        <f>BD192*VLOOKUP('Données projet'!$B$11,Paramètres!$A$1:$I$89,3,0)*VLOOKUP('Données projet'!$B$11,Paramètres!$A$1:$I$89,5,0)</f>
        <v>248.03999999999994</v>
      </c>
      <c r="BF192" s="14">
        <f t="shared" si="167"/>
        <v>60.166044284441391</v>
      </c>
      <c r="BG192" s="22">
        <f t="shared" si="168"/>
        <v>536.79219379540189</v>
      </c>
      <c r="BH192" s="62">
        <f t="shared" si="116"/>
        <v>830.12552712873526</v>
      </c>
      <c r="BI192" s="62">
        <f ca="1">AVERAGE(OFFSET($BH$3,0,0,'Données projet'!$E$11+1,1))-AVERAGE(OFFSET($H$3,0,0,'Données projet'!$E$11+1,1))</f>
        <v>256.45505140629194</v>
      </c>
      <c r="BJ192" s="62">
        <f t="shared" si="146"/>
        <v>219.6985760545686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7.2719883110223789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7.2719883110223789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-1.1368683772161603E-13</v>
      </c>
      <c r="BZ192" s="14">
        <f>BY192*VLOOKUP('Données projet'!$B$12,Paramètres!$A$1:$I$89,3,0)*VLOOKUP('Données projet'!$B$12,Paramètres!$A$1:$I$89,5,0)</f>
        <v>-6.7984728957526396E-14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279.69031306919914</v>
      </c>
      <c r="CE192" s="62">
        <f t="shared" si="148"/>
        <v>297.01680128882509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15.493915298985918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1.7066187041958705E-17</v>
      </c>
      <c r="CN192" s="24">
        <f t="shared" si="172"/>
        <v>15.493915298985918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2">
        <f t="shared" si="140"/>
        <v>27.851088016239451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70">
        <f t="shared" si="110"/>
        <v>522.52114496161767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-2.2737367544323206E-13</v>
      </c>
      <c r="O193" s="14">
        <f>N193*VLOOKUP('Données projet'!$B$9,Paramètres!$A$1:$I$89,3,0)*VLOOKUP('Données projet'!$B$9,Paramètres!$A$1:$I$89,5,0)</f>
        <v>-1.2710188457276673E-13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378.17323480030268</v>
      </c>
      <c r="T193" s="62">
        <f t="shared" si="142"/>
        <v>471.89239871617241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23.262894588502803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1.171304614974104E-18</v>
      </c>
      <c r="AC193" s="24">
        <f t="shared" si="163"/>
        <v>23.262894588502803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2.2737367544323206E-13</v>
      </c>
      <c r="AJ193" s="14">
        <f>AI193*VLOOKUP('Données projet'!$B$10,Paramètres!$A$1:$I$89,3,0)*VLOOKUP('Données projet'!$B$10,Paramètres!$A$1:$I$89,5,0)</f>
        <v>1.8444552551954985E-13</v>
      </c>
      <c r="AK193" s="14">
        <f t="shared" si="164"/>
        <v>2.580317449479618E-12</v>
      </c>
      <c r="AL193" s="22">
        <f t="shared" si="165"/>
        <v>4.8152955147902165E-12</v>
      </c>
      <c r="AM193" s="62">
        <f t="shared" si="113"/>
        <v>293.33333333333815</v>
      </c>
      <c r="AN193" s="62">
        <f ca="1">AVERAGE(OFFSET($AM$3,0,0,'Données projet'!$E$10+1,1))-AVERAGE(OFFSET($H$3,0,0,'Données projet'!$E$10+1,1))</f>
        <v>199.44889029107367</v>
      </c>
      <c r="AO193" s="62">
        <f t="shared" si="144"/>
        <v>292.30544856287457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6.3323079708934662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6.3323079708934662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529.99999999999989</v>
      </c>
      <c r="BE193" s="14">
        <f>BD193*VLOOKUP('Données projet'!$B$11,Paramètres!$A$1:$I$89,3,0)*VLOOKUP('Données projet'!$B$11,Paramètres!$A$1:$I$89,5,0)</f>
        <v>248.03999999999994</v>
      </c>
      <c r="BF193" s="14">
        <f t="shared" si="167"/>
        <v>60.166044284441391</v>
      </c>
      <c r="BG193" s="22">
        <f t="shared" si="168"/>
        <v>536.79219379540189</v>
      </c>
      <c r="BH193" s="62">
        <f t="shared" si="116"/>
        <v>830.12552712873526</v>
      </c>
      <c r="BI193" s="62">
        <f ca="1">AVERAGE(OFFSET($BH$3,0,0,'Données projet'!$E$11+1,1))-AVERAGE(OFFSET($H$3,0,0,'Données projet'!$E$11+1,1))</f>
        <v>256.45505140629194</v>
      </c>
      <c r="BJ193" s="62">
        <f t="shared" si="146"/>
        <v>219.6985760545686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7.129389055718133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7.129389055718133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-1.1368683772161603E-13</v>
      </c>
      <c r="BZ193" s="14">
        <f>BY193*VLOOKUP('Données projet'!$B$12,Paramètres!$A$1:$I$89,3,0)*VLOOKUP('Données projet'!$B$12,Paramètres!$A$1:$I$89,5,0)</f>
        <v>-6.7984728957526396E-14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279.69031306919914</v>
      </c>
      <c r="CE193" s="62">
        <f t="shared" si="148"/>
        <v>297.01680128882509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15.190089070327991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1.2067616586366987E-17</v>
      </c>
      <c r="CN193" s="24">
        <f t="shared" si="172"/>
        <v>15.190089070327991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2">
        <f t="shared" si="140"/>
        <v>27.98057063677302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70">
        <f t="shared" si="110"/>
        <v>523.69761052571369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-2.2737367544323206E-13</v>
      </c>
      <c r="O194" s="14">
        <f>N194*VLOOKUP('Données projet'!$B$9,Paramètres!$A$1:$I$89,3,0)*VLOOKUP('Données projet'!$B$9,Paramètres!$A$1:$I$89,5,0)</f>
        <v>-1.2710188457276673E-13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378.17323480030268</v>
      </c>
      <c r="T194" s="62">
        <f t="shared" si="142"/>
        <v>471.89239871617241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22.806723414586919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8.2823743608328706E-19</v>
      </c>
      <c r="AC194" s="24">
        <f t="shared" si="163"/>
        <v>22.806723414586919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2.2737367544323206E-13</v>
      </c>
      <c r="AJ194" s="14">
        <f>AI194*VLOOKUP('Données projet'!$B$10,Paramètres!$A$1:$I$89,3,0)*VLOOKUP('Données projet'!$B$10,Paramètres!$A$1:$I$89,5,0)</f>
        <v>1.8444552551954985E-13</v>
      </c>
      <c r="AK194" s="14">
        <f t="shared" si="164"/>
        <v>2.580317449479618E-12</v>
      </c>
      <c r="AL194" s="22">
        <f t="shared" si="165"/>
        <v>4.8152955147902165E-12</v>
      </c>
      <c r="AM194" s="62">
        <f t="shared" si="113"/>
        <v>293.33333333333815</v>
      </c>
      <c r="AN194" s="62">
        <f ca="1">AVERAGE(OFFSET($AM$3,0,0,'Données projet'!$E$10+1,1))-AVERAGE(OFFSET($H$3,0,0,'Données projet'!$E$10+1,1))</f>
        <v>199.44889029107367</v>
      </c>
      <c r="AO194" s="62">
        <f t="shared" si="144"/>
        <v>292.30544856287457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6.2081352739107345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6.2081352739107345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529.99999999999989</v>
      </c>
      <c r="BE194" s="14">
        <f>BD194*VLOOKUP('Données projet'!$B$11,Paramètres!$A$1:$I$89,3,0)*VLOOKUP('Données projet'!$B$11,Paramètres!$A$1:$I$89,5,0)</f>
        <v>248.03999999999994</v>
      </c>
      <c r="BF194" s="14">
        <f t="shared" si="167"/>
        <v>60.166044284441391</v>
      </c>
      <c r="BG194" s="22">
        <f t="shared" si="168"/>
        <v>536.79219379540189</v>
      </c>
      <c r="BH194" s="62">
        <f t="shared" si="116"/>
        <v>830.12552712873526</v>
      </c>
      <c r="BI194" s="62">
        <f ca="1">AVERAGE(OFFSET($BH$3,0,0,'Données projet'!$E$11+1,1))-AVERAGE(OFFSET($H$3,0,0,'Données projet'!$E$11+1,1))</f>
        <v>256.45505140629194</v>
      </c>
      <c r="BJ194" s="62">
        <f t="shared" si="146"/>
        <v>219.6985760545686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6.9895860848334461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6.9895860848334461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-1.1368683772161603E-13</v>
      </c>
      <c r="BZ194" s="14">
        <f>BY194*VLOOKUP('Données projet'!$B$12,Paramètres!$A$1:$I$89,3,0)*VLOOKUP('Données projet'!$B$12,Paramètres!$A$1:$I$89,5,0)</f>
        <v>-6.7984728957526396E-14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279.69031306919914</v>
      </c>
      <c r="CE194" s="62">
        <f t="shared" si="148"/>
        <v>297.01680128882509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14.892220688698345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8.5330935209793526E-18</v>
      </c>
      <c r="CN194" s="24">
        <f t="shared" si="172"/>
        <v>14.892220688698345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2">
        <f t="shared" si="140"/>
        <v>28.10997437113782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70">
        <f t="shared" si="110"/>
        <v>524.87393869639902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-2.2737367544323206E-13</v>
      </c>
      <c r="O195" s="14">
        <f>N195*VLOOKUP('Données projet'!$B$9,Paramètres!$A$1:$I$89,3,0)*VLOOKUP('Données projet'!$B$9,Paramètres!$A$1:$I$89,5,0)</f>
        <v>-1.2710188457276673E-13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378.17323480030268</v>
      </c>
      <c r="T195" s="62">
        <f t="shared" si="142"/>
        <v>471.89239871617241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22.359497479154584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5.85652307487052E-19</v>
      </c>
      <c r="AC195" s="24">
        <f t="shared" si="163"/>
        <v>22.359497479154584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2.2737367544323206E-13</v>
      </c>
      <c r="AJ195" s="14">
        <f>AI195*VLOOKUP('Données projet'!$B$10,Paramètres!$A$1:$I$89,3,0)*VLOOKUP('Données projet'!$B$10,Paramètres!$A$1:$I$89,5,0)</f>
        <v>1.8444552551954985E-13</v>
      </c>
      <c r="AK195" s="14">
        <f t="shared" si="164"/>
        <v>2.580317449479618E-12</v>
      </c>
      <c r="AL195" s="22">
        <f t="shared" si="165"/>
        <v>4.8152955147902165E-12</v>
      </c>
      <c r="AM195" s="62">
        <f t="shared" si="113"/>
        <v>293.33333333333815</v>
      </c>
      <c r="AN195" s="62">
        <f ca="1">AVERAGE(OFFSET($AM$3,0,0,'Données projet'!$E$10+1,1))-AVERAGE(OFFSET($H$3,0,0,'Données projet'!$E$10+1,1))</f>
        <v>199.44889029107367</v>
      </c>
      <c r="AO195" s="62">
        <f t="shared" si="144"/>
        <v>292.30544856287457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6.0863975277779678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6.0863975277779678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529.99999999999989</v>
      </c>
      <c r="BE195" s="14">
        <f>BD195*VLOOKUP('Données projet'!$B$11,Paramètres!$A$1:$I$89,3,0)*VLOOKUP('Données projet'!$B$11,Paramètres!$A$1:$I$89,5,0)</f>
        <v>248.03999999999994</v>
      </c>
      <c r="BF195" s="14">
        <f t="shared" si="167"/>
        <v>60.166044284441391</v>
      </c>
      <c r="BG195" s="22">
        <f t="shared" si="168"/>
        <v>536.79219379540189</v>
      </c>
      <c r="BH195" s="62">
        <f t="shared" si="116"/>
        <v>830.12552712873526</v>
      </c>
      <c r="BI195" s="62">
        <f ca="1">AVERAGE(OFFSET($BH$3,0,0,'Données projet'!$E$11+1,1))-AVERAGE(OFFSET($H$3,0,0,'Données projet'!$E$11+1,1))</f>
        <v>256.45505140629194</v>
      </c>
      <c r="BJ195" s="62">
        <f t="shared" si="146"/>
        <v>219.6985760545686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6.8525245649364157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6.8525245649364157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-1.1368683772161603E-13</v>
      </c>
      <c r="BZ195" s="14">
        <f>BY195*VLOOKUP('Données projet'!$B$12,Paramètres!$A$1:$I$89,3,0)*VLOOKUP('Données projet'!$B$12,Paramètres!$A$1:$I$89,5,0)</f>
        <v>-6.7984728957526396E-14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279.69031306919914</v>
      </c>
      <c r="CE195" s="62">
        <f t="shared" si="148"/>
        <v>297.01680128882509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14.600193324350682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6.0338082931834936E-18</v>
      </c>
      <c r="CN195" s="24">
        <f t="shared" si="172"/>
        <v>14.600193324350682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2">
        <f t="shared" si="140"/>
        <v>28.239299677889207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70">
        <f t="shared" ref="H196:H203" si="192">(B196+E196+F196)*44/12+(C196+D196)*0.475*44/12</f>
        <v>526.0501302723244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-2.2737367544323206E-13</v>
      </c>
      <c r="O196" s="14">
        <f>N196*VLOOKUP('Données projet'!$B$9,Paramètres!$A$1:$I$89,3,0)*VLOOKUP('Données projet'!$B$9,Paramètres!$A$1:$I$89,5,0)</f>
        <v>-1.2710188457276673E-13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378.17323480030268</v>
      </c>
      <c r="T196" s="62">
        <f t="shared" si="142"/>
        <v>471.89239871617241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21.921041371535189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4.1411871804164353E-19</v>
      </c>
      <c r="AC196" s="24">
        <f t="shared" si="163"/>
        <v>21.921041371535189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2.2737367544323206E-13</v>
      </c>
      <c r="AJ196" s="14">
        <f>AI196*VLOOKUP('Données projet'!$B$10,Paramètres!$A$1:$I$89,3,0)*VLOOKUP('Données projet'!$B$10,Paramètres!$A$1:$I$89,5,0)</f>
        <v>1.8444552551954985E-13</v>
      </c>
      <c r="AK196" s="14">
        <f t="shared" si="164"/>
        <v>2.580317449479618E-12</v>
      </c>
      <c r="AL196" s="22">
        <f t="shared" si="165"/>
        <v>4.8152955147902165E-12</v>
      </c>
      <c r="AM196" s="62">
        <f t="shared" ref="AM196:AM203" si="193">AL196+(AD196+AE196)*44/12</f>
        <v>293.33333333333815</v>
      </c>
      <c r="AN196" s="62">
        <f ca="1">AVERAGE(OFFSET($AM$3,0,0,'Données projet'!$E$10+1,1))-AVERAGE(OFFSET($H$3,0,0,'Données projet'!$E$10+1,1))</f>
        <v>199.44889029107367</v>
      </c>
      <c r="AO196" s="62">
        <f t="shared" si="144"/>
        <v>292.30544856287457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5.9670469845941714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5.9670469845941714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529.99999999999989</v>
      </c>
      <c r="BE196" s="14">
        <f>BD196*VLOOKUP('Données projet'!$B$11,Paramètres!$A$1:$I$89,3,0)*VLOOKUP('Données projet'!$B$11,Paramètres!$A$1:$I$89,5,0)</f>
        <v>248.03999999999994</v>
      </c>
      <c r="BF196" s="14">
        <f t="shared" si="167"/>
        <v>60.166044284441391</v>
      </c>
      <c r="BG196" s="22">
        <f t="shared" si="168"/>
        <v>536.79219379540189</v>
      </c>
      <c r="BH196" s="62">
        <f t="shared" ref="BH196:BH203" si="194">BG196+(AY196+AZ196)*44/12</f>
        <v>830.12552712873526</v>
      </c>
      <c r="BI196" s="62">
        <f ca="1">AVERAGE(OFFSET($BH$3,0,0,'Données projet'!$E$11+1,1))-AVERAGE(OFFSET($H$3,0,0,'Données projet'!$E$11+1,1))</f>
        <v>256.45505140629194</v>
      </c>
      <c r="BJ196" s="62">
        <f t="shared" si="146"/>
        <v>219.6985760545686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6.7181507378452929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6.7181507378452929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-1.1368683772161603E-13</v>
      </c>
      <c r="BZ196" s="14">
        <f>BY196*VLOOKUP('Données projet'!$B$12,Paramètres!$A$1:$I$89,3,0)*VLOOKUP('Données projet'!$B$12,Paramètres!$A$1:$I$89,5,0)</f>
        <v>-6.7984728957526396E-14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279.69031306919914</v>
      </c>
      <c r="CE196" s="62">
        <f t="shared" si="148"/>
        <v>297.01680128882509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14.313892438498774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4.2665467604896763E-18</v>
      </c>
      <c r="CN196" s="24">
        <f t="shared" si="172"/>
        <v>14.313892438498774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2">
        <f t="shared" ref="D197:D203" si="202">IFERROR(EXP(-1.0587+0.8836*LN(C197)+0.284),0)</f>
        <v>28.368547010555559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70">
        <f t="shared" si="192"/>
        <v>527.22618604338504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-2.2737367544323206E-13</v>
      </c>
      <c r="O197" s="14">
        <f>N197*VLOOKUP('Données projet'!$B$9,Paramètres!$A$1:$I$89,3,0)*VLOOKUP('Données projet'!$B$9,Paramètres!$A$1:$I$89,5,0)</f>
        <v>-1.2710188457276673E-13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378.17323480030268</v>
      </c>
      <c r="T197" s="62">
        <f t="shared" ref="T197:T203" si="204">$T$3</f>
        <v>471.89239871617241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21.491183120754393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2.92826153743526E-19</v>
      </c>
      <c r="AC197" s="24">
        <f t="shared" si="163"/>
        <v>21.491183120754393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2.2737367544323206E-13</v>
      </c>
      <c r="AJ197" s="14">
        <f>AI197*VLOOKUP('Données projet'!$B$10,Paramètres!$A$1:$I$89,3,0)*VLOOKUP('Données projet'!$B$10,Paramètres!$A$1:$I$89,5,0)</f>
        <v>1.8444552551954985E-13</v>
      </c>
      <c r="AK197" s="14">
        <f t="shared" si="164"/>
        <v>2.580317449479618E-12</v>
      </c>
      <c r="AL197" s="22">
        <f t="shared" si="165"/>
        <v>4.8152955147902165E-12</v>
      </c>
      <c r="AM197" s="62">
        <f t="shared" si="193"/>
        <v>293.33333333333815</v>
      </c>
      <c r="AN197" s="62">
        <f ca="1">AVERAGE(OFFSET($AM$3,0,0,'Données projet'!$E$10+1,1))-AVERAGE(OFFSET($H$3,0,0,'Données projet'!$E$10+1,1))</f>
        <v>199.44889029107367</v>
      </c>
      <c r="AO197" s="62">
        <f t="shared" ref="AO197:AO203" si="205">$AO$3</f>
        <v>292.30544856287457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5.8500368327655652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5.8500368327655652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529.99999999999989</v>
      </c>
      <c r="BE197" s="14">
        <f>BD197*VLOOKUP('Données projet'!$B$11,Paramètres!$A$1:$I$89,3,0)*VLOOKUP('Données projet'!$B$11,Paramètres!$A$1:$I$89,5,0)</f>
        <v>248.03999999999994</v>
      </c>
      <c r="BF197" s="14">
        <f t="shared" si="167"/>
        <v>60.166044284441391</v>
      </c>
      <c r="BG197" s="22">
        <f t="shared" si="168"/>
        <v>536.79219379540189</v>
      </c>
      <c r="BH197" s="62">
        <f t="shared" si="194"/>
        <v>830.12552712873526</v>
      </c>
      <c r="BI197" s="62">
        <f ca="1">AVERAGE(OFFSET($BH$3,0,0,'Données projet'!$E$11+1,1))-AVERAGE(OFFSET($H$3,0,0,'Données projet'!$E$11+1,1))</f>
        <v>256.45505140629194</v>
      </c>
      <c r="BJ197" s="62">
        <f t="shared" ref="BJ197:BJ203" si="206">$BJ$3</f>
        <v>219.6985760545686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6.5864118995434859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6.5864118995434859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-1.1368683772161603E-13</v>
      </c>
      <c r="BZ197" s="14">
        <f>BY197*VLOOKUP('Données projet'!$B$12,Paramètres!$A$1:$I$89,3,0)*VLOOKUP('Données projet'!$B$12,Paramètres!$A$1:$I$89,5,0)</f>
        <v>-6.7984728957526396E-14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279.69031306919914</v>
      </c>
      <c r="CE197" s="62">
        <f t="shared" ref="CE197:CE203" si="207">$CE$3</f>
        <v>297.01680128882509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14.033205738392125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3.0169041465917468E-18</v>
      </c>
      <c r="CN197" s="24">
        <f t="shared" si="172"/>
        <v>14.033205738392125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2">
        <f t="shared" si="202"/>
        <v>28.497716817719009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70">
        <f t="shared" si="192"/>
        <v>528.40210679086135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-2.2737367544323206E-13</v>
      </c>
      <c r="O198" s="14">
        <f>N198*VLOOKUP('Données projet'!$B$9,Paramètres!$A$1:$I$89,3,0)*VLOOKUP('Données projet'!$B$9,Paramètres!$A$1:$I$89,5,0)</f>
        <v>-1.2710188457276673E-13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378.17323480030268</v>
      </c>
      <c r="T198" s="62">
        <f t="shared" si="204"/>
        <v>471.89239871617241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21.069754128083762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2.0705935902082177E-19</v>
      </c>
      <c r="AC198" s="24">
        <f t="shared" si="163"/>
        <v>21.069754128083762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2.2737367544323206E-13</v>
      </c>
      <c r="AJ198" s="14">
        <f>AI198*VLOOKUP('Données projet'!$B$10,Paramètres!$A$1:$I$89,3,0)*VLOOKUP('Données projet'!$B$10,Paramètres!$A$1:$I$89,5,0)</f>
        <v>1.8444552551954985E-13</v>
      </c>
      <c r="AK198" s="14">
        <f t="shared" si="164"/>
        <v>2.580317449479618E-12</v>
      </c>
      <c r="AL198" s="22">
        <f t="shared" si="165"/>
        <v>4.8152955147902165E-12</v>
      </c>
      <c r="AM198" s="62">
        <f t="shared" si="193"/>
        <v>293.33333333333815</v>
      </c>
      <c r="AN198" s="62">
        <f ca="1">AVERAGE(OFFSET($AM$3,0,0,'Données projet'!$E$10+1,1))-AVERAGE(OFFSET($H$3,0,0,'Données projet'!$E$10+1,1))</f>
        <v>199.44889029107367</v>
      </c>
      <c r="AO198" s="62">
        <f t="shared" si="205"/>
        <v>292.30544856287457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5.7353211786451732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5.7353211786451732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529.99999999999989</v>
      </c>
      <c r="BE198" s="14">
        <f>BD198*VLOOKUP('Données projet'!$B$11,Paramètres!$A$1:$I$89,3,0)*VLOOKUP('Données projet'!$B$11,Paramètres!$A$1:$I$89,5,0)</f>
        <v>248.03999999999994</v>
      </c>
      <c r="BF198" s="14">
        <f t="shared" si="167"/>
        <v>60.166044284441391</v>
      </c>
      <c r="BG198" s="22">
        <f t="shared" si="168"/>
        <v>536.79219379540189</v>
      </c>
      <c r="BH198" s="62">
        <f t="shared" si="194"/>
        <v>830.12552712873526</v>
      </c>
      <c r="BI198" s="62">
        <f ca="1">AVERAGE(OFFSET($BH$3,0,0,'Données projet'!$E$11+1,1))-AVERAGE(OFFSET($H$3,0,0,'Données projet'!$E$11+1,1))</f>
        <v>256.45505140629194</v>
      </c>
      <c r="BJ198" s="62">
        <f t="shared" si="206"/>
        <v>219.6985760545686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6.4572563795080198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6.4572563795080198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-1.1368683772161603E-13</v>
      </c>
      <c r="BZ198" s="14">
        <f>BY198*VLOOKUP('Données projet'!$B$12,Paramètres!$A$1:$I$89,3,0)*VLOOKUP('Données projet'!$B$12,Paramètres!$A$1:$I$89,5,0)</f>
        <v>-6.7984728957526396E-14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279.69031306919914</v>
      </c>
      <c r="CE198" s="62">
        <f t="shared" si="207"/>
        <v>297.01680128882509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13.758023133272584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2.1332733802448382E-18</v>
      </c>
      <c r="CN198" s="24">
        <f t="shared" si="172"/>
        <v>13.758023133272584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2">
        <f t="shared" si="202"/>
        <v>28.626809543094431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70">
        <f t="shared" si="192"/>
        <v>529.57789328755689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-2.2737367544323206E-13</v>
      </c>
      <c r="O199" s="14">
        <f>N199*VLOOKUP('Données projet'!$B$9,Paramètres!$A$1:$I$89,3,0)*VLOOKUP('Données projet'!$B$9,Paramètres!$A$1:$I$89,5,0)</f>
        <v>-1.2710188457276673E-13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378.17323480030268</v>
      </c>
      <c r="T199" s="62">
        <f t="shared" si="204"/>
        <v>471.89239871617241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20.656589100913099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1.46413076871763E-19</v>
      </c>
      <c r="AC199" s="24">
        <f t="shared" si="163"/>
        <v>20.656589100913099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2.2737367544323206E-13</v>
      </c>
      <c r="AJ199" s="14">
        <f>AI199*VLOOKUP('Données projet'!$B$10,Paramètres!$A$1:$I$89,3,0)*VLOOKUP('Données projet'!$B$10,Paramètres!$A$1:$I$89,5,0)</f>
        <v>1.8444552551954985E-13</v>
      </c>
      <c r="AK199" s="14">
        <f t="shared" si="164"/>
        <v>2.580317449479618E-12</v>
      </c>
      <c r="AL199" s="22">
        <f t="shared" si="165"/>
        <v>4.8152955147902165E-12</v>
      </c>
      <c r="AM199" s="62">
        <f t="shared" si="193"/>
        <v>293.33333333333815</v>
      </c>
      <c r="AN199" s="62">
        <f ca="1">AVERAGE(OFFSET($AM$3,0,0,'Données projet'!$E$10+1,1))-AVERAGE(OFFSET($H$3,0,0,'Données projet'!$E$10+1,1))</f>
        <v>199.44889029107367</v>
      </c>
      <c r="AO199" s="62">
        <f t="shared" si="205"/>
        <v>292.30544856287457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5.6228550285324417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5.6228550285324417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529.99999999999989</v>
      </c>
      <c r="BE199" s="14">
        <f>BD199*VLOOKUP('Données projet'!$B$11,Paramètres!$A$1:$I$89,3,0)*VLOOKUP('Données projet'!$B$11,Paramètres!$A$1:$I$89,5,0)</f>
        <v>248.03999999999994</v>
      </c>
      <c r="BF199" s="14">
        <f t="shared" si="167"/>
        <v>60.166044284441391</v>
      </c>
      <c r="BG199" s="22">
        <f t="shared" si="168"/>
        <v>536.79219379540189</v>
      </c>
      <c r="BH199" s="62">
        <f t="shared" si="194"/>
        <v>830.12552712873526</v>
      </c>
      <c r="BI199" s="62">
        <f ca="1">AVERAGE(OFFSET($BH$3,0,0,'Données projet'!$E$11+1,1))-AVERAGE(OFFSET($H$3,0,0,'Données projet'!$E$11+1,1))</f>
        <v>256.45505140629194</v>
      </c>
      <c r="BJ199" s="62">
        <f t="shared" si="206"/>
        <v>219.6985760545686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6.330633520443361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6.330633520443361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-1.1368683772161603E-13</v>
      </c>
      <c r="BZ199" s="14">
        <f>BY199*VLOOKUP('Données projet'!$B$12,Paramètres!$A$1:$I$89,3,0)*VLOOKUP('Données projet'!$B$12,Paramètres!$A$1:$I$89,5,0)</f>
        <v>-6.7984728957526396E-14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279.69031306919914</v>
      </c>
      <c r="CE199" s="62">
        <f t="shared" si="207"/>
        <v>297.01680128882509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13.488236691194622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1.5084520732958734E-18</v>
      </c>
      <c r="CN199" s="24">
        <f t="shared" si="172"/>
        <v>13.488236691194622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2">
        <f t="shared" si="202"/>
        <v>28.755825625606846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70">
        <f t="shared" si="192"/>
        <v>530.75354629793264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-2.2737367544323206E-13</v>
      </c>
      <c r="O200" s="14">
        <f>N200*VLOOKUP('Données projet'!$B$9,Paramètres!$A$1:$I$89,3,0)*VLOOKUP('Données projet'!$B$9,Paramètres!$A$1:$I$89,5,0)</f>
        <v>-1.2710188457276673E-13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378.17323480030268</v>
      </c>
      <c r="T200" s="62">
        <f t="shared" si="204"/>
        <v>471.89239871617241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20.251525987919468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1.0352967951041088E-19</v>
      </c>
      <c r="AC200" s="24">
        <f t="shared" si="163"/>
        <v>20.251525987919468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2.2737367544323206E-13</v>
      </c>
      <c r="AJ200" s="14">
        <f>AI200*VLOOKUP('Données projet'!$B$10,Paramètres!$A$1:$I$89,3,0)*VLOOKUP('Données projet'!$B$10,Paramètres!$A$1:$I$89,5,0)</f>
        <v>1.8444552551954985E-13</v>
      </c>
      <c r="AK200" s="14">
        <f t="shared" si="164"/>
        <v>2.580317449479618E-12</v>
      </c>
      <c r="AL200" s="22">
        <f t="shared" si="165"/>
        <v>4.8152955147902165E-12</v>
      </c>
      <c r="AM200" s="62">
        <f t="shared" si="193"/>
        <v>293.33333333333815</v>
      </c>
      <c r="AN200" s="62">
        <f ca="1">AVERAGE(OFFSET($AM$3,0,0,'Données projet'!$E$10+1,1))-AVERAGE(OFFSET($H$3,0,0,'Données projet'!$E$10+1,1))</f>
        <v>199.44889029107367</v>
      </c>
      <c r="AO200" s="62">
        <f t="shared" si="205"/>
        <v>292.30544856287457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5.5125942710258427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5.5125942710258427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529.99999999999989</v>
      </c>
      <c r="BE200" s="14">
        <f>BD200*VLOOKUP('Données projet'!$B$11,Paramètres!$A$1:$I$89,3,0)*VLOOKUP('Données projet'!$B$11,Paramètres!$A$1:$I$89,5,0)</f>
        <v>248.03999999999994</v>
      </c>
      <c r="BF200" s="14">
        <f t="shared" si="167"/>
        <v>60.166044284441391</v>
      </c>
      <c r="BG200" s="22">
        <f t="shared" si="168"/>
        <v>536.79219379540189</v>
      </c>
      <c r="BH200" s="62">
        <f t="shared" si="194"/>
        <v>830.12552712873526</v>
      </c>
      <c r="BI200" s="62">
        <f ca="1">AVERAGE(OFFSET($BH$3,0,0,'Données projet'!$E$11+1,1))-AVERAGE(OFFSET($H$3,0,0,'Données projet'!$E$11+1,1))</f>
        <v>256.45505140629194</v>
      </c>
      <c r="BJ200" s="62">
        <f t="shared" si="206"/>
        <v>219.6985760545686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6.2064936584126418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6.2064936584126418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-1.1368683772161603E-13</v>
      </c>
      <c r="BZ200" s="14">
        <f>BY200*VLOOKUP('Données projet'!$B$12,Paramètres!$A$1:$I$89,3,0)*VLOOKUP('Données projet'!$B$12,Paramètres!$A$1:$I$89,5,0)</f>
        <v>-6.7984728957526396E-14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279.69031306919914</v>
      </c>
      <c r="CE200" s="62">
        <f t="shared" si="207"/>
        <v>297.01680128882509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13.223740596692327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1.0666366901224191E-18</v>
      </c>
      <c r="CN200" s="24">
        <f t="shared" si="172"/>
        <v>13.223740596692327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2">
        <f t="shared" si="202"/>
        <v>28.884765499467239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70">
        <f t="shared" si="192"/>
        <v>531.9290665782396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-2.2737367544323206E-13</v>
      </c>
      <c r="O201" s="14">
        <f>N201*VLOOKUP('Données projet'!$B$9,Paramètres!$A$1:$I$89,3,0)*VLOOKUP('Données projet'!$B$9,Paramètres!$A$1:$I$89,5,0)</f>
        <v>-1.2710188457276673E-13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378.17323480030268</v>
      </c>
      <c r="T201" s="62">
        <f t="shared" si="204"/>
        <v>471.89239871617241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19.854405915507542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7.32065384358815E-20</v>
      </c>
      <c r="AC201" s="24">
        <f t="shared" si="163"/>
        <v>19.854405915507542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2.2737367544323206E-13</v>
      </c>
      <c r="AJ201" s="14">
        <f>AI201*VLOOKUP('Données projet'!$B$10,Paramètres!$A$1:$I$89,3,0)*VLOOKUP('Données projet'!$B$10,Paramètres!$A$1:$I$89,5,0)</f>
        <v>1.8444552551954985E-13</v>
      </c>
      <c r="AK201" s="14">
        <f t="shared" si="164"/>
        <v>2.580317449479618E-12</v>
      </c>
      <c r="AL201" s="22">
        <f t="shared" si="165"/>
        <v>4.8152955147902165E-12</v>
      </c>
      <c r="AM201" s="62">
        <f t="shared" si="193"/>
        <v>293.33333333333815</v>
      </c>
      <c r="AN201" s="62">
        <f ca="1">AVERAGE(OFFSET($AM$3,0,0,'Données projet'!$E$10+1,1))-AVERAGE(OFFSET($H$3,0,0,'Données projet'!$E$10+1,1))</f>
        <v>199.44889029107367</v>
      </c>
      <c r="AO201" s="62">
        <f t="shared" si="205"/>
        <v>292.30544856287457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5.404495659721527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5.404495659721527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529.99999999999989</v>
      </c>
      <c r="BE201" s="14">
        <f>BD201*VLOOKUP('Données projet'!$B$11,Paramètres!$A$1:$I$89,3,0)*VLOOKUP('Données projet'!$B$11,Paramètres!$A$1:$I$89,5,0)</f>
        <v>248.03999999999994</v>
      </c>
      <c r="BF201" s="14">
        <f t="shared" si="167"/>
        <v>60.166044284441391</v>
      </c>
      <c r="BG201" s="22">
        <f t="shared" si="168"/>
        <v>536.79219379540189</v>
      </c>
      <c r="BH201" s="62">
        <f t="shared" si="194"/>
        <v>830.12552712873526</v>
      </c>
      <c r="BI201" s="62">
        <f ca="1">AVERAGE(OFFSET($BH$3,0,0,'Données projet'!$E$11+1,1))-AVERAGE(OFFSET($H$3,0,0,'Données projet'!$E$11+1,1))</f>
        <v>256.45505140629194</v>
      </c>
      <c r="BJ201" s="62">
        <f t="shared" si="206"/>
        <v>219.6985760545686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6.0847881033585054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6.0847881033585054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-1.1368683772161603E-13</v>
      </c>
      <c r="BZ201" s="14">
        <f>BY201*VLOOKUP('Données projet'!$B$12,Paramètres!$A$1:$I$89,3,0)*VLOOKUP('Données projet'!$B$12,Paramètres!$A$1:$I$89,5,0)</f>
        <v>-6.7984728957526396E-14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279.69031306919914</v>
      </c>
      <c r="CE201" s="62">
        <f t="shared" si="207"/>
        <v>297.01680128882509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12.964431109276534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7.542260366479367E-19</v>
      </c>
      <c r="CN201" s="24">
        <f t="shared" si="172"/>
        <v>12.964431109276534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2">
        <f t="shared" si="202"/>
        <v>29.013629594246641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70">
        <f t="shared" si="192"/>
        <v>533.10445487664697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-2.2737367544323206E-13</v>
      </c>
      <c r="O202" s="14">
        <f>N202*VLOOKUP('Données projet'!$B$9,Paramètres!$A$1:$I$89,3,0)*VLOOKUP('Données projet'!$B$9,Paramètres!$A$1:$I$89,5,0)</f>
        <v>-1.2710188457276673E-13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378.17323480030268</v>
      </c>
      <c r="T202" s="62">
        <f t="shared" si="204"/>
        <v>471.89239871617241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19.465073125496286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5.1764839755205441E-20</v>
      </c>
      <c r="AC202" s="24">
        <f t="shared" si="163"/>
        <v>19.465073125496286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2.2737367544323206E-13</v>
      </c>
      <c r="AJ202" s="14">
        <f>AI202*VLOOKUP('Données projet'!$B$10,Paramètres!$A$1:$I$89,3,0)*VLOOKUP('Données projet'!$B$10,Paramètres!$A$1:$I$89,5,0)</f>
        <v>1.8444552551954985E-13</v>
      </c>
      <c r="AK202" s="14">
        <f t="shared" si="164"/>
        <v>2.580317449479618E-12</v>
      </c>
      <c r="AL202" s="22">
        <f t="shared" si="165"/>
        <v>4.8152955147902165E-12</v>
      </c>
      <c r="AM202" s="62">
        <f t="shared" si="193"/>
        <v>293.33333333333815</v>
      </c>
      <c r="AN202" s="62">
        <f ca="1">AVERAGE(OFFSET($AM$3,0,0,'Données projet'!$E$10+1,1))-AVERAGE(OFFSET($H$3,0,0,'Données projet'!$E$10+1,1))</f>
        <v>199.44889029107367</v>
      </c>
      <c r="AO202" s="62">
        <f t="shared" si="205"/>
        <v>292.30544856287457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5.2985167962512465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5.2985167962512465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529.99999999999989</v>
      </c>
      <c r="BE202" s="14">
        <f>BD202*VLOOKUP('Données projet'!$B$11,Paramètres!$A$1:$I$89,3,0)*VLOOKUP('Données projet'!$B$11,Paramètres!$A$1:$I$89,5,0)</f>
        <v>248.03999999999994</v>
      </c>
      <c r="BF202" s="14">
        <f t="shared" si="167"/>
        <v>60.166044284441391</v>
      </c>
      <c r="BG202" s="22">
        <f t="shared" si="168"/>
        <v>536.79219379540189</v>
      </c>
      <c r="BH202" s="62">
        <f t="shared" si="194"/>
        <v>830.12552712873526</v>
      </c>
      <c r="BI202" s="62">
        <f ca="1">AVERAGE(OFFSET($BH$3,0,0,'Données projet'!$E$11+1,1))-AVERAGE(OFFSET($H$3,0,0,'Données projet'!$E$11+1,1))</f>
        <v>256.45505140629194</v>
      </c>
      <c r="BJ202" s="62">
        <f t="shared" si="206"/>
        <v>219.6985760545686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5.9654691200059222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5.9654691200059222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-1.1368683772161603E-13</v>
      </c>
      <c r="BZ202" s="14">
        <f>BY202*VLOOKUP('Données projet'!$B$12,Paramètres!$A$1:$I$89,3,0)*VLOOKUP('Données projet'!$B$12,Paramètres!$A$1:$I$89,5,0)</f>
        <v>-6.7984728957526396E-14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279.69031306919914</v>
      </c>
      <c r="CE202" s="62">
        <f t="shared" si="207"/>
        <v>297.01680128882509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12.710206522745795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5.3331834506120954E-19</v>
      </c>
      <c r="CN202" s="24">
        <f t="shared" si="172"/>
        <v>12.710206522745795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2">
        <f t="shared" si="202"/>
        <v>29.142418334948719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70">
        <f t="shared" si="192"/>
        <v>534.27971193336975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-2.2737367544323206E-13</v>
      </c>
      <c r="O203" s="14">
        <f>N203*VLOOKUP('Données projet'!$B$9,Paramètres!$A$1:$I$89,3,0)*VLOOKUP('Données projet'!$B$9,Paramètres!$A$1:$I$89,5,0)</f>
        <v>-1.2710188457276673E-13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378.17323480030268</v>
      </c>
      <c r="T203" s="62">
        <f t="shared" si="204"/>
        <v>471.89239871617241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19.083374914027594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3.660326921794075E-20</v>
      </c>
      <c r="AC203" s="24">
        <f t="shared" si="163"/>
        <v>19.083374914027594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2.2737367544323206E-13</v>
      </c>
      <c r="AJ203" s="14">
        <f>AI203*VLOOKUP('Données projet'!$B$10,Paramètres!$A$1:$I$89,3,0)*VLOOKUP('Données projet'!$B$10,Paramètres!$A$1:$I$89,5,0)</f>
        <v>1.8444552551954985E-13</v>
      </c>
      <c r="AK203" s="14">
        <f t="shared" si="164"/>
        <v>2.580317449479618E-12</v>
      </c>
      <c r="AL203" s="22">
        <f t="shared" si="165"/>
        <v>4.8152955147902165E-12</v>
      </c>
      <c r="AM203" s="62">
        <f t="shared" si="193"/>
        <v>293.33333333333815</v>
      </c>
      <c r="AN203" s="62">
        <f ca="1">AVERAGE(OFFSET($AM$3,0,0,'Données projet'!$E$10+1,1))-AVERAGE(OFFSET($H$3,0,0,'Données projet'!$E$10+1,1))</f>
        <v>199.44889029107367</v>
      </c>
      <c r="AO203" s="62">
        <f t="shared" si="205"/>
        <v>292.30544856287457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5.1946161136528941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5.1946161136528941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529.99999999999989</v>
      </c>
      <c r="BE203" s="14">
        <f>BD203*VLOOKUP('Données projet'!$B$11,Paramètres!$A$1:$I$89,3,0)*VLOOKUP('Données projet'!$B$11,Paramètres!$A$1:$I$89,5,0)</f>
        <v>248.03999999999994</v>
      </c>
      <c r="BF203" s="14">
        <f t="shared" si="167"/>
        <v>60.166044284441391</v>
      </c>
      <c r="BG203" s="22">
        <f t="shared" si="168"/>
        <v>536.79219379540189</v>
      </c>
      <c r="BH203" s="62">
        <f t="shared" si="194"/>
        <v>830.12552712873526</v>
      </c>
      <c r="BI203" s="62">
        <f ca="1">AVERAGE(OFFSET($BH$3,0,0,'Données projet'!$E$11+1,1))-AVERAGE(OFFSET($H$3,0,0,'Données projet'!$E$11+1,1))</f>
        <v>256.45505140629194</v>
      </c>
      <c r="BJ203" s="62">
        <f t="shared" si="206"/>
        <v>219.6985760545686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5.8484899091394897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5.8484899091394897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-1.1368683772161603E-13</v>
      </c>
      <c r="BZ203" s="14">
        <f>BY203*VLOOKUP('Données projet'!$B$12,Paramètres!$A$1:$I$89,3,0)*VLOOKUP('Données projet'!$B$12,Paramètres!$A$1:$I$89,5,0)</f>
        <v>-6.7984728957526396E-14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279.69031306919914</v>
      </c>
      <c r="CE203" s="62">
        <f t="shared" si="207"/>
        <v>297.01680128882509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12.460967125295236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3.7711301832396835E-19</v>
      </c>
      <c r="CN203" s="24">
        <f t="shared" si="172"/>
        <v>12.460967125295236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1.3070441688874561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1.2457309396155174</v>
      </c>
      <c r="BA205" s="88">
        <f>EXP(LN('Données projet'!B88)/'Données projet'!A88)</f>
        <v>1.2880503926580862</v>
      </c>
      <c r="BV205" s="88">
        <f>EXP(LN('Données projet'!B114)/'Données projet'!A114)</f>
        <v>1.3239616704988877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3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4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3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5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5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4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3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4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7" t="s">
        <v>191</v>
      </c>
      <c r="C2" s="318"/>
      <c r="D2" s="318"/>
      <c r="E2" s="318"/>
      <c r="F2" s="318"/>
      <c r="G2" s="319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16"/>
      <c r="C4" s="316"/>
      <c r="D4" s="316"/>
      <c r="E4" s="316"/>
      <c r="F4" s="316"/>
      <c r="G4" s="316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M24" sqref="M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7" t="s">
        <v>271</v>
      </c>
      <c r="B2" s="318"/>
      <c r="C2" s="318"/>
      <c r="D2" s="318"/>
      <c r="E2" s="318"/>
      <c r="F2" s="318"/>
      <c r="G2" s="318"/>
      <c r="H2" s="318"/>
      <c r="I2" s="318"/>
      <c r="J2" s="318"/>
      <c r="K2" s="318"/>
      <c r="L2" s="319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Douglas</v>
      </c>
      <c r="B6" s="155">
        <f>'Données projet'!D9</f>
        <v>0.51</v>
      </c>
      <c r="C6" s="156">
        <f ca="1">IF(OR('Données projet'!B9="",'Données projet'!C9="",'Données projet'!C9=0%),0,Calculateur!S3)</f>
        <v>378.17323480030268</v>
      </c>
      <c r="D6" s="156">
        <f>IF(OR('Données projet'!B9="",'Données projet'!C9="",'Données projet'!C9=0%),0,Calculateur!T3)</f>
        <v>471.89239871617241</v>
      </c>
      <c r="E6" s="156">
        <f ca="1">MIN(C6,D6)</f>
        <v>378.17323480030268</v>
      </c>
      <c r="F6" s="156">
        <f ca="1">E6*B6</f>
        <v>192.86834974815437</v>
      </c>
      <c r="G6" s="156">
        <f ca="1">F6*(100%-'Données projet'!$C$24)*(100%-'Données projet'!$C$25)*(100%-'Données projet'!$C$26)*(100%-'Données projet'!$C$27)</f>
        <v>173.58151477333894</v>
      </c>
      <c r="H6" s="157">
        <f>IF(OR('Données projet'!B9="",'Données projet'!C9="",'Données projet'!C9=0%),0,AVERAGE(Calculateur!$AC$3:$AC$33)*B6)</f>
        <v>2.2215706649549412</v>
      </c>
      <c r="I6" s="158">
        <f>H6*(100%-'Données projet'!$C$24)*(100%-'Données projet'!$C$25)*(100%-'Données projet'!$C$26)*(100%-'Données projet'!$C$27)</f>
        <v>1.999413598459447</v>
      </c>
      <c r="J6" s="159">
        <f>IF(OR('Données projet'!B9="",'Données projet'!C9="",'Données projet'!C9=0%),0,SUM(Calculateur!$V$3:$V$33)*VLOOKUP('Données projet'!$B$9,Paramètres!$A$1:$I$89,9,0)*B6)</f>
        <v>23.6844</v>
      </c>
      <c r="K6" s="160">
        <f>J6*(100%-'Données projet'!$C$24)*(100%-'Données projet'!$C$25)*(100%-'Données projet'!$C$26)*(100%-'Données projet'!$C$27)</f>
        <v>21.31596</v>
      </c>
      <c r="L6" s="161">
        <f ca="1">G6+I6+K6</f>
        <v>196.89688837179838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Bouleau verruqueux</v>
      </c>
      <c r="B7" s="163">
        <f>'Données projet'!D10</f>
        <v>0.24</v>
      </c>
      <c r="C7" s="156">
        <f ca="1">IF(OR('Données projet'!B10="",'Données projet'!C10="",'Données projet'!C10=0%),0,Calculateur!AN3)</f>
        <v>199.44889029107367</v>
      </c>
      <c r="D7" s="156">
        <f>IF(OR('Données projet'!B10="",'Données projet'!C10="",'Données projet'!C10=0%),0,Calculateur!AO3)</f>
        <v>292.30544856287457</v>
      </c>
      <c r="E7" s="156">
        <f t="shared" ref="E7:E15" ca="1" si="0">MIN(C7,D7)</f>
        <v>199.44889029107367</v>
      </c>
      <c r="F7" s="156">
        <f t="shared" ref="F7:F15" ca="1" si="1">E7*B7</f>
        <v>47.867733669857678</v>
      </c>
      <c r="G7" s="156">
        <f ca="1">F7*(100%-'Données projet'!$C$24)*(100%-'Données projet'!$C$25)*(100%-'Données projet'!$C$26)*(100%-'Données projet'!$C$27)</f>
        <v>43.080960302871908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4.8</v>
      </c>
      <c r="K7" s="160">
        <f>J7*(100%-'Données projet'!$C$24)*(100%-'Données projet'!$C$25)*(100%-'Données projet'!$C$26)*(100%-'Données projet'!$C$27)</f>
        <v>4.32</v>
      </c>
      <c r="L7" s="161">
        <f t="shared" ref="L7:L15" ca="1" si="2">G7+I7+K7</f>
        <v>47.400960302871908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Cèdre de l'Atlas</v>
      </c>
      <c r="B8" s="163">
        <f>'Données projet'!D11</f>
        <v>0.33</v>
      </c>
      <c r="C8" s="156">
        <f ca="1">IF(OR('Données projet'!B11="",'Données projet'!C11="",'Données projet'!C11=0%),0,Calculateur!BI3)</f>
        <v>256.45505140629194</v>
      </c>
      <c r="D8" s="156">
        <f>IF(OR('Données projet'!B11="",'Données projet'!C11="",'Données projet'!C11=0%),0,Calculateur!BJ3)</f>
        <v>219.6985760545686</v>
      </c>
      <c r="E8" s="156">
        <f t="shared" ca="1" si="0"/>
        <v>219.6985760545686</v>
      </c>
      <c r="F8" s="156">
        <f t="shared" ca="1" si="1"/>
        <v>72.500530098007644</v>
      </c>
      <c r="G8" s="156">
        <f ca="1">F8*(100%-'Données projet'!$C$24)*(100%-'Données projet'!$C$25)*(100%-'Données projet'!$C$26)*(100%-'Données projet'!$C$27)</f>
        <v>65.250477088206878</v>
      </c>
      <c r="H8" s="164">
        <f>IF(OR('Données projet'!B11="",'Données projet'!C11="",'Données projet'!C11=0%),0,AVERAGE(Calculateur!$BS$3:$BS$33)*B8)</f>
        <v>2.9987695589840317E-2</v>
      </c>
      <c r="I8" s="158">
        <f>H8*(100%-'Données projet'!$C$24)*(100%-'Données projet'!$C$25)*(100%-'Données projet'!$C$26)*(100%-'Données projet'!$C$27)</f>
        <v>2.6988926030856286E-2</v>
      </c>
      <c r="J8" s="159">
        <f>IF(OR('Données projet'!B11="",'Données projet'!C11="",'Données projet'!C11=0%),0,SUM(Calculateur!$BL$3:$BL$33)*VLOOKUP('Données projet'!$B$11,Paramètres!$A$1:$I$89,9,0)*B8)</f>
        <v>14.190000000000001</v>
      </c>
      <c r="K8" s="160">
        <f>J8*(100%-'Données projet'!$C$24)*(100%-'Données projet'!$C$25)*(100%-'Données projet'!$C$26)*(100%-'Données projet'!$C$27)</f>
        <v>12.771000000000001</v>
      </c>
      <c r="L8" s="161">
        <f t="shared" ca="1" si="2"/>
        <v>78.048466014237732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Pin laricio</v>
      </c>
      <c r="B9" s="163">
        <f>'Données projet'!D12</f>
        <v>1.92</v>
      </c>
      <c r="C9" s="156">
        <f ca="1">IF(OR('Données projet'!B12="",'Données projet'!C12="",'Données projet'!C12=0%),0,Calculateur!CD3)</f>
        <v>279.69031306919914</v>
      </c>
      <c r="D9" s="156">
        <f>IF(OR('Données projet'!B12="",'Données projet'!C12="",'Données projet'!C12=0%),0,Calculateur!CE3)</f>
        <v>297.01680128882509</v>
      </c>
      <c r="E9" s="156">
        <f t="shared" ca="1" si="0"/>
        <v>279.69031306919914</v>
      </c>
      <c r="F9" s="156">
        <f t="shared" ca="1" si="1"/>
        <v>537.00540109286237</v>
      </c>
      <c r="G9" s="156">
        <f ca="1">F9*(100%-'Données projet'!$C$24)*(100%-'Données projet'!$C$25)*(100%-'Données projet'!$C$26)*(100%-'Données projet'!$C$27)</f>
        <v>483.30486098357613</v>
      </c>
      <c r="H9" s="164">
        <f>IF(OR('Données projet'!B12="",'Données projet'!C12="",'Données projet'!C12=0%),0,AVERAGE(Calculateur!$CN$3:$CN$33)*B9)</f>
        <v>11.112641862578529</v>
      </c>
      <c r="I9" s="158">
        <f>H9*(100%-'Données projet'!$C$24)*(100%-'Données projet'!$C$25)*(100%-'Données projet'!$C$26)*(100%-'Données projet'!$C$27)</f>
        <v>10.001377676320677</v>
      </c>
      <c r="J9" s="159">
        <f>IF(OR('Données projet'!B12="",'Données projet'!C12="",'Données projet'!C12=0%),0,SUM(Calculateur!$CG$3:$CG$33)*VLOOKUP('Données projet'!$B$12,Paramètres!$A$1:$I$89,9,0)*B9)</f>
        <v>99.072000000000003</v>
      </c>
      <c r="K9" s="160">
        <f>J9*(100%-'Données projet'!$C$24)*(100%-'Données projet'!$C$25)*(100%-'Données projet'!$C$26)*(100%-'Données projet'!$C$27)</f>
        <v>89.1648</v>
      </c>
      <c r="L9" s="161">
        <f t="shared" ca="1" si="2"/>
        <v>582.47103865989675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850.24201460888207</v>
      </c>
      <c r="G16" s="175">
        <f t="shared" ca="1" si="3"/>
        <v>765.21781314799387</v>
      </c>
      <c r="H16" s="176">
        <f t="shared" si="3"/>
        <v>13.36420022312331</v>
      </c>
      <c r="I16" s="176">
        <f t="shared" si="3"/>
        <v>12.02778020081098</v>
      </c>
      <c r="J16" s="177">
        <f t="shared" si="3"/>
        <v>141.74639999999999</v>
      </c>
      <c r="K16" s="177">
        <f t="shared" si="3"/>
        <v>127.57176</v>
      </c>
      <c r="L16" s="178">
        <f t="shared" ca="1" si="3"/>
        <v>904.81735334880477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Douglas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Bouleau verruqueux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Cèdre de l'Atlas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Pin laricio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80" zoomScaleNormal="80" workbookViewId="0">
      <selection activeCell="S39" sqref="S3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7" t="s">
        <v>272</v>
      </c>
      <c r="C2" s="318"/>
      <c r="D2" s="318"/>
      <c r="E2" s="318"/>
      <c r="F2" s="318"/>
      <c r="G2" s="318"/>
      <c r="H2" s="318"/>
      <c r="I2" s="318"/>
      <c r="J2" s="318"/>
      <c r="K2" s="318"/>
      <c r="L2" s="318"/>
      <c r="M2" s="318"/>
      <c r="N2" s="318"/>
      <c r="O2" s="318"/>
      <c r="P2" s="319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Douglas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2113.6948166473171</v>
      </c>
      <c r="U10" s="190">
        <f>'Données projet'!D9</f>
        <v>0.51</v>
      </c>
      <c r="V10" s="189">
        <f>U10*T10</f>
        <v>1077.9843564901319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Bouleau verruqueux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-2315.1310453153101</v>
      </c>
      <c r="U11" s="190">
        <f>'Données projet'!D10</f>
        <v>0.24</v>
      </c>
      <c r="V11" s="189">
        <f t="shared" ref="V11" si="0">U11*T11</f>
        <v>-555.63145087567443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Cèdre de l'Atlas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-2298.7033342269033</v>
      </c>
      <c r="U12" s="190">
        <f>'Données projet'!D11</f>
        <v>0.33</v>
      </c>
      <c r="V12" s="189">
        <f t="shared" ref="V12:V19" si="1">U12*T12</f>
        <v>-758.57210029487817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Pin laricio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-526.53243683935875</v>
      </c>
      <c r="U13" s="190">
        <f>'Données projet'!D12</f>
        <v>1.92</v>
      </c>
      <c r="V13" s="189">
        <f t="shared" si="1"/>
        <v>-1010.9422787315688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Douglas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>
        <v>45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2327.65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44.999999999999979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>
        <v>12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539.99999999999977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1</v>
      </c>
      <c r="I20" s="204">
        <v>787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1288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750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19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>
        <v>4</v>
      </c>
      <c r="I23" s="204">
        <v>750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-12708.817385368715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54</v>
      </c>
      <c r="C24" s="206">
        <v>5</v>
      </c>
      <c r="D24" s="194">
        <f t="shared" ref="D24:D42" si="2">B24*C24</f>
        <v>270</v>
      </c>
      <c r="E24" s="206"/>
      <c r="F24" s="264"/>
      <c r="H24" s="203">
        <v>5</v>
      </c>
      <c r="I24" s="204">
        <v>750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223.50227309997462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54</v>
      </c>
      <c r="C25" s="206">
        <v>15</v>
      </c>
      <c r="D25" s="194">
        <f t="shared" si="2"/>
        <v>810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-12932.31965846869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69</v>
      </c>
      <c r="C26" s="206">
        <v>20</v>
      </c>
      <c r="D26" s="194">
        <f t="shared" si="2"/>
        <v>1380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72</v>
      </c>
      <c r="C27" s="206">
        <v>20</v>
      </c>
      <c r="D27" s="194">
        <f t="shared" si="2"/>
        <v>1440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66</v>
      </c>
      <c r="C28" s="206">
        <v>40</v>
      </c>
      <c r="D28" s="194">
        <f t="shared" si="2"/>
        <v>2640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48</v>
      </c>
      <c r="C29" s="206">
        <v>45</v>
      </c>
      <c r="D29" s="194">
        <f t="shared" si="2"/>
        <v>2160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35</v>
      </c>
      <c r="C30" s="206">
        <v>45</v>
      </c>
      <c r="D30" s="194">
        <f t="shared" si="2"/>
        <v>1575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666</v>
      </c>
      <c r="C31" s="206">
        <v>60</v>
      </c>
      <c r="D31" s="194">
        <f t="shared" si="2"/>
        <v>39960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Bouleau verruqueux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2847.5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10</v>
      </c>
      <c r="B54" s="193">
        <f>'Données projet'!D62</f>
        <v>0</v>
      </c>
      <c r="C54" s="204">
        <v>2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15</v>
      </c>
      <c r="B55" s="193">
        <f>'Données projet'!D63</f>
        <v>0</v>
      </c>
      <c r="C55" s="204">
        <v>5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20</v>
      </c>
      <c r="B56" s="193">
        <f>'Données projet'!D64</f>
        <v>0</v>
      </c>
      <c r="C56" s="204">
        <v>5</v>
      </c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25</v>
      </c>
      <c r="B57" s="193">
        <f>'Données projet'!D65</f>
        <v>40</v>
      </c>
      <c r="C57" s="204">
        <v>40</v>
      </c>
      <c r="D57" s="191">
        <f t="shared" si="4"/>
        <v>1600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30</v>
      </c>
      <c r="B58" s="193">
        <f>'Données projet'!D66</f>
        <v>40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35</v>
      </c>
      <c r="B59" s="193">
        <f>'Données projet'!D67</f>
        <v>116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40</v>
      </c>
      <c r="B60" s="193">
        <f>'Données projet'!D68</f>
        <v>116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45</v>
      </c>
      <c r="B61" s="193">
        <f>'Données projet'!D69</f>
        <v>116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50</v>
      </c>
      <c r="B62" s="193">
        <f>'Données projet'!D70</f>
        <v>344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Cèdre de l'Atlas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3531.21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str">
        <f>IF(O83+1&lt;=MIN('Données projet'!$E$9:$E$18),O83+1,"STOP")</f>
        <v>STOP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45</v>
      </c>
      <c r="C85" s="204">
        <v>0</v>
      </c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55</v>
      </c>
      <c r="C86" s="204">
        <v>5</v>
      </c>
      <c r="D86" s="191">
        <f t="shared" ref="D86:D104" si="6">B86*C86</f>
        <v>275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40</v>
      </c>
      <c r="B87" s="193">
        <f>'Données projet'!D90</f>
        <v>60</v>
      </c>
      <c r="C87" s="204">
        <v>15</v>
      </c>
      <c r="D87" s="191">
        <f t="shared" si="6"/>
        <v>900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50</v>
      </c>
      <c r="B88" s="193">
        <f>'Données projet'!D91</f>
        <v>60</v>
      </c>
      <c r="C88" s="204">
        <v>30</v>
      </c>
      <c r="D88" s="191">
        <f t="shared" si="6"/>
        <v>1800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60</v>
      </c>
      <c r="B89" s="193">
        <f>'Données projet'!D92</f>
        <v>65</v>
      </c>
      <c r="C89" s="204">
        <v>40</v>
      </c>
      <c r="D89" s="191">
        <f t="shared" si="6"/>
        <v>2600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70</v>
      </c>
      <c r="B90" s="193">
        <f>'Données projet'!D93</f>
        <v>225</v>
      </c>
      <c r="C90" s="204">
        <v>60</v>
      </c>
      <c r="D90" s="191">
        <f t="shared" si="6"/>
        <v>13500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Pin laricio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v>2224.58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17</v>
      </c>
      <c r="B116" s="193">
        <f>'Données projet'!D114</f>
        <v>15</v>
      </c>
      <c r="C116" s="204">
        <v>5</v>
      </c>
      <c r="D116" s="191">
        <f>B116*C116</f>
        <v>75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15</v>
      </c>
      <c r="C117" s="204">
        <v>10</v>
      </c>
      <c r="D117" s="191">
        <f t="shared" ref="D117:D135" si="8">B117*C117</f>
        <v>150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36</v>
      </c>
      <c r="C118" s="204">
        <v>15</v>
      </c>
      <c r="D118" s="191">
        <f t="shared" si="8"/>
        <v>540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54</v>
      </c>
      <c r="C119" s="204">
        <v>15</v>
      </c>
      <c r="D119" s="191">
        <f t="shared" si="8"/>
        <v>810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52</v>
      </c>
      <c r="C120" s="204">
        <v>30</v>
      </c>
      <c r="D120" s="191">
        <f t="shared" si="8"/>
        <v>1560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48</v>
      </c>
      <c r="C121" s="204">
        <v>30</v>
      </c>
      <c r="D121" s="191">
        <f t="shared" si="8"/>
        <v>1440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57</v>
      </c>
      <c r="C122" s="204">
        <v>30</v>
      </c>
      <c r="D122" s="191">
        <f t="shared" si="8"/>
        <v>1710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47</v>
      </c>
      <c r="C123" s="204">
        <v>30</v>
      </c>
      <c r="D123" s="191">
        <f t="shared" si="8"/>
        <v>1410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48</v>
      </c>
      <c r="C124" s="204">
        <v>30</v>
      </c>
      <c r="D124" s="191">
        <f t="shared" si="8"/>
        <v>1440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32</v>
      </c>
      <c r="C125" s="204">
        <v>45</v>
      </c>
      <c r="D125" s="191">
        <f t="shared" si="8"/>
        <v>1440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555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Calculateur</vt:lpstr>
      <vt:lpstr>Paramètres</vt:lpstr>
      <vt:lpstr>Scénario référence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Lorène GRIMOUILLE</cp:lastModifiedBy>
  <dcterms:created xsi:type="dcterms:W3CDTF">2021-02-01T08:22:39Z</dcterms:created>
  <dcterms:modified xsi:type="dcterms:W3CDTF">2024-02-13T08:52:04Z</dcterms:modified>
</cp:coreProperties>
</file>