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60_Chevrières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5" i="1" l="1"/>
  <c r="D205" i="1"/>
  <c r="B205" i="1"/>
  <c r="B198" i="1"/>
  <c r="D197" i="1"/>
  <c r="B197" i="1"/>
  <c r="B196" i="1"/>
  <c r="D195" i="1"/>
  <c r="B195" i="1"/>
  <c r="B194" i="1"/>
  <c r="D193" i="1"/>
  <c r="B193" i="1"/>
  <c r="B192" i="1"/>
  <c r="D148" i="1"/>
  <c r="D142" i="1"/>
  <c r="B142" i="1"/>
  <c r="B141" i="1"/>
  <c r="B42" i="1"/>
  <c r="D42" i="1" s="1"/>
  <c r="B41" i="1"/>
  <c r="D41" i="1" s="1"/>
  <c r="B40" i="1"/>
  <c r="D40" i="1" s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FS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C113" i="2"/>
  <c r="EB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FS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EC140" i="2"/>
  <c r="FR140" i="2"/>
  <c r="FS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Y154" i="2" l="1"/>
  <c r="EX155" i="2"/>
  <c r="EW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DH156" i="2" l="1"/>
  <c r="EX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A161" i="2"/>
  <c r="FS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Y161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 l="1"/>
  <c r="DI163" i="2"/>
  <c r="EX164" i="2"/>
  <c r="EV164" i="2"/>
  <c r="EA164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EC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Y168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S178" i="2"/>
  <c r="FQ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FS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A185" i="2"/>
  <c r="EV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V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EX193" i="2"/>
  <c r="FQ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FQ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CD60" i="2" l="1"/>
  <c r="CD198" i="2"/>
  <c r="CD171" i="2"/>
  <c r="CD34" i="2"/>
  <c r="CD74" i="2"/>
  <c r="CD24" i="2"/>
  <c r="CD63" i="2"/>
  <c r="CD29" i="2"/>
  <c r="CD139" i="2"/>
  <c r="CD86" i="2"/>
  <c r="CD137" i="2"/>
  <c r="CD88" i="2"/>
  <c r="CD193" i="2"/>
  <c r="CD50" i="2"/>
  <c r="CD55" i="2"/>
  <c r="CD57" i="2"/>
  <c r="CD177" i="2"/>
  <c r="CD200" i="2"/>
  <c r="CD4" i="2"/>
  <c r="CD66" i="2"/>
  <c r="CD178" i="2"/>
  <c r="CD156" i="2"/>
  <c r="CD103" i="2"/>
  <c r="CD201" i="2"/>
  <c r="CD176" i="2"/>
  <c r="CD123" i="2"/>
  <c r="CD191" i="2"/>
  <c r="CD134" i="2"/>
  <c r="CD125" i="2"/>
  <c r="CD106" i="2"/>
  <c r="CD197" i="2"/>
  <c r="CD190" i="2"/>
  <c r="CD172" i="2"/>
  <c r="CD151" i="2"/>
  <c r="CD59" i="2"/>
  <c r="CD72" i="2"/>
  <c r="CD160" i="2"/>
  <c r="CD121" i="2"/>
  <c r="CD162" i="2"/>
  <c r="CD15" i="2"/>
  <c r="CD91" i="2"/>
  <c r="CD31" i="2"/>
  <c r="CD3" i="2"/>
  <c r="C9" i="4" s="1"/>
  <c r="E9" i="4" s="1"/>
  <c r="F9" i="4" s="1"/>
  <c r="G9" i="4" s="1"/>
  <c r="L9" i="4" s="1"/>
  <c r="CD120" i="2"/>
  <c r="CD92" i="2"/>
  <c r="CD116" i="2"/>
  <c r="CD89" i="2"/>
  <c r="CD110" i="2"/>
  <c r="CD90" i="2"/>
  <c r="CD40" i="2"/>
  <c r="CD94" i="2"/>
  <c r="CD17" i="2"/>
  <c r="CD64" i="2"/>
  <c r="CD37" i="2"/>
  <c r="CD8" i="2"/>
  <c r="CD144" i="2"/>
  <c r="CD100" i="2"/>
  <c r="CD41" i="2"/>
  <c r="CD104" i="2"/>
  <c r="CD79" i="2"/>
  <c r="CD70" i="2"/>
  <c r="CD33" i="2"/>
  <c r="CD183" i="2"/>
  <c r="CD196" i="2"/>
  <c r="CD12" i="2"/>
  <c r="CD13" i="2"/>
  <c r="CD170" i="2"/>
  <c r="CD130" i="2"/>
  <c r="CD11" i="2"/>
  <c r="CD173" i="2"/>
  <c r="CD161" i="2"/>
  <c r="CD187" i="2"/>
  <c r="CD155" i="2"/>
  <c r="CD128" i="2"/>
  <c r="CD154" i="2"/>
  <c r="CD107" i="2"/>
  <c r="CD141" i="2"/>
  <c r="CD39" i="2"/>
  <c r="CD158" i="2"/>
  <c r="CD185" i="2"/>
  <c r="CD142" i="2"/>
  <c r="CD68" i="2"/>
  <c r="CD23" i="2"/>
  <c r="CD132" i="2"/>
  <c r="CD19" i="2"/>
  <c r="CD22" i="2"/>
  <c r="CD180" i="2"/>
  <c r="CD26" i="2"/>
  <c r="CD164" i="2"/>
  <c r="CD157" i="2"/>
  <c r="CD108" i="2"/>
  <c r="CD199" i="2"/>
  <c r="CD80" i="2"/>
  <c r="CD149" i="2"/>
  <c r="CD44" i="2"/>
  <c r="CD45" i="2"/>
  <c r="CD122" i="2"/>
  <c r="CD182" i="2"/>
  <c r="CD194" i="2"/>
  <c r="CD203" i="2"/>
  <c r="CD46" i="2"/>
  <c r="CD48" i="2"/>
  <c r="CD85" i="2"/>
  <c r="CD49" i="2"/>
  <c r="CD98" i="2"/>
  <c r="CD87" i="2"/>
  <c r="CD148" i="2"/>
  <c r="CD42" i="2"/>
  <c r="CD65" i="2"/>
  <c r="CD6" i="2"/>
  <c r="CD168" i="2"/>
  <c r="CD167" i="2"/>
  <c r="CD202" i="2"/>
  <c r="CD38" i="2"/>
  <c r="CD111" i="2"/>
  <c r="CD27" i="2"/>
  <c r="CD112" i="2"/>
  <c r="CD28" i="2"/>
  <c r="CD133" i="2"/>
  <c r="CD83" i="2"/>
  <c r="CD153" i="2"/>
  <c r="CD14" i="2"/>
  <c r="CD18" i="2"/>
  <c r="CD10" i="2"/>
  <c r="CD51" i="2"/>
  <c r="CD99" i="2"/>
  <c r="CD109" i="2"/>
  <c r="CD195" i="2"/>
  <c r="CD119" i="2"/>
  <c r="CD9" i="2"/>
  <c r="CD131" i="2"/>
  <c r="CD150" i="2"/>
  <c r="CD138" i="2"/>
  <c r="CD175" i="2"/>
  <c r="CD81" i="2"/>
  <c r="CD25" i="2"/>
  <c r="CD75" i="2"/>
  <c r="CD174" i="2"/>
  <c r="CD35" i="2"/>
  <c r="CD58" i="2"/>
  <c r="CD188" i="2"/>
  <c r="CD118" i="2"/>
  <c r="CD143" i="2"/>
  <c r="CD166" i="2"/>
  <c r="CD159" i="2"/>
  <c r="CD62" i="2"/>
  <c r="CD140" i="2"/>
  <c r="CD78" i="2"/>
  <c r="CD184" i="2"/>
  <c r="CD67" i="2"/>
  <c r="CD47" i="2"/>
  <c r="CD189" i="2"/>
  <c r="CD152" i="2"/>
  <c r="CD114" i="2"/>
  <c r="CD95" i="2"/>
  <c r="CD77" i="2"/>
  <c r="CD179" i="2"/>
  <c r="CD54" i="2"/>
  <c r="CD145" i="2"/>
  <c r="CD101" i="2"/>
  <c r="CD124" i="2"/>
  <c r="CD20" i="2"/>
  <c r="CD113" i="2"/>
  <c r="CD73" i="2"/>
  <c r="CD82" i="2"/>
  <c r="CD97" i="2"/>
  <c r="CD71" i="2"/>
  <c r="CD21" i="2"/>
  <c r="CD43" i="2"/>
  <c r="CD147" i="2"/>
  <c r="CD186" i="2"/>
  <c r="CD76" i="2"/>
  <c r="CD36" i="2"/>
  <c r="CD127" i="2"/>
  <c r="CD136" i="2"/>
  <c r="CD52" i="2"/>
  <c r="CD117" i="2"/>
  <c r="CD61" i="2"/>
  <c r="CD102" i="2"/>
  <c r="CD105" i="2"/>
  <c r="CD7" i="2"/>
  <c r="CD165" i="2"/>
  <c r="CD30" i="2"/>
  <c r="CD53" i="2"/>
  <c r="CD126" i="2"/>
  <c r="CD93" i="2"/>
  <c r="CD69" i="2"/>
  <c r="CD115" i="2"/>
  <c r="CD181" i="2"/>
  <c r="CD32" i="2"/>
  <c r="CD163" i="2"/>
  <c r="CD84" i="2"/>
  <c r="CD135" i="2"/>
  <c r="CD5" i="2"/>
  <c r="CD16" i="2"/>
  <c r="CD129" i="2"/>
  <c r="CD192" i="2"/>
  <c r="CD169" i="2"/>
  <c r="CD56" i="2"/>
  <c r="CD146" i="2"/>
  <c r="CD96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85" i="2" l="1"/>
  <c r="DT86" i="2"/>
  <c r="DT186" i="2"/>
  <c r="DT105" i="2"/>
  <c r="DT127" i="2"/>
  <c r="DT41" i="2"/>
  <c r="DT153" i="2"/>
  <c r="DT184" i="2"/>
  <c r="DT33" i="2"/>
  <c r="DT40" i="2"/>
  <c r="DT7" i="2"/>
  <c r="DT27" i="2"/>
  <c r="DT79" i="2"/>
  <c r="DT126" i="2"/>
  <c r="DT80" i="2"/>
  <c r="DT174" i="2"/>
  <c r="DT196" i="2"/>
  <c r="DT194" i="2"/>
  <c r="DT192" i="2"/>
  <c r="DT64" i="2"/>
  <c r="DT6" i="2"/>
  <c r="DT9" i="2"/>
  <c r="DT13" i="2"/>
  <c r="DT107" i="2"/>
  <c r="DT97" i="2"/>
  <c r="DT161" i="2"/>
  <c r="DT106" i="2"/>
  <c r="DT76" i="2"/>
  <c r="DT34" i="2"/>
  <c r="DT20" i="2"/>
  <c r="DT168" i="2"/>
  <c r="DT24" i="2"/>
  <c r="DT113" i="2"/>
  <c r="DT22" i="2"/>
  <c r="DT31" i="2"/>
  <c r="DT98" i="2"/>
  <c r="DT115" i="2"/>
  <c r="DT10" i="2"/>
  <c r="DT65" i="2"/>
  <c r="DT165" i="2"/>
  <c r="DT54" i="2"/>
  <c r="DT188" i="2"/>
  <c r="DT21" i="2"/>
  <c r="DT84" i="2"/>
  <c r="DT178" i="2"/>
  <c r="DT136" i="2"/>
  <c r="DT177" i="2"/>
  <c r="DT137" i="2"/>
  <c r="DT148" i="2"/>
  <c r="DT144" i="2"/>
  <c r="DT90" i="2"/>
  <c r="DT112" i="2"/>
  <c r="DT104" i="2"/>
  <c r="DT57" i="2"/>
  <c r="DT23" i="2"/>
  <c r="DT130" i="2"/>
  <c r="DT163" i="2"/>
  <c r="DT88" i="2"/>
  <c r="DT171" i="2"/>
  <c r="DT151" i="2"/>
  <c r="DT185" i="2"/>
  <c r="DT49" i="2"/>
  <c r="DT69" i="2"/>
  <c r="DT42" i="2"/>
  <c r="DT81" i="2"/>
  <c r="DT55" i="2"/>
  <c r="DT95" i="2"/>
  <c r="DT179" i="2"/>
  <c r="DT96" i="2"/>
  <c r="DT180" i="2"/>
  <c r="DT128" i="2"/>
  <c r="DT193" i="2"/>
  <c r="DT39" i="2"/>
  <c r="DT28" i="2"/>
  <c r="DT162" i="2"/>
  <c r="DT159" i="2"/>
  <c r="DT181" i="2"/>
  <c r="DT200" i="2"/>
  <c r="DT83" i="2"/>
  <c r="DT100" i="2"/>
  <c r="DT124" i="2"/>
  <c r="DT129" i="2"/>
  <c r="DT58" i="2"/>
  <c r="DT75" i="2"/>
  <c r="DT201" i="2"/>
  <c r="DT103" i="2"/>
  <c r="DT202" i="2"/>
  <c r="DT77" i="2"/>
  <c r="DT191" i="2"/>
  <c r="DT4" i="2"/>
  <c r="DT14" i="2"/>
  <c r="DT117" i="2"/>
  <c r="DT35" i="2"/>
  <c r="DT30" i="2"/>
  <c r="DT155" i="2"/>
  <c r="DT125" i="2"/>
  <c r="DT59" i="2"/>
  <c r="DT91" i="2"/>
  <c r="DT73" i="2"/>
  <c r="DT190" i="2"/>
  <c r="DT197" i="2"/>
  <c r="DT52" i="2"/>
  <c r="DT94" i="2"/>
  <c r="DT17" i="2"/>
  <c r="DT164" i="2"/>
  <c r="DT122" i="2"/>
  <c r="DT99" i="2"/>
  <c r="DT89" i="2"/>
  <c r="DT121" i="2"/>
  <c r="DT63" i="2"/>
  <c r="DT101" i="2"/>
  <c r="DT32" i="2"/>
  <c r="DT120" i="2"/>
  <c r="DT93" i="2"/>
  <c r="DT138" i="2"/>
  <c r="DT46" i="2"/>
  <c r="DT156" i="2"/>
  <c r="DT29" i="2"/>
  <c r="DT19" i="2"/>
  <c r="DT118" i="2"/>
  <c r="DT195" i="2"/>
  <c r="DT45" i="2"/>
  <c r="DT78" i="2"/>
  <c r="DT170" i="2"/>
  <c r="DT61" i="2"/>
  <c r="DT157" i="2"/>
  <c r="DT5" i="2"/>
  <c r="DT142" i="2"/>
  <c r="DT50" i="2"/>
  <c r="DT146" i="2"/>
  <c r="DT56" i="2"/>
  <c r="DT102" i="2"/>
  <c r="DT116" i="2"/>
  <c r="DT150" i="2"/>
  <c r="DT203" i="2"/>
  <c r="DT37" i="2"/>
  <c r="DT145" i="2"/>
  <c r="DT119" i="2"/>
  <c r="DT43" i="2"/>
  <c r="DT169" i="2"/>
  <c r="DT158" i="2"/>
  <c r="DT109" i="2"/>
  <c r="DT160" i="2"/>
  <c r="DT38" i="2"/>
  <c r="DT70" i="2"/>
  <c r="DT183" i="2"/>
  <c r="DT147" i="2"/>
  <c r="DT108" i="2"/>
  <c r="DT62" i="2"/>
  <c r="DT167" i="2"/>
  <c r="DT135" i="2"/>
  <c r="DT182" i="2"/>
  <c r="DT36" i="2"/>
  <c r="DT66" i="2"/>
  <c r="DT123" i="2"/>
  <c r="DT198" i="2"/>
  <c r="DT25" i="2"/>
  <c r="DT149" i="2"/>
  <c r="DT92" i="2"/>
  <c r="DT187" i="2"/>
  <c r="DT74" i="2"/>
  <c r="DT154" i="2"/>
  <c r="DT67" i="2"/>
  <c r="DT26" i="2"/>
  <c r="DT72" i="2"/>
  <c r="DT132" i="2"/>
  <c r="DT47" i="2"/>
  <c r="DT82" i="2"/>
  <c r="DT12" i="2"/>
  <c r="DT114" i="2"/>
  <c r="DT152" i="2"/>
  <c r="DT189" i="2"/>
  <c r="DT15" i="2"/>
  <c r="DT131" i="2"/>
  <c r="DT16" i="2"/>
  <c r="DT139" i="2"/>
  <c r="DT141" i="2"/>
  <c r="DT60" i="2"/>
  <c r="DT48" i="2"/>
  <c r="DT134" i="2"/>
  <c r="DT111" i="2"/>
  <c r="DT87" i="2"/>
  <c r="DT199" i="2"/>
  <c r="DT68" i="2"/>
  <c r="DT71" i="2"/>
  <c r="DT3" i="2"/>
  <c r="C11" i="4" s="1"/>
  <c r="E11" i="4" s="1"/>
  <c r="F11" i="4" s="1"/>
  <c r="G11" i="4" s="1"/>
  <c r="L11" i="4" s="1"/>
  <c r="DT140" i="2"/>
  <c r="DT53" i="2"/>
  <c r="DT133" i="2"/>
  <c r="DT51" i="2"/>
  <c r="DT8" i="2"/>
  <c r="DT11" i="2"/>
  <c r="DT166" i="2"/>
  <c r="DT175" i="2"/>
  <c r="DT44" i="2"/>
  <c r="DT173" i="2"/>
  <c r="DT172" i="2"/>
  <c r="DT110" i="2"/>
  <c r="DT143" i="2"/>
  <c r="DT18" i="2"/>
  <c r="DT17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25" i="2"/>
  <c r="BI41" i="2"/>
  <c r="BI89" i="2"/>
  <c r="BI187" i="2"/>
  <c r="BI54" i="2"/>
  <c r="BI76" i="2"/>
  <c r="BI133" i="2"/>
  <c r="BI55" i="2"/>
  <c r="BI58" i="2"/>
  <c r="BI115" i="2"/>
  <c r="BI14" i="2"/>
  <c r="BI188" i="2"/>
  <c r="BI84" i="2"/>
  <c r="BI173" i="2"/>
  <c r="BI121" i="2"/>
  <c r="BI150" i="2"/>
  <c r="BI171" i="2"/>
  <c r="BI195" i="2"/>
  <c r="BI105" i="2"/>
  <c r="BI28" i="2"/>
  <c r="BI9" i="2"/>
  <c r="BI63" i="2"/>
  <c r="BI80" i="2"/>
  <c r="BI137" i="2"/>
  <c r="BI20" i="2"/>
  <c r="BI172" i="2"/>
  <c r="BI85" i="2"/>
  <c r="BI203" i="2"/>
  <c r="BI53" i="2"/>
  <c r="BI118" i="2"/>
  <c r="BI180" i="2"/>
  <c r="BI29" i="2"/>
  <c r="BI146" i="2"/>
  <c r="BI64" i="2"/>
  <c r="BI4" i="2"/>
  <c r="BI134" i="2"/>
  <c r="BI149" i="2"/>
  <c r="BI39" i="2"/>
  <c r="BI79" i="2"/>
  <c r="BI71" i="2"/>
  <c r="BI144" i="2"/>
  <c r="BI6" i="2"/>
  <c r="BI19" i="2"/>
  <c r="BI73" i="2"/>
  <c r="BI8" i="2"/>
  <c r="BI132" i="2"/>
  <c r="BI51" i="2"/>
  <c r="BI46" i="2"/>
  <c r="BI72" i="2"/>
  <c r="BI87" i="2"/>
  <c r="BI200" i="2"/>
  <c r="BI45" i="2"/>
  <c r="BI98" i="2"/>
  <c r="BI184" i="2"/>
  <c r="BI25" i="2"/>
  <c r="BI23" i="2"/>
  <c r="BI50" i="2"/>
  <c r="BI198" i="2"/>
  <c r="BI116" i="2"/>
  <c r="BI166" i="2"/>
  <c r="BI148" i="2"/>
  <c r="BI21" i="2"/>
  <c r="BI36" i="2"/>
  <c r="BI44" i="2"/>
  <c r="BI91" i="2"/>
  <c r="BI117" i="2"/>
  <c r="BI126" i="2"/>
  <c r="BI151" i="2"/>
  <c r="BI74" i="2"/>
  <c r="BI138" i="2"/>
  <c r="BI83" i="2"/>
  <c r="BI11" i="2"/>
  <c r="BI104" i="2"/>
  <c r="BI57" i="2"/>
  <c r="BI119" i="2"/>
  <c r="BI40" i="2"/>
  <c r="BI92" i="2"/>
  <c r="BI18" i="2"/>
  <c r="BI124" i="2"/>
  <c r="BI31" i="2"/>
  <c r="BI33" i="2"/>
  <c r="BI122" i="2"/>
  <c r="BI129" i="2"/>
  <c r="BI15" i="2"/>
  <c r="BI142" i="2"/>
  <c r="BI108" i="2"/>
  <c r="BI81" i="2"/>
  <c r="BI22" i="2"/>
  <c r="BI13" i="2"/>
  <c r="BI176" i="2"/>
  <c r="BI168" i="2"/>
  <c r="BI185" i="2"/>
  <c r="BI65" i="2"/>
  <c r="BI35" i="2"/>
  <c r="BI158" i="2"/>
  <c r="BI90" i="2"/>
  <c r="BI106" i="2"/>
  <c r="BI130" i="2"/>
  <c r="BI183" i="2"/>
  <c r="BI10" i="2"/>
  <c r="BI3" i="2"/>
  <c r="C8" i="4" s="1"/>
  <c r="E8" i="4" s="1"/>
  <c r="F8" i="4" s="1"/>
  <c r="G8" i="4" s="1"/>
  <c r="L8" i="4" s="1"/>
  <c r="BI88" i="2"/>
  <c r="BI17" i="2"/>
  <c r="BI155" i="2"/>
  <c r="BI190" i="2"/>
  <c r="BI197" i="2"/>
  <c r="BI109" i="2"/>
  <c r="BI43" i="2"/>
  <c r="BI7" i="2"/>
  <c r="BI94" i="2"/>
  <c r="BI93" i="2"/>
  <c r="BI61" i="2"/>
  <c r="BI170" i="2"/>
  <c r="BI152" i="2"/>
  <c r="BI194" i="2"/>
  <c r="BI201" i="2"/>
  <c r="BI60" i="2"/>
  <c r="BI156" i="2"/>
  <c r="BI75" i="2"/>
  <c r="BI112" i="2"/>
  <c r="BI34" i="2"/>
  <c r="BI192" i="2"/>
  <c r="BI182" i="2"/>
  <c r="BI199" i="2"/>
  <c r="BI175" i="2"/>
  <c r="BI154" i="2"/>
  <c r="BI30" i="2"/>
  <c r="BI38" i="2"/>
  <c r="BI131" i="2"/>
  <c r="BI127" i="2"/>
  <c r="BI56" i="2"/>
  <c r="BI100" i="2"/>
  <c r="BI157" i="2"/>
  <c r="BI178" i="2"/>
  <c r="BI164" i="2"/>
  <c r="BI163" i="2"/>
  <c r="BI189" i="2"/>
  <c r="BI102" i="2"/>
  <c r="BI77" i="2"/>
  <c r="BI162" i="2"/>
  <c r="BI99" i="2"/>
  <c r="BI37" i="2"/>
  <c r="BI114" i="2"/>
  <c r="BI145" i="2"/>
  <c r="BI167" i="2"/>
  <c r="BI174" i="2"/>
  <c r="BI191" i="2"/>
  <c r="BI179" i="2"/>
  <c r="BI177" i="2"/>
  <c r="BI165" i="2"/>
  <c r="BI111" i="2"/>
  <c r="BI141" i="2"/>
  <c r="BI96" i="2"/>
  <c r="BI101" i="2"/>
  <c r="BI27" i="2"/>
  <c r="BI103" i="2"/>
  <c r="BI48" i="2"/>
  <c r="BI52" i="2"/>
  <c r="BI140" i="2"/>
  <c r="BI110" i="2"/>
  <c r="BI26" i="2"/>
  <c r="BI181" i="2"/>
  <c r="BI70" i="2"/>
  <c r="BI139" i="2"/>
  <c r="BI62" i="2"/>
  <c r="BI186" i="2"/>
  <c r="BI42" i="2"/>
  <c r="BI135" i="2"/>
  <c r="BI113" i="2"/>
  <c r="BI59" i="2"/>
  <c r="BI196" i="2"/>
  <c r="BI5" i="2"/>
  <c r="BI193" i="2"/>
  <c r="BI32" i="2"/>
  <c r="BI153" i="2"/>
  <c r="BI136" i="2"/>
  <c r="BI82" i="2"/>
  <c r="BI68" i="2"/>
  <c r="BI97" i="2"/>
  <c r="BI67" i="2"/>
  <c r="BI159" i="2"/>
  <c r="BI78" i="2"/>
  <c r="BI147" i="2"/>
  <c r="BI107" i="2"/>
  <c r="BI128" i="2"/>
  <c r="BI123" i="2"/>
  <c r="BI24" i="2"/>
  <c r="BI169" i="2"/>
  <c r="BI49" i="2"/>
  <c r="BI86" i="2"/>
  <c r="BI12" i="2"/>
  <c r="BI66" i="2"/>
  <c r="BI120" i="2"/>
  <c r="BI95" i="2"/>
  <c r="BI202" i="2"/>
  <c r="BI161" i="2"/>
  <c r="BI69" i="2"/>
  <c r="BI16" i="2"/>
  <c r="BI143" i="2"/>
  <c r="BI16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<sst xmlns="http://schemas.openxmlformats.org/spreadsheetml/2006/main" count="1176" uniqueCount="324">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</sst>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239.91319254187792</c:v>
                </c:pt>
                <c:pt idx="53">
                  <c:v>250.7566839765808</c:v>
                </c:pt>
                <c:pt idx="54">
                  <c:v>261.58954749693504</c:v>
                </c:pt>
                <c:pt idx="55">
                  <c:v>272.4122855334258</c:v>
                </c:pt>
                <c:pt idx="56">
                  <c:v>283.22535730670057</c:v>
                </c:pt>
                <c:pt idx="57">
                  <c:v>294.02918408713464</c:v>
                </c:pt>
                <c:pt idx="58">
                  <c:v>304.82415364037161</c:v>
                </c:pt>
                <c:pt idx="59">
                  <c:v>315.61062400978892</c:v>
                </c:pt>
                <c:pt idx="60">
                  <c:v>326.38892675453917</c:v>
                </c:pt>
                <c:pt idx="61">
                  <c:v>337.15936973729157</c:v>
                </c:pt>
                <c:pt idx="62">
                  <c:v>347.92223953697516</c:v>
                </c:pt>
                <c:pt idx="63">
                  <c:v>358.67780354724954</c:v>
                </c:pt>
                <c:pt idx="64">
                  <c:v>259.91370728364598</c:v>
                </c:pt>
                <c:pt idx="65">
                  <c:v>269.83633643082231</c:v>
                </c:pt>
                <c:pt idx="66">
                  <c:v>279.75075483937445</c:v>
                </c:pt>
                <c:pt idx="67">
                  <c:v>289.65729473170762</c:v>
                </c:pt>
                <c:pt idx="68">
                  <c:v>299.55626373361866</c:v>
                </c:pt>
                <c:pt idx="69">
                  <c:v>309.4479474656211</c:v>
                </c:pt>
                <c:pt idx="70">
                  <c:v>319.33261178539772</c:v>
                </c:pt>
                <c:pt idx="71">
                  <c:v>329.21050473791996</c:v>
                </c:pt>
                <c:pt idx="72">
                  <c:v>339.08185825915456</c:v>
                </c:pt>
                <c:pt idx="73">
                  <c:v>348.94688967090889</c:v>
                </c:pt>
                <c:pt idx="74">
                  <c:v>358.80580299772583</c:v>
                </c:pt>
                <c:pt idx="75">
                  <c:v>368.65879013141921</c:v>
                </c:pt>
                <c:pt idx="76">
                  <c:v>292.22917146099797</c:v>
                </c:pt>
                <c:pt idx="77">
                  <c:v>301.22679191692936</c:v>
                </c:pt>
                <c:pt idx="78">
                  <c:v>310.21842991455259</c:v>
                </c:pt>
                <c:pt idx="79">
                  <c:v>319.2042834391799</c:v>
                </c:pt>
                <c:pt idx="80">
                  <c:v>328.18453841094606</c:v>
                </c:pt>
                <c:pt idx="81">
                  <c:v>337.15936973729123</c:v>
                </c:pt>
                <c:pt idx="82">
                  <c:v>346.12894224745969</c:v>
                </c:pt>
                <c:pt idx="83">
                  <c:v>355.09341152502003</c:v>
                </c:pt>
                <c:pt idx="84">
                  <c:v>364.05292465188319</c:v>
                </c:pt>
                <c:pt idx="85">
                  <c:v>373.00762087521866</c:v>
                </c:pt>
                <c:pt idx="86">
                  <c:v>381.95763220695682</c:v>
                </c:pt>
                <c:pt idx="87">
                  <c:v>390.90308396414639</c:v>
                </c:pt>
                <c:pt idx="88">
                  <c:v>316.05988081531285</c:v>
                </c:pt>
                <c:pt idx="89">
                  <c:v>324.20824758788905</c:v>
                </c:pt>
                <c:pt idx="90">
                  <c:v>332.35208865052783</c:v>
                </c:pt>
                <c:pt idx="91">
                  <c:v>340.49153063189533</c:v>
                </c:pt>
                <c:pt idx="92">
                  <c:v>348.62669360757508</c:v>
                </c:pt>
                <c:pt idx="93">
                  <c:v>356.75769158755321</c:v>
                </c:pt>
                <c:pt idx="94">
                  <c:v>364.88463295691707</c:v>
                </c:pt>
                <c:pt idx="95">
                  <c:v>373.00762087521849</c:v>
                </c:pt>
                <c:pt idx="96">
                  <c:v>381.1267536392179</c:v>
                </c:pt>
                <c:pt idx="97">
                  <c:v>389.24212501308784</c:v>
                </c:pt>
                <c:pt idx="98">
                  <c:v>397.35382452962966</c:v>
                </c:pt>
                <c:pt idx="99">
                  <c:v>405.46193776560017</c:v>
                </c:pt>
                <c:pt idx="100">
                  <c:v>212.28795240958598</c:v>
                </c:pt>
                <c:pt idx="101">
                  <c:v>218.03673754527372</c:v>
                </c:pt>
                <c:pt idx="102">
                  <c:v>223.78203890753477</c:v>
                </c:pt>
                <c:pt idx="103">
                  <c:v>229.52395871325101</c:v>
                </c:pt>
                <c:pt idx="104">
                  <c:v>235.26259363877315</c:v>
                </c:pt>
                <c:pt idx="105">
                  <c:v>240.99803525113671</c:v>
                </c:pt>
                <c:pt idx="106">
                  <c:v>246.73037039602465</c:v>
                </c:pt>
                <c:pt idx="107">
                  <c:v>252.45968154773928</c:v>
                </c:pt>
                <c:pt idx="108">
                  <c:v>258.18604712570226</c:v>
                </c:pt>
                <c:pt idx="109">
                  <c:v>263.90954178137036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1724368"/>
        <c:axId val="831714032"/>
      </c:scatterChart>
      <c:valAx>
        <c:axId val="831724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1714032"/>
        <c:crosses val="autoZero"/>
        <c:crossBetween val="midCat"/>
      </c:valAx>
      <c:valAx>
        <c:axId val="83171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1724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39520"/>
        <c:axId val="1020540064"/>
      </c:scatterChart>
      <c:valAx>
        <c:axId val="1020539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0064"/>
        <c:crosses val="autoZero"/>
        <c:crossBetween val="midCat"/>
      </c:valAx>
      <c:valAx>
        <c:axId val="102054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39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43872"/>
        <c:axId val="1020547680"/>
      </c:scatterChart>
      <c:valAx>
        <c:axId val="1020543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7680"/>
        <c:crosses val="autoZero"/>
        <c:crossBetween val="midCat"/>
      </c:valAx>
      <c:valAx>
        <c:axId val="1020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3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52576"/>
        <c:axId val="1020552032"/>
      </c:scatterChart>
      <c:valAx>
        <c:axId val="1020552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52032"/>
        <c:crosses val="autoZero"/>
        <c:crossBetween val="midCat"/>
      </c:valAx>
      <c:valAx>
        <c:axId val="102055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52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1.6898599058996895</c:v>
                </c:pt>
                <c:pt idx="2">
                  <c:v>3.2942524691569663</c:v>
                </c:pt>
                <c:pt idx="3">
                  <c:v>4.871043370932969</c:v>
                </c:pt>
                <c:pt idx="4">
                  <c:v>6.4308199663520931</c:v>
                </c:pt>
                <c:pt idx="5">
                  <c:v>7.9783807918331702</c:v>
                </c:pt>
                <c:pt idx="6">
                  <c:v>9.516463132893989</c:v>
                </c:pt>
                <c:pt idx="7">
                  <c:v>11.046831611669184</c:v>
                </c:pt>
                <c:pt idx="8">
                  <c:v>12.570715357142765</c:v>
                </c:pt>
                <c:pt idx="9">
                  <c:v>14.089017794753756</c:v>
                </c:pt>
                <c:pt idx="10">
                  <c:v>15.602429811050035</c:v>
                </c:pt>
                <c:pt idx="11">
                  <c:v>17.111496119318296</c:v>
                </c:pt>
                <c:pt idx="12">
                  <c:v>18.616656713527249</c:v>
                </c:pt>
                <c:pt idx="13">
                  <c:v>20.118274073598737</c:v>
                </c:pt>
                <c:pt idx="14">
                  <c:v>21.616651745437082</c:v>
                </c:pt>
                <c:pt idx="15">
                  <c:v>23.112047454054178</c:v>
                </c:pt>
                <c:pt idx="16">
                  <c:v>24.604682617034541</c:v>
                </c:pt>
                <c:pt idx="17">
                  <c:v>26.094749410444322</c:v>
                </c:pt>
                <c:pt idx="18">
                  <c:v>27.582416124204702</c:v>
                </c:pt>
                <c:pt idx="19">
                  <c:v>29.067831293263694</c:v>
                </c:pt>
                <c:pt idx="20">
                  <c:v>30.55112693423639</c:v>
                </c:pt>
                <c:pt idx="21">
                  <c:v>32.032421116321181</c:v>
                </c:pt>
                <c:pt idx="22">
                  <c:v>51.647109078738985</c:v>
                </c:pt>
                <c:pt idx="23">
                  <c:v>71.060821810548802</c:v>
                </c:pt>
                <c:pt idx="24">
                  <c:v>90.337363448897335</c:v>
                </c:pt>
                <c:pt idx="25">
                  <c:v>109.51040959893375</c:v>
                </c:pt>
                <c:pt idx="26">
                  <c:v>128.6007226213413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664.39416678536099</c:v>
                </c:pt>
                <c:pt idx="80">
                  <c:v>685.29247468580832</c:v>
                </c:pt>
                <c:pt idx="81">
                  <c:v>706.17771556570551</c:v>
                </c:pt>
                <c:pt idx="82">
                  <c:v>727.05032985711694</c:v>
                </c:pt>
                <c:pt idx="83">
                  <c:v>747.91073067090053</c:v>
                </c:pt>
                <c:pt idx="84">
                  <c:v>768.75930622155954</c:v>
                </c:pt>
                <c:pt idx="85">
                  <c:v>789.59642197566097</c:v>
                </c:pt>
                <c:pt idx="86">
                  <c:v>810.42242256193504</c:v>
                </c:pt>
                <c:pt idx="87">
                  <c:v>831.23763347506144</c:v>
                </c:pt>
                <c:pt idx="88">
                  <c:v>852.04236260012783</c:v>
                </c:pt>
                <c:pt idx="89">
                  <c:v>872.83690158064462</c:v>
                </c:pt>
                <c:pt idx="90">
                  <c:v>893.62152704958055</c:v>
                </c:pt>
                <c:pt idx="91">
                  <c:v>914.39650174007045</c:v>
                </c:pt>
                <c:pt idx="92">
                  <c:v>935.16207549006924</c:v>
                </c:pt>
                <c:pt idx="93">
                  <c:v>955.91848615325853</c:v>
                </c:pt>
                <c:pt idx="94">
                  <c:v>976.66596042683784</c:v>
                </c:pt>
                <c:pt idx="95">
                  <c:v>997.4047146054213</c:v>
                </c:pt>
                <c:pt idx="96">
                  <c:v>1018.1349552690684</c:v>
                </c:pt>
                <c:pt idx="97">
                  <c:v>1038.8568799124459</c:v>
                </c:pt>
                <c:pt idx="98">
                  <c:v>1059.5706775212677</c:v>
                </c:pt>
                <c:pt idx="99">
                  <c:v>1080.2765291013782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48224"/>
        <c:axId val="1020549856"/>
      </c:scatterChart>
      <c:valAx>
        <c:axId val="1020548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9856"/>
        <c:crosses val="autoZero"/>
        <c:crossBetween val="midCat"/>
      </c:valAx>
      <c:valAx>
        <c:axId val="102054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48768"/>
        <c:axId val="1020553120"/>
      </c:scatterChart>
      <c:valAx>
        <c:axId val="1020548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53120"/>
        <c:crosses val="autoZero"/>
        <c:crossBetween val="midCat"/>
      </c:valAx>
      <c:valAx>
        <c:axId val="102055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8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53664"/>
        <c:axId val="1020546592"/>
      </c:scatterChart>
      <c:valAx>
        <c:axId val="102055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6592"/>
        <c:crosses val="autoZero"/>
        <c:crossBetween val="midCat"/>
      </c:valAx>
      <c:valAx>
        <c:axId val="102054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5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2.1611607361398169</c:v>
                </c:pt>
                <c:pt idx="2">
                  <c:v>2.6965658428188011</c:v>
                </c:pt>
                <c:pt idx="3">
                  <c:v>3.365130579383619</c:v>
                </c:pt>
                <c:pt idx="4">
                  <c:v>4.2000945958983191</c:v>
                </c:pt>
                <c:pt idx="5">
                  <c:v>5.2430233872219976</c:v>
                </c:pt>
                <c:pt idx="6">
                  <c:v>6.5459003809291518</c:v>
                </c:pt>
                <c:pt idx="7">
                  <c:v>8.1737462585240923</c:v>
                </c:pt>
                <c:pt idx="8">
                  <c:v>10.207898736323521</c:v>
                </c:pt>
                <c:pt idx="9">
                  <c:v>12.750119779643619</c:v>
                </c:pt>
                <c:pt idx="10">
                  <c:v>15.927739538585294</c:v>
                </c:pt>
                <c:pt idx="11">
                  <c:v>19.900099355115746</c:v>
                </c:pt>
                <c:pt idx="12">
                  <c:v>24.86662273402224</c:v>
                </c:pt>
                <c:pt idx="13">
                  <c:v>31.076926626524898</c:v>
                </c:pt>
                <c:pt idx="14">
                  <c:v>38.84349005186197</c:v>
                </c:pt>
                <c:pt idx="15">
                  <c:v>48.557528384612056</c:v>
                </c:pt>
                <c:pt idx="16">
                  <c:v>57.970166254533687</c:v>
                </c:pt>
                <c:pt idx="17">
                  <c:v>67.342775086397836</c:v>
                </c:pt>
                <c:pt idx="18">
                  <c:v>76.681733118375817</c:v>
                </c:pt>
                <c:pt idx="19">
                  <c:v>85.991728436661276</c:v>
                </c:pt>
                <c:pt idx="20">
                  <c:v>95.276346213363084</c:v>
                </c:pt>
                <c:pt idx="21">
                  <c:v>79.914811172042121</c:v>
                </c:pt>
                <c:pt idx="22">
                  <c:v>90.163287942245233</c:v>
                </c:pt>
                <c:pt idx="23">
                  <c:v>100.3825669246575</c:v>
                </c:pt>
                <c:pt idx="24">
                  <c:v>110.57604520327656</c:v>
                </c:pt>
                <c:pt idx="25">
                  <c:v>120.74644035531428</c:v>
                </c:pt>
                <c:pt idx="26">
                  <c:v>130.8959735236887</c:v>
                </c:pt>
                <c:pt idx="27">
                  <c:v>141.02649246407412</c:v>
                </c:pt>
                <c:pt idx="28">
                  <c:v>151.13955724314167</c:v>
                </c:pt>
                <c:pt idx="29">
                  <c:v>161.23650172057486</c:v>
                </c:pt>
                <c:pt idx="30">
                  <c:v>171.31847877890027</c:v>
                </c:pt>
                <c:pt idx="31">
                  <c:v>142.52579115025171</c:v>
                </c:pt>
                <c:pt idx="32">
                  <c:v>152.07511787565889</c:v>
                </c:pt>
                <c:pt idx="33">
                  <c:v>161.61016857785205</c:v>
                </c:pt>
                <c:pt idx="34">
                  <c:v>171.13190528405343</c:v>
                </c:pt>
                <c:pt idx="35">
                  <c:v>180.64117406036942</c:v>
                </c:pt>
                <c:pt idx="36">
                  <c:v>189.7664838309008</c:v>
                </c:pt>
                <c:pt idx="37">
                  <c:v>198.88157087854583</c:v>
                </c:pt>
                <c:pt idx="38">
                  <c:v>207.98697030718009</c:v>
                </c:pt>
                <c:pt idx="39">
                  <c:v>217.08316648371104</c:v>
                </c:pt>
                <c:pt idx="40">
                  <c:v>226.17059982008115</c:v>
                </c:pt>
                <c:pt idx="41">
                  <c:v>193.67416901758949</c:v>
                </c:pt>
                <c:pt idx="42">
                  <c:v>202.04165884934005</c:v>
                </c:pt>
                <c:pt idx="43">
                  <c:v>210.40112494961292</c:v>
                </c:pt>
                <c:pt idx="44">
                  <c:v>218.75293145330741</c:v>
                </c:pt>
                <c:pt idx="45">
                  <c:v>227.09741238431636</c:v>
                </c:pt>
                <c:pt idx="46">
                  <c:v>235.06446630097074</c:v>
                </c:pt>
                <c:pt idx="47">
                  <c:v>243.02536029283627</c:v>
                </c:pt>
                <c:pt idx="48">
                  <c:v>250.98032483930456</c:v>
                </c:pt>
                <c:pt idx="49">
                  <c:v>258.92957459921269</c:v>
                </c:pt>
                <c:pt idx="50">
                  <c:v>266.87330995991658</c:v>
                </c:pt>
                <c:pt idx="51">
                  <c:v>233.58269729624988</c:v>
                </c:pt>
                <c:pt idx="52">
                  <c:v>240.98942582679555</c:v>
                </c:pt>
                <c:pt idx="53">
                  <c:v>248.39097391329724</c:v>
                </c:pt>
                <c:pt idx="54">
                  <c:v>255.78751789170562</c:v>
                </c:pt>
                <c:pt idx="55">
                  <c:v>263.17922305442261</c:v>
                </c:pt>
                <c:pt idx="56">
                  <c:v>270.19700250524323</c:v>
                </c:pt>
                <c:pt idx="57">
                  <c:v>277.21068050236744</c:v>
                </c:pt>
                <c:pt idx="58">
                  <c:v>284.22037558191226</c:v>
                </c:pt>
                <c:pt idx="59">
                  <c:v>291.22619994880847</c:v>
                </c:pt>
                <c:pt idx="60">
                  <c:v>298.22825996252726</c:v>
                </c:pt>
                <c:pt idx="61">
                  <c:v>266.87330995991658</c:v>
                </c:pt>
                <c:pt idx="62">
                  <c:v>273.33520033559711</c:v>
                </c:pt>
                <c:pt idx="63">
                  <c:v>279.79365704229622</c:v>
                </c:pt>
                <c:pt idx="64">
                  <c:v>286.24877062592162</c:v>
                </c:pt>
                <c:pt idx="65">
                  <c:v>292.70062721001705</c:v>
                </c:pt>
                <c:pt idx="66">
                  <c:v>298.96510410049149</c:v>
                </c:pt>
                <c:pt idx="67">
                  <c:v>305.22665657476222</c:v>
                </c:pt>
                <c:pt idx="68">
                  <c:v>311.48535316475295</c:v>
                </c:pt>
                <c:pt idx="69">
                  <c:v>317.74125942022329</c:v>
                </c:pt>
                <c:pt idx="70">
                  <c:v>323.99443809601638</c:v>
                </c:pt>
                <c:pt idx="71">
                  <c:v>293.80633875741154</c:v>
                </c:pt>
                <c:pt idx="72">
                  <c:v>299.51771063750374</c:v>
                </c:pt>
                <c:pt idx="73">
                  <c:v>305.22665657476222</c:v>
                </c:pt>
                <c:pt idx="74">
                  <c:v>310.93322840775465</c:v>
                </c:pt>
                <c:pt idx="75">
                  <c:v>316.63747591445002</c:v>
                </c:pt>
                <c:pt idx="76">
                  <c:v>321.97164562540979</c:v>
                </c:pt>
                <c:pt idx="77">
                  <c:v>327.30386083487969</c:v>
                </c:pt>
                <c:pt idx="78">
                  <c:v>332.63415791953389</c:v>
                </c:pt>
                <c:pt idx="79">
                  <c:v>337.96257199356324</c:v>
                </c:pt>
                <c:pt idx="80">
                  <c:v>343.28913697215461</c:v>
                </c:pt>
                <c:pt idx="81">
                  <c:v>316.26952914620239</c:v>
                </c:pt>
                <c:pt idx="82">
                  <c:v>321.41992623463284</c:v>
                </c:pt>
                <c:pt idx="83">
                  <c:v>326.56849772007627</c:v>
                </c:pt>
                <c:pt idx="84">
                  <c:v>331.71527648504929</c:v>
                </c:pt>
                <c:pt idx="85">
                  <c:v>336.86029430705389</c:v>
                </c:pt>
                <c:pt idx="86">
                  <c:v>341.63626096666286</c:v>
                </c:pt>
                <c:pt idx="87">
                  <c:v>346.4107595929251</c:v>
                </c:pt>
                <c:pt idx="88">
                  <c:v>351.18381330179227</c:v>
                </c:pt>
                <c:pt idx="89">
                  <c:v>355.95544452876601</c:v>
                </c:pt>
                <c:pt idx="90">
                  <c:v>360.72567505798861</c:v>
                </c:pt>
                <c:pt idx="91">
                  <c:v>335.02298813768743</c:v>
                </c:pt>
                <c:pt idx="92">
                  <c:v>339.61584021127902</c:v>
                </c:pt>
                <c:pt idx="93">
                  <c:v>344.20732577147572</c:v>
                </c:pt>
                <c:pt idx="94">
                  <c:v>348.79746564421521</c:v>
                </c:pt>
                <c:pt idx="95">
                  <c:v>353.38628006183148</c:v>
                </c:pt>
                <c:pt idx="96">
                  <c:v>357.79031317226071</c:v>
                </c:pt>
                <c:pt idx="97">
                  <c:v>362.19315979149877</c:v>
                </c:pt>
                <c:pt idx="98">
                  <c:v>366.59483639724226</c:v>
                </c:pt>
                <c:pt idx="99">
                  <c:v>370.99535903869224</c:v>
                </c:pt>
                <c:pt idx="100">
                  <c:v>375.394743352761</c:v>
                </c:pt>
                <c:pt idx="101">
                  <c:v>353.93684966092297</c:v>
                </c:pt>
                <c:pt idx="102">
                  <c:v>358.15726214440497</c:v>
                </c:pt>
                <c:pt idx="103">
                  <c:v>362.3765862303585</c:v>
                </c:pt>
                <c:pt idx="104">
                  <c:v>366.59483639724226</c:v>
                </c:pt>
                <c:pt idx="105">
                  <c:v>370.81202676268754</c:v>
                </c:pt>
                <c:pt idx="106">
                  <c:v>374.84488204114882</c:v>
                </c:pt>
                <c:pt idx="107">
                  <c:v>378.87679203564204</c:v>
                </c:pt>
                <c:pt idx="108">
                  <c:v>382.90776823855754</c:v>
                </c:pt>
                <c:pt idx="109">
                  <c:v>386.93782188026222</c:v>
                </c:pt>
                <c:pt idx="110">
                  <c:v>390.96696393780195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54208"/>
        <c:axId val="1020541696"/>
      </c:scatterChart>
      <c:valAx>
        <c:axId val="1020554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1696"/>
        <c:crosses val="autoZero"/>
        <c:crossBetween val="midCat"/>
      </c:valAx>
      <c:valAx>
        <c:axId val="102054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54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50400"/>
        <c:axId val="1020538976"/>
      </c:scatterChart>
      <c:valAx>
        <c:axId val="1020550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38976"/>
        <c:crosses val="autoZero"/>
        <c:crossBetween val="midCat"/>
      </c:valAx>
      <c:valAx>
        <c:axId val="1020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50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544416"/>
        <c:axId val="1020551488"/>
      </c:scatterChart>
      <c:valAx>
        <c:axId val="1020544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51488"/>
        <c:crosses val="autoZero"/>
        <c:crossBetween val="midCat"/>
      </c:valAx>
      <c:valAx>
        <c:axId val="10205514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0544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C59" sqref="C59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7" zoomScale="80" zoomScaleNormal="80" workbookViewId="0">
      <selection activeCell="H14" sqref="H1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v>4.03</v>
      </c>
      <c r="D5" s="302" t="s">
        <v>229</v>
      </c>
      <c r="E5" s="303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299" t="s">
        <v>226</v>
      </c>
      <c r="B7" s="299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0.76</v>
      </c>
      <c r="D9" s="36">
        <f t="shared" ref="D9:D18" si="0">C9*$C$5</f>
        <v>3.0628000000000002</v>
      </c>
      <c r="E9" s="37">
        <v>109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0.08</v>
      </c>
      <c r="D10" s="36">
        <f t="shared" si="0"/>
        <v>0.32240000000000002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</v>
      </c>
      <c r="C11" s="35">
        <v>0.08</v>
      </c>
      <c r="D11" s="36">
        <f t="shared" si="0"/>
        <v>0.32240000000000002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25</v>
      </c>
      <c r="C12" s="35">
        <v>0.01</v>
      </c>
      <c r="D12" s="36">
        <f t="shared" si="0"/>
        <v>4.0300000000000002E-2</v>
      </c>
      <c r="E12" s="37">
        <v>99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29</v>
      </c>
      <c r="C13" s="35">
        <v>0.02</v>
      </c>
      <c r="D13" s="36">
        <f t="shared" si="0"/>
        <v>8.0600000000000005E-2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</v>
      </c>
      <c r="C14" s="35">
        <v>0.01</v>
      </c>
      <c r="D14" s="36">
        <f t="shared" si="0"/>
        <v>4.0300000000000002E-2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50</v>
      </c>
      <c r="C15" s="35">
        <v>0.02</v>
      </c>
      <c r="D15" s="36">
        <f t="shared" si="0"/>
        <v>8.0600000000000005E-2</v>
      </c>
      <c r="E15" s="37">
        <v>110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0.98</v>
      </c>
      <c r="D19" s="41">
        <f>SUM(D9:D18)</f>
        <v>3.9494000000000002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30</v>
      </c>
      <c r="B36" s="61">
        <f>134/1.3</f>
        <v>103.07692307692308</v>
      </c>
      <c r="C36" s="53"/>
      <c r="D36" s="61"/>
      <c r="E36" s="54"/>
      <c r="F36" s="54"/>
      <c r="G36" s="54"/>
      <c r="H36" s="64"/>
      <c r="I36" s="52">
        <f>IFERROR(B36/A36,"")</f>
        <v>3.4358974358974361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51</v>
      </c>
      <c r="B37" s="61">
        <f>418/1.3</f>
        <v>321.53846153846155</v>
      </c>
      <c r="C37" s="53">
        <v>1</v>
      </c>
      <c r="D37" s="61">
        <f>(418-288)/1.3</f>
        <v>100</v>
      </c>
      <c r="E37" s="64"/>
      <c r="F37" s="64"/>
      <c r="G37" s="64"/>
      <c r="H37" s="64"/>
      <c r="I37" s="56">
        <f t="shared" ref="I37:I55" si="1">IF(A37&lt;&gt;0,(B37-(B36-D36))/(A37-A36),"")</f>
        <v>10.402930402930403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63</v>
      </c>
      <c r="B38" s="61">
        <f>456/1.3</f>
        <v>350.76923076923077</v>
      </c>
      <c r="C38" s="53">
        <v>2</v>
      </c>
      <c r="D38" s="61">
        <f>(456-315)/1.3</f>
        <v>108.46153846153845</v>
      </c>
      <c r="E38" s="64"/>
      <c r="F38" s="64"/>
      <c r="G38" s="64"/>
      <c r="H38" s="64"/>
      <c r="I38" s="56">
        <f t="shared" si="1"/>
        <v>10.769230769230768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75</v>
      </c>
      <c r="B39" s="61">
        <f>469/1.3</f>
        <v>360.76923076923077</v>
      </c>
      <c r="C39" s="53">
        <v>3</v>
      </c>
      <c r="D39" s="61">
        <f>B39-(358/1.3)</f>
        <v>85.384615384615415</v>
      </c>
      <c r="E39" s="64"/>
      <c r="F39" s="64"/>
      <c r="G39" s="64"/>
      <c r="H39" s="64"/>
      <c r="I39" s="52">
        <f t="shared" si="1"/>
        <v>9.8717948717948705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87</v>
      </c>
      <c r="B40" s="61">
        <f>498/1.3</f>
        <v>383.07692307692304</v>
      </c>
      <c r="C40" s="53">
        <v>4</v>
      </c>
      <c r="D40" s="61">
        <f>B40-(390/1.3)</f>
        <v>83.076923076923038</v>
      </c>
      <c r="E40" s="64"/>
      <c r="F40" s="64"/>
      <c r="G40" s="64"/>
      <c r="H40" s="64"/>
      <c r="I40" s="52">
        <f t="shared" si="1"/>
        <v>8.9743589743589727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99</v>
      </c>
      <c r="B41" s="61">
        <f>517/1.3</f>
        <v>397.69230769230768</v>
      </c>
      <c r="C41" s="53">
        <v>5</v>
      </c>
      <c r="D41" s="61">
        <f>B41-(259/1.3)</f>
        <v>198.46153846153845</v>
      </c>
      <c r="E41" s="64"/>
      <c r="F41" s="64"/>
      <c r="G41" s="64"/>
      <c r="H41" s="64"/>
      <c r="I41" s="56">
        <f t="shared" si="1"/>
        <v>8.1410256410256405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1">
        <v>109</v>
      </c>
      <c r="B42" s="61">
        <f>333/1.3</f>
        <v>256.15384615384613</v>
      </c>
      <c r="C42" s="61">
        <v>6</v>
      </c>
      <c r="D42" s="61">
        <f>B42</f>
        <v>256.15384615384613</v>
      </c>
      <c r="E42" s="64"/>
      <c r="F42" s="64"/>
      <c r="G42" s="64"/>
      <c r="H42" s="64"/>
      <c r="I42" s="56">
        <f t="shared" si="1"/>
        <v>5.6923076923076907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8"/>
      <c r="B43" s="58"/>
      <c r="C43" s="58"/>
      <c r="D43" s="58"/>
      <c r="E43" s="64"/>
      <c r="F43" s="64"/>
      <c r="G43" s="64"/>
      <c r="H43" s="6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8"/>
      <c r="B44" s="58"/>
      <c r="C44" s="58"/>
      <c r="D44" s="58"/>
      <c r="E44" s="64"/>
      <c r="F44" s="64"/>
      <c r="G44" s="64"/>
      <c r="H44" s="6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8"/>
      <c r="B45" s="58"/>
      <c r="C45" s="58"/>
      <c r="D45" s="58"/>
      <c r="E45" s="64"/>
      <c r="F45" s="64"/>
      <c r="G45" s="64"/>
      <c r="H45" s="6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8"/>
      <c r="B46" s="58"/>
      <c r="C46" s="58"/>
      <c r="D46" s="58"/>
      <c r="E46" s="64"/>
      <c r="F46" s="64"/>
      <c r="G46" s="64"/>
      <c r="H46" s="6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8"/>
      <c r="B47" s="58"/>
      <c r="C47" s="58"/>
      <c r="D47" s="58"/>
      <c r="E47" s="64"/>
      <c r="F47" s="64"/>
      <c r="G47" s="64"/>
      <c r="H47" s="6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8"/>
      <c r="B48" s="58"/>
      <c r="C48" s="58"/>
      <c r="D48" s="58"/>
      <c r="E48" s="65"/>
      <c r="F48" s="65"/>
      <c r="G48" s="65"/>
      <c r="H48" s="65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92"/>
      <c r="B49" s="61"/>
      <c r="C49" s="92"/>
      <c r="D49" s="61"/>
      <c r="E49" s="57"/>
      <c r="F49" s="57"/>
      <c r="G49" s="57"/>
      <c r="H49" s="57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7"/>
      <c r="F50" s="57"/>
      <c r="G50" s="57"/>
      <c r="H50" s="57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7"/>
      <c r="F51" s="57"/>
      <c r="G51" s="57"/>
      <c r="H51" s="57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7"/>
      <c r="F52" s="57"/>
      <c r="G52" s="57"/>
      <c r="H52" s="57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7"/>
      <c r="F53" s="57"/>
      <c r="G53" s="57"/>
      <c r="H53" s="57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7"/>
      <c r="F54" s="57"/>
      <c r="G54" s="57"/>
      <c r="H54" s="57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7"/>
      <c r="F55" s="57"/>
      <c r="G55" s="57"/>
      <c r="H55" s="57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v>105</v>
      </c>
      <c r="C64" s="61">
        <v>1</v>
      </c>
      <c r="D64" s="61"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v>158</v>
      </c>
      <c r="C66" s="61">
        <v>2</v>
      </c>
      <c r="D66" s="61"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v>199</v>
      </c>
      <c r="C68" s="61">
        <v>3</v>
      </c>
      <c r="D68" s="61"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/>
      <c r="D69" s="5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pubescent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1">
        <v>42</v>
      </c>
      <c r="C88" s="61"/>
      <c r="D88" s="61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1">
        <v>70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1">
        <v>105</v>
      </c>
      <c r="C90" s="61">
        <v>1</v>
      </c>
      <c r="D90" s="61"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1">
        <v>116</v>
      </c>
      <c r="C91" s="61"/>
      <c r="D91" s="61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1">
        <v>158</v>
      </c>
      <c r="C92" s="61">
        <v>2</v>
      </c>
      <c r="D92" s="61"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1">
        <v>158</v>
      </c>
      <c r="C93" s="61"/>
      <c r="D93" s="61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1">
        <v>199</v>
      </c>
      <c r="C94" s="61">
        <v>3</v>
      </c>
      <c r="D94" s="61"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197</v>
      </c>
      <c r="C95" s="53"/>
      <c r="D95" s="5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Hêtre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1"/>
      <c r="C114" s="53"/>
      <c r="D114" s="61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21</v>
      </c>
      <c r="B115" s="61">
        <v>16</v>
      </c>
      <c r="C115" s="53"/>
      <c r="D115" s="61"/>
      <c r="E115" s="54"/>
      <c r="F115" s="54"/>
      <c r="G115" s="54"/>
      <c r="H115" s="54"/>
      <c r="I115" s="56">
        <f t="shared" ref="I115:I133" si="4">IF(A115&lt;&gt;0,(B115-(B114-D114))/(A115-A114),"")</f>
        <v>0.76190476190476186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27</v>
      </c>
      <c r="B116" s="61">
        <v>77</v>
      </c>
      <c r="C116" s="53">
        <v>1</v>
      </c>
      <c r="D116" s="61">
        <v>12</v>
      </c>
      <c r="E116" s="54"/>
      <c r="F116" s="54"/>
      <c r="G116" s="54"/>
      <c r="H116" s="54">
        <v>1</v>
      </c>
      <c r="I116" s="56">
        <f t="shared" si="4"/>
        <v>10.166666666666666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1">
        <v>102</v>
      </c>
      <c r="C117" s="53">
        <v>2</v>
      </c>
      <c r="D117" s="61">
        <v>13</v>
      </c>
      <c r="E117" s="54"/>
      <c r="F117" s="54"/>
      <c r="G117" s="54"/>
      <c r="H117" s="54"/>
      <c r="I117" s="56">
        <f t="shared" si="4"/>
        <v>12.333333333333334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36</v>
      </c>
      <c r="B118" s="61">
        <v>174</v>
      </c>
      <c r="C118" s="53">
        <v>3</v>
      </c>
      <c r="D118" s="61">
        <v>60</v>
      </c>
      <c r="E118" s="54"/>
      <c r="F118" s="54"/>
      <c r="G118" s="54"/>
      <c r="H118" s="54"/>
      <c r="I118" s="56">
        <f t="shared" si="4"/>
        <v>14.166666666666666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42</v>
      </c>
      <c r="B119" s="61">
        <v>205</v>
      </c>
      <c r="C119" s="53">
        <v>4</v>
      </c>
      <c r="D119" s="61">
        <v>59</v>
      </c>
      <c r="E119" s="54"/>
      <c r="F119" s="54"/>
      <c r="G119" s="54"/>
      <c r="H119" s="54"/>
      <c r="I119" s="56">
        <f t="shared" si="4"/>
        <v>15.166666666666666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1">
        <v>48</v>
      </c>
      <c r="B120" s="61">
        <v>240</v>
      </c>
      <c r="C120" s="61">
        <v>5</v>
      </c>
      <c r="D120" s="61">
        <v>63</v>
      </c>
      <c r="E120" s="91"/>
      <c r="F120" s="91"/>
      <c r="G120" s="91"/>
      <c r="H120" s="91"/>
      <c r="I120" s="56">
        <f t="shared" si="4"/>
        <v>15.666666666666666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1">
        <v>54</v>
      </c>
      <c r="B121" s="61">
        <v>270</v>
      </c>
      <c r="C121" s="61">
        <v>6</v>
      </c>
      <c r="D121" s="61">
        <v>64</v>
      </c>
      <c r="E121" s="91"/>
      <c r="F121" s="91"/>
      <c r="G121" s="91"/>
      <c r="H121" s="91"/>
      <c r="I121" s="56">
        <f t="shared" si="4"/>
        <v>15.5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1">
        <v>60</v>
      </c>
      <c r="B122" s="61">
        <v>295</v>
      </c>
      <c r="C122" s="61">
        <v>7</v>
      </c>
      <c r="D122" s="61">
        <v>61</v>
      </c>
      <c r="E122" s="91"/>
      <c r="F122" s="91"/>
      <c r="G122" s="91"/>
      <c r="H122" s="91"/>
      <c r="I122" s="56">
        <f t="shared" si="4"/>
        <v>14.833333333333334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1">
        <v>69</v>
      </c>
      <c r="B123" s="61">
        <v>358</v>
      </c>
      <c r="C123" s="61">
        <v>8</v>
      </c>
      <c r="D123" s="61">
        <v>84</v>
      </c>
      <c r="E123" s="91"/>
      <c r="F123" s="91"/>
      <c r="G123" s="91"/>
      <c r="H123" s="91"/>
      <c r="I123" s="56">
        <f t="shared" si="4"/>
        <v>13.777777777777779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1">
        <v>78</v>
      </c>
      <c r="B124" s="61">
        <v>387</v>
      </c>
      <c r="C124" s="61">
        <v>9</v>
      </c>
      <c r="D124" s="61">
        <v>39</v>
      </c>
      <c r="E124" s="91"/>
      <c r="F124" s="91"/>
      <c r="G124" s="91"/>
      <c r="H124" s="91"/>
      <c r="I124" s="56">
        <f t="shared" si="4"/>
        <v>12.555555555555555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1">
        <v>99</v>
      </c>
      <c r="B125" s="61">
        <v>591</v>
      </c>
      <c r="C125" s="61">
        <v>10</v>
      </c>
      <c r="D125" s="61">
        <f>B125</f>
        <v>591</v>
      </c>
      <c r="E125" s="91"/>
      <c r="F125" s="91"/>
      <c r="G125" s="91"/>
      <c r="H125" s="91"/>
      <c r="I125" s="56">
        <f t="shared" si="4"/>
        <v>11.571428571428571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1"/>
      <c r="B126" s="61"/>
      <c r="C126" s="61"/>
      <c r="D126" s="61"/>
      <c r="E126" s="66"/>
      <c r="F126" s="66"/>
      <c r="G126" s="66"/>
      <c r="H126" s="66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1"/>
      <c r="B127" s="61"/>
      <c r="C127" s="61"/>
      <c r="D127" s="61"/>
      <c r="E127" s="66"/>
      <c r="F127" s="66"/>
      <c r="G127" s="66"/>
      <c r="H127" s="66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Merisier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1">
        <v>40</v>
      </c>
      <c r="C140" s="53"/>
      <c r="D140" s="61"/>
      <c r="E140" s="54"/>
      <c r="F140" s="54"/>
      <c r="G140" s="54"/>
      <c r="H140" s="54"/>
      <c r="I140" s="59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1">
        <f>85+3</f>
        <v>88</v>
      </c>
      <c r="C141" s="53"/>
      <c r="D141" s="61"/>
      <c r="E141" s="54"/>
      <c r="F141" s="54"/>
      <c r="G141" s="54"/>
      <c r="H141" s="54"/>
      <c r="I141" s="59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1">
        <f>113+3+25</f>
        <v>141</v>
      </c>
      <c r="C142" s="53">
        <v>1</v>
      </c>
      <c r="D142" s="61">
        <f>3+25+27</f>
        <v>55</v>
      </c>
      <c r="E142" s="54"/>
      <c r="F142" s="54"/>
      <c r="G142" s="54"/>
      <c r="H142" s="54">
        <v>1</v>
      </c>
      <c r="I142" s="59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31</v>
      </c>
      <c r="B143" s="61">
        <v>155</v>
      </c>
      <c r="C143" s="53">
        <v>2</v>
      </c>
      <c r="D143" s="61">
        <v>36</v>
      </c>
      <c r="E143" s="54"/>
      <c r="F143" s="54"/>
      <c r="G143" s="54"/>
      <c r="H143" s="54"/>
      <c r="I143" s="59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37</v>
      </c>
      <c r="B144" s="61">
        <v>188</v>
      </c>
      <c r="C144" s="53">
        <v>3</v>
      </c>
      <c r="D144" s="61">
        <v>36</v>
      </c>
      <c r="E144" s="54"/>
      <c r="F144" s="54"/>
      <c r="G144" s="54"/>
      <c r="H144" s="54"/>
      <c r="I144" s="59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44</v>
      </c>
      <c r="B145" s="61">
        <v>230</v>
      </c>
      <c r="C145" s="53">
        <v>4</v>
      </c>
      <c r="D145" s="61">
        <v>43</v>
      </c>
      <c r="E145" s="54"/>
      <c r="F145" s="54"/>
      <c r="G145" s="54"/>
      <c r="H145" s="54"/>
      <c r="I145" s="59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1">
        <v>52</v>
      </c>
      <c r="B146" s="61">
        <v>270</v>
      </c>
      <c r="C146" s="61">
        <v>5</v>
      </c>
      <c r="D146" s="61">
        <v>48</v>
      </c>
      <c r="E146" s="91"/>
      <c r="F146" s="91"/>
      <c r="G146" s="91"/>
      <c r="H146" s="91"/>
      <c r="I146" s="59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1">
        <v>60</v>
      </c>
      <c r="B147" s="61">
        <v>297</v>
      </c>
      <c r="C147" s="61">
        <v>6</v>
      </c>
      <c r="D147" s="61">
        <v>47</v>
      </c>
      <c r="E147" s="91"/>
      <c r="F147" s="91"/>
      <c r="G147" s="91"/>
      <c r="H147" s="91"/>
      <c r="I147" s="59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1">
        <v>69</v>
      </c>
      <c r="B148" s="61">
        <v>328</v>
      </c>
      <c r="C148" s="61">
        <v>7</v>
      </c>
      <c r="D148" s="61">
        <f>B148</f>
        <v>328</v>
      </c>
      <c r="E148" s="91"/>
      <c r="F148" s="91"/>
      <c r="G148" s="91"/>
      <c r="H148" s="91"/>
      <c r="I148" s="59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/>
      <c r="B149" s="58"/>
      <c r="C149" s="58"/>
      <c r="D149" s="58"/>
      <c r="E149" s="64"/>
      <c r="F149" s="64"/>
      <c r="G149" s="64"/>
      <c r="H149" s="6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/>
      <c r="B150" s="58"/>
      <c r="C150" s="58"/>
      <c r="D150" s="58"/>
      <c r="E150" s="64"/>
      <c r="F150" s="64"/>
      <c r="G150" s="64"/>
      <c r="H150" s="6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/>
      <c r="B151" s="58"/>
      <c r="C151" s="58"/>
      <c r="D151" s="58"/>
      <c r="E151" s="64"/>
      <c r="F151" s="64"/>
      <c r="G151" s="64"/>
      <c r="H151" s="6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/>
      <c r="B152" s="58"/>
      <c r="C152" s="58"/>
      <c r="D152" s="58"/>
      <c r="E152" s="65"/>
      <c r="F152" s="65"/>
      <c r="G152" s="65"/>
      <c r="H152" s="65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92"/>
      <c r="B153" s="61"/>
      <c r="C153" s="92"/>
      <c r="D153" s="61"/>
      <c r="E153" s="57"/>
      <c r="F153" s="57"/>
      <c r="G153" s="57"/>
      <c r="H153" s="57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53"/>
      <c r="C154" s="53"/>
      <c r="D154" s="53"/>
      <c r="E154" s="57"/>
      <c r="F154" s="57"/>
      <c r="G154" s="57"/>
      <c r="H154" s="57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3"/>
      <c r="C155" s="53"/>
      <c r="D155" s="53"/>
      <c r="E155" s="57"/>
      <c r="F155" s="57"/>
      <c r="G155" s="57"/>
      <c r="H155" s="57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7"/>
      <c r="F156" s="57"/>
      <c r="G156" s="57"/>
      <c r="H156" s="57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7"/>
      <c r="F157" s="57"/>
      <c r="G157" s="57"/>
      <c r="H157" s="57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7"/>
      <c r="F158" s="57"/>
      <c r="G158" s="57"/>
      <c r="H158" s="57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/>
      <c r="B159" s="53"/>
      <c r="C159" s="53"/>
      <c r="D159" s="53"/>
      <c r="E159" s="57"/>
      <c r="F159" s="57"/>
      <c r="G159" s="57"/>
      <c r="H159" s="57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Alisier torminal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v>105</v>
      </c>
      <c r="C168" s="61">
        <v>1</v>
      </c>
      <c r="D168" s="61"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v>158</v>
      </c>
      <c r="C170" s="61">
        <v>2</v>
      </c>
      <c r="D170" s="61"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v>199</v>
      </c>
      <c r="C172" s="61">
        <v>3</v>
      </c>
      <c r="D172" s="61"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197</v>
      </c>
      <c r="C173" s="53"/>
      <c r="D173" s="53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Tilleul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1">
        <f>49/1.56</f>
        <v>31.410256410256409</v>
      </c>
      <c r="C192" s="61"/>
      <c r="D192" s="61"/>
      <c r="E192" s="54"/>
      <c r="F192" s="54"/>
      <c r="G192" s="54"/>
      <c r="H192" s="54"/>
      <c r="I192" s="52">
        <f>IFERROR(B192/A192,"")</f>
        <v>2.0940170940170941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1">
        <f>(87+11)/1.56</f>
        <v>62.820512820512818</v>
      </c>
      <c r="C193" s="61">
        <v>1</v>
      </c>
      <c r="D193" s="61">
        <f>(11+16)/1.56</f>
        <v>17.307692307692307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6.2820512820512819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1">
        <f>125/1.56</f>
        <v>80.128205128205124</v>
      </c>
      <c r="C194" s="61"/>
      <c r="D194" s="61"/>
      <c r="E194" s="54"/>
      <c r="F194" s="54"/>
      <c r="G194" s="54"/>
      <c r="H194" s="54"/>
      <c r="I194" s="52">
        <f t="shared" si="7"/>
        <v>6.9230769230769225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1">
        <f>(159+20)/1.56</f>
        <v>114.74358974358974</v>
      </c>
      <c r="C195" s="61">
        <v>2</v>
      </c>
      <c r="D195" s="61">
        <f>(21+20)/1.56</f>
        <v>26.282051282051281</v>
      </c>
      <c r="E195" s="54"/>
      <c r="F195" s="54"/>
      <c r="G195" s="54"/>
      <c r="H195" s="54">
        <v>1</v>
      </c>
      <c r="I195" s="52">
        <f t="shared" si="7"/>
        <v>6.9230769230769225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1">
        <f>189/1.56</f>
        <v>121.15384615384615</v>
      </c>
      <c r="C196" s="61"/>
      <c r="D196" s="61"/>
      <c r="E196" s="54"/>
      <c r="F196" s="54"/>
      <c r="G196" s="54"/>
      <c r="H196" s="54"/>
      <c r="I196" s="52">
        <f t="shared" si="7"/>
        <v>6.5384615384615383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1">
        <f>(216+22)/1.56</f>
        <v>152.56410256410257</v>
      </c>
      <c r="C197" s="61">
        <v>3</v>
      </c>
      <c r="D197" s="61">
        <f>(22+22)/1.56</f>
        <v>28.205128205128204</v>
      </c>
      <c r="E197" s="54"/>
      <c r="F197" s="54"/>
      <c r="G197" s="54"/>
      <c r="H197" s="54"/>
      <c r="I197" s="52">
        <f t="shared" si="7"/>
        <v>6.2820512820512846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1">
        <f>(239/1.56)</f>
        <v>153.2051282051282</v>
      </c>
      <c r="C198" s="61"/>
      <c r="D198" s="61"/>
      <c r="E198" s="54"/>
      <c r="F198" s="54"/>
      <c r="G198" s="54"/>
      <c r="H198" s="54"/>
      <c r="I198" s="52">
        <f t="shared" si="7"/>
        <v>5.7692307692307683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61">
        <v>180.76923076923077</v>
      </c>
      <c r="C199" s="61">
        <v>4</v>
      </c>
      <c r="D199" s="61">
        <v>28.205128205128204</v>
      </c>
      <c r="E199" s="54"/>
      <c r="F199" s="54"/>
      <c r="G199" s="54"/>
      <c r="H199" s="54"/>
      <c r="I199" s="52">
        <f t="shared" si="7"/>
        <v>5.5128205128205137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55</v>
      </c>
      <c r="B200" s="61">
        <v>178.2051282051282</v>
      </c>
      <c r="C200" s="61"/>
      <c r="D200" s="61"/>
      <c r="E200" s="54"/>
      <c r="F200" s="54"/>
      <c r="G200" s="54"/>
      <c r="H200" s="54"/>
      <c r="I200" s="52">
        <f t="shared" si="7"/>
        <v>5.1282051282051269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8">
        <v>60</v>
      </c>
      <c r="B201" s="58">
        <v>202.56410256410257</v>
      </c>
      <c r="C201" s="58">
        <v>5</v>
      </c>
      <c r="D201" s="58">
        <v>26.282051282051281</v>
      </c>
      <c r="E201" s="64"/>
      <c r="F201" s="64"/>
      <c r="G201" s="64"/>
      <c r="H201" s="64"/>
      <c r="I201" s="52">
        <f t="shared" si="7"/>
        <v>4.8717948717948731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8">
        <v>65</v>
      </c>
      <c r="B202" s="58">
        <v>198.7179487179487</v>
      </c>
      <c r="C202" s="58"/>
      <c r="D202" s="58"/>
      <c r="E202" s="64"/>
      <c r="F202" s="64"/>
      <c r="G202" s="64"/>
      <c r="H202" s="64"/>
      <c r="I202" s="52">
        <f t="shared" si="7"/>
        <v>4.4871794871794801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8">
        <v>70</v>
      </c>
      <c r="B203" s="58">
        <v>220.5128205128205</v>
      </c>
      <c r="C203" s="58">
        <v>6</v>
      </c>
      <c r="D203" s="58">
        <v>25</v>
      </c>
      <c r="E203" s="64"/>
      <c r="F203" s="64"/>
      <c r="G203" s="64"/>
      <c r="H203" s="64"/>
      <c r="I203" s="52">
        <f t="shared" si="7"/>
        <v>4.3589743589743595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8">
        <v>75</v>
      </c>
      <c r="B204" s="58">
        <v>215.38461538461539</v>
      </c>
      <c r="C204" s="58"/>
      <c r="D204" s="58"/>
      <c r="E204" s="65"/>
      <c r="F204" s="65"/>
      <c r="G204" s="65"/>
      <c r="H204" s="65"/>
      <c r="I204" s="52">
        <f t="shared" si="7"/>
        <v>3.974358974358978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92">
        <v>80</v>
      </c>
      <c r="B205" s="61">
        <f>(347+18)/1.56</f>
        <v>233.97435897435898</v>
      </c>
      <c r="C205" s="92">
        <v>7</v>
      </c>
      <c r="D205" s="61">
        <f>(17+18)/1.56</f>
        <v>22.435897435897434</v>
      </c>
      <c r="E205" s="57"/>
      <c r="F205" s="57"/>
      <c r="G205" s="57"/>
      <c r="H205" s="57"/>
      <c r="I205" s="52">
        <f t="shared" si="7"/>
        <v>3.7179487179487181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85</v>
      </c>
      <c r="B206" s="53">
        <v>229.48717948717947</v>
      </c>
      <c r="C206" s="53"/>
      <c r="D206" s="53"/>
      <c r="E206" s="57"/>
      <c r="F206" s="57"/>
      <c r="G206" s="57"/>
      <c r="H206" s="57"/>
      <c r="I206" s="52">
        <f t="shared" si="7"/>
        <v>3.5897435897435854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90</v>
      </c>
      <c r="B207" s="53">
        <v>246.15384615384613</v>
      </c>
      <c r="C207" s="53">
        <v>8</v>
      </c>
      <c r="D207" s="53">
        <v>21.153846153846153</v>
      </c>
      <c r="E207" s="57"/>
      <c r="F207" s="57"/>
      <c r="G207" s="57"/>
      <c r="H207" s="57"/>
      <c r="I207" s="52">
        <f t="shared" si="7"/>
        <v>3.3333333333333313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95</v>
      </c>
      <c r="B208" s="53">
        <v>241.02564102564102</v>
      </c>
      <c r="C208" s="53"/>
      <c r="D208" s="53"/>
      <c r="E208" s="57"/>
      <c r="F208" s="57"/>
      <c r="G208" s="57"/>
      <c r="H208" s="57"/>
      <c r="I208" s="52">
        <f t="shared" si="7"/>
        <v>3.2051282051282102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100</v>
      </c>
      <c r="B209" s="53">
        <v>256.41025641025641</v>
      </c>
      <c r="C209" s="53">
        <v>9</v>
      </c>
      <c r="D209" s="53">
        <v>17.948717948717949</v>
      </c>
      <c r="E209" s="57"/>
      <c r="F209" s="57"/>
      <c r="G209" s="57"/>
      <c r="H209" s="57"/>
      <c r="I209" s="52">
        <f t="shared" si="7"/>
        <v>3.0769230769230775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105</v>
      </c>
      <c r="B210" s="53">
        <v>253.2051282051282</v>
      </c>
      <c r="C210" s="53"/>
      <c r="D210" s="53"/>
      <c r="E210" s="57"/>
      <c r="F210" s="57"/>
      <c r="G210" s="57"/>
      <c r="H210" s="57"/>
      <c r="I210" s="52">
        <f t="shared" si="7"/>
        <v>2.9487179487179502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110</v>
      </c>
      <c r="B211" s="53">
        <v>267.30769230769232</v>
      </c>
      <c r="C211" s="53">
        <v>10</v>
      </c>
      <c r="D211" s="53">
        <v>267.30769230769232</v>
      </c>
      <c r="E211" s="57"/>
      <c r="F211" s="57"/>
      <c r="G211" s="57"/>
      <c r="H211" s="57"/>
      <c r="I211" s="52">
        <f t="shared" si="7"/>
        <v>2.8205128205128234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23" sqref="G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0</v>
      </c>
      <c r="C8" s="52" t="s">
        <v>177</v>
      </c>
      <c r="D8" s="25"/>
      <c r="E8" s="112">
        <v>4</v>
      </c>
      <c r="F8" s="62">
        <v>1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1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Cèdre de l'Atlas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sessile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Chêne pubescent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Hêtre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Merisier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Alisier torminal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Tilleul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106.50743833854523</v>
      </c>
      <c r="T3" s="60">
        <f>IF('Données projet'!E9&gt;30,$R$33-$H$33,LOOKUP('Données projet'!$E$9,$A$3:$A$203,R3:R203)-LOOKUP('Données projet'!$E$9,$A$3:$A$203,$H$3:$H$203))</f>
        <v>47.606751325129608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247.65126267995316</v>
      </c>
      <c r="AO3" s="60">
        <f>IF('Données projet'!E10&gt;30,$AM$33-$H$33,LOOKUP('Données projet'!$E$10,$A$3:$A$203,AM3:AM203)-LOOKUP('Données projet'!$E$10,$A$3:$A$203,$H$3:$H$203))</f>
        <v>149.27472147904314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294.2815419338562</v>
      </c>
      <c r="BJ3" s="60">
        <f>IF('Données projet'!E11&gt;30,$BH$33-$H$33,LOOKUP('Données projet'!$E$11,$A$3:$A$203,BH3:BH203)-LOOKUP('Données projet'!$E$11,$A$3:$A$203,$H$3:$H$203))</f>
        <v>173.99850582760712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317.48648551307656</v>
      </c>
      <c r="CE3" s="60">
        <f>IF('Données projet'!E12&gt;30,$CC$33-$H$33,LOOKUP('Données projet'!$E$12,$A$3:$A$203,CC3:CC203)-LOOKUP('Données projet'!$E$12,$A$3:$A$203,$H$3:$H$203))</f>
        <v>133.09277301479563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194.42056369374041</v>
      </c>
      <c r="CZ3" s="60">
        <f>IF('Données projet'!E13&gt;30,$CX$33-$H$33,LOOKUP('Données projet'!$E$13,$A$3:$A$203,CX3:CX203)-LOOKUP('Données projet'!$E$13,$A$3:$A$203,$H$3:$H$203))</f>
        <v>185.75045299455371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293.33333333333331</v>
      </c>
      <c r="DT3" s="60">
        <f ca="1">AVERAGE(OFFSET($DS$3,0,0,'Données projet'!$E$14+1,1))-AVERAGE(OFFSET($H$3,0,0,'Données projet'!$E$14+1,1))</f>
        <v>274.31056057602081</v>
      </c>
      <c r="DU3" s="60">
        <f>IF('Données projet'!E14&gt;30,$DS$33-$H$33,LOOKUP('Données projet'!$E$14,$A$3:$A$203,DS3:DS203)-LOOKUP('Données projet'!$E$14,$A$3:$A$203,$H$3:$H$203))</f>
        <v>163.41029152029387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293.33333333333331</v>
      </c>
      <c r="EO3" s="60">
        <f ca="1">AVERAGE(OFFSET($EN$3,0,0,'Données projet'!$E$15+1,1))-AVERAGE(OFFSET($H$3,0,0,'Données projet'!$E$15+1,1))</f>
        <v>120.18668518376586</v>
      </c>
      <c r="EP3" s="60">
        <f>IF('Données projet'!E15&gt;30,$EN$33-$H$33,LOOKUP('Données projet'!$E$15,$A$3:$A$203,EN3:EN203)-LOOKUP('Données projet'!$E$15,$A$3:$A$203,$H$3:$H$203))</f>
        <v>110.24821114898037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8">
        <f t="shared" ref="H4:H67" si="1">(B4+E4+F4)*44/12+(C4+D4)*0.475*44/12</f>
        <v>295.60554746801699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3.4358974358974361</v>
      </c>
      <c r="N4" s="14">
        <f>IF('Données projet'!$A$36&gt;35,N3+M4-V3,IF(A4&lt;'Données projet'!$A$36,$K$205^A4,IF(A4='Données projet'!$A$36,'Données projet'!$B$36,N3+M4-V3)))</f>
        <v>1.167092777711815</v>
      </c>
      <c r="O4" s="14">
        <f>N4*VLOOKUP('Données projet'!$B$9,Paramètres!$A$1:$I$89,3,0)*VLOOKUP('Données projet'!$B$9,Paramètres!$A$1:$I$89,5,0)</f>
        <v>0.54619941996912946</v>
      </c>
      <c r="P4" s="14">
        <f>EXP(-1.0587+0.8836*LN(O4)+0.284)</f>
        <v>0.27006954687577245</v>
      </c>
      <c r="Q4" s="22">
        <f t="shared" ref="Q4:Q34" si="2">(O4+P4)*0.475*44/12</f>
        <v>1.4216684505882042</v>
      </c>
      <c r="R4" s="60">
        <f t="shared" si="0"/>
        <v>294.7550017839215</v>
      </c>
      <c r="S4" s="60">
        <f ca="1">AVERAGE(OFFSET($R$3,0,0,'Données projet'!$E$9+1,1))-AVERAGE(OFFSET($H$3,0,0,'Données projet'!$E$9+1,1))</f>
        <v>106.50743833854523</v>
      </c>
      <c r="T4" s="60">
        <f>$T$3</f>
        <v>47.606751325129608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0">
        <f t="shared" ref="AM4:AM67" si="5">AL4+(AD4+AE4)*44/12</f>
        <v>296.09965856715894</v>
      </c>
      <c r="AN4" s="60">
        <f ca="1">AVERAGE(OFFSET($AM$3,0,0,'Données projet'!$E$10+1,1))-AVERAGE(OFFSET($H$3,0,0,'Données projet'!$E$10+1,1))</f>
        <v>247.65126267995316</v>
      </c>
      <c r="AO4" s="60">
        <f>$AO$3</f>
        <v>149.27472147904314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1.2223636300497438</v>
      </c>
      <c r="BF4" s="14">
        <f>EXP(-1.0587+0.8836*LN(BE4)+0.284)</f>
        <v>0.55030360208821416</v>
      </c>
      <c r="BG4" s="22">
        <f t="shared" ref="BG4:BG67" si="7">(BE4+BF4)*0.475*44/12</f>
        <v>3.0873954293069432</v>
      </c>
      <c r="BH4" s="60">
        <f t="shared" ref="BH4:BH67" si="8">BG4+(AY4+AZ4)*44/12</f>
        <v>296.42072876264024</v>
      </c>
      <c r="BI4" s="60">
        <f ca="1">AVERAGE(OFFSET($BH$3,0,0,'Données projet'!$E$11+1,1))-AVERAGE(OFFSET($H$3,0,0,'Données projet'!$E$11+1,1))</f>
        <v>294.2815419338562</v>
      </c>
      <c r="BJ4" s="60">
        <f>$BJ$3</f>
        <v>173.99850582760712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0.76190476190476186</v>
      </c>
      <c r="BY4" s="13">
        <f>IF('Données projet'!$A$114&gt;35,BY3+BX4-CG3,IF(A4&lt;'Données projet'!$A$114,$BV$205^A4,IF(A4='Données projet'!$A$114,'Données projet'!$B$114,BY3+BX4-CG3)))</f>
        <v>0.76190476190476186</v>
      </c>
      <c r="BZ4" s="14">
        <f>BY4*VLOOKUP('Données projet'!$B$12,Paramètres!$A$1:$I$89,3,0)*VLOOKUP('Données projet'!$B$12,Paramètres!$A$1:$I$89,5,0)</f>
        <v>0.6537142857142858</v>
      </c>
      <c r="CA4" s="14">
        <f>EXP(-1.0587+0.8836*LN(BZ4)+0.284)</f>
        <v>0.3165402057113732</v>
      </c>
      <c r="CB4" s="22">
        <f t="shared" ref="CB4:CB67" si="10">(BZ4+CA4)*0.475*44/12</f>
        <v>1.6898599058996895</v>
      </c>
      <c r="CC4" s="60">
        <f t="shared" ref="CC4:CC67" si="11">CB4+(BT4+BU4)*44/12</f>
        <v>295.02319323923302</v>
      </c>
      <c r="CD4" s="60">
        <f ca="1">AVERAGE(OFFSET($CC$3,0,0,'Données projet'!$E$12+1,1))-AVERAGE(OFFSET($H$3,0,0,'Données projet'!$E$12+1,1))</f>
        <v>317.48648551307656</v>
      </c>
      <c r="CE4" s="60">
        <f>$CE$3</f>
        <v>133.09277301479563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0">
        <f t="shared" ref="CX4:CX67" si="14">CW4+(CO4+CP4)*44/12</f>
        <v>295.87142521462209</v>
      </c>
      <c r="CY4" s="60">
        <f ca="1">AVERAGE(OFFSET($CX$3,0,0,'Données projet'!$E$13+1,1))-AVERAGE(OFFSET($H$3,0,0,'Données projet'!$E$13+1,1))</f>
        <v>194.42056369374041</v>
      </c>
      <c r="CZ4" s="60">
        <f>$CZ$3</f>
        <v>185.75045299455371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1.165946847124371</v>
      </c>
      <c r="DQ4" s="14">
        <f>EXP(-1.0587+0.8836*LN(DP4)+0.284)</f>
        <v>0.52780002987456354</v>
      </c>
      <c r="DR4" s="22">
        <f t="shared" ref="DR4:DR67" si="16">(DP4+DQ4)*0.475*44/12</f>
        <v>2.9499424774398109</v>
      </c>
      <c r="DS4" s="60">
        <f t="shared" ref="DS4:DS67" si="17">DR4+(DJ4+DK4)*44/12</f>
        <v>296.28327581077315</v>
      </c>
      <c r="DT4" s="60">
        <f ca="1">AVERAGE(OFFSET($DS$3,0,0,'Données projet'!$E$14+1,1))-AVERAGE(OFFSET($H$3,0,0,'Données projet'!$E$14+1,1))</f>
        <v>274.31056057602081</v>
      </c>
      <c r="DU4" s="60">
        <f>$DU$3</f>
        <v>163.41029152029387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2.0940170940170941</v>
      </c>
      <c r="EJ4" s="13">
        <f>IF('Données projet'!$A$192&gt;35,EJ3+EI4-ER3,IF(A4&lt;'Données projet'!$A$192,$EG$205^A4,IF(A4='Données projet'!$A$192,'Données projet'!$B$192,EJ3+EI4-ER3)))</f>
        <v>1.2583595963961556</v>
      </c>
      <c r="EK4" s="18">
        <f>EJ4*VLOOKUP('Données projet'!$B$15,Paramètres!$A$1:$I$89,3,0)*VLOOKUP('Données projet'!$B$15,Paramètres!$A$1:$I$89,5,0)</f>
        <v>0.84410761726254113</v>
      </c>
      <c r="EL4" s="14">
        <f>EXP(-1.0587+0.8836*LN(EK4)+0.284)</f>
        <v>0.3967502216694111</v>
      </c>
      <c r="EM4" s="22">
        <f t="shared" ref="EM4:EM67" si="19">(EK4+EL4)*0.475*44/12</f>
        <v>2.1611607361398169</v>
      </c>
      <c r="EN4" s="60">
        <f t="shared" ref="EN4:EN67" si="20">EM4+(EE4+EF4)*44/12</f>
        <v>295.49449406947315</v>
      </c>
      <c r="EO4" s="60">
        <f ca="1">AVERAGE(OFFSET($EN$3,0,0,'Données projet'!$E$15+1,1))-AVERAGE(OFFSET($H$3,0,0,'Données projet'!$E$15+1,1))</f>
        <v>120.18668518376586</v>
      </c>
      <c r="EP4" s="60">
        <f>$EP$3</f>
        <v>110.24821114898037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8">
        <f t="shared" si="1"/>
        <v>297.76559610099633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3.4358974358974361</v>
      </c>
      <c r="N5" s="14">
        <f>IF('Données projet'!$A$36&gt;35,N4+M5-V4,IF(A5&lt;'Données projet'!$A$36,$K$205^A5,IF(A5='Données projet'!$A$36,'Données projet'!$B$36,N4+M5-V4)))</f>
        <v>1.3621055517870799</v>
      </c>
      <c r="O5" s="14">
        <f>N5*VLOOKUP('Données projet'!$B$9,Paramètres!$A$1:$I$89,3,0)*VLOOKUP('Données projet'!$B$9,Paramètres!$A$1:$I$89,5,0)</f>
        <v>0.6374653982363534</v>
      </c>
      <c r="P5" s="14">
        <f t="shared" ref="P5:P68" si="33">EXP(-1.0587+0.8836*LN(O5)+0.284)</f>
        <v>0.30957788644599227</v>
      </c>
      <c r="Q5" s="22">
        <f t="shared" si="2"/>
        <v>1.6494337208217518</v>
      </c>
      <c r="R5" s="60">
        <f t="shared" si="0"/>
        <v>294.98276705415509</v>
      </c>
      <c r="S5" s="60">
        <f ca="1">AVERAGE(OFFSET($R$3,0,0,'Données projet'!$E$9+1,1))-AVERAGE(OFFSET($H$3,0,0,'Données projet'!$E$9+1,1))</f>
        <v>106.50743833854523</v>
      </c>
      <c r="T5" s="60">
        <f t="shared" ref="T5:T68" si="34">$T$3</f>
        <v>47.606751325129608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0">
        <f t="shared" si="5"/>
        <v>296.64562104315422</v>
      </c>
      <c r="AN5" s="60">
        <f ca="1">AVERAGE(OFFSET($AM$3,0,0,'Données projet'!$E$10+1,1))-AVERAGE(OFFSET($H$3,0,0,'Données projet'!$E$10+1,1))</f>
        <v>247.65126267995316</v>
      </c>
      <c r="AO5" s="60">
        <f t="shared" ref="AO5:AO68" si="36">$AO$3</f>
        <v>149.27472147904314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1.47354323872622</v>
      </c>
      <c r="BF5" s="14">
        <f t="shared" ref="BF5:BF68" si="37">EXP(-1.0587+0.8836*LN(BE5)+0.284)</f>
        <v>0.64910881835703094</v>
      </c>
      <c r="BG5" s="22">
        <f t="shared" si="7"/>
        <v>3.6969523327533285</v>
      </c>
      <c r="BH5" s="60">
        <f t="shared" si="8"/>
        <v>297.03028566608663</v>
      </c>
      <c r="BI5" s="60">
        <f ca="1">AVERAGE(OFFSET($BH$3,0,0,'Données projet'!$E$11+1,1))-AVERAGE(OFFSET($H$3,0,0,'Données projet'!$E$11+1,1))</f>
        <v>294.2815419338562</v>
      </c>
      <c r="BJ5" s="60">
        <f t="shared" ref="BJ5:BJ68" si="38">$BJ$3</f>
        <v>173.99850582760712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0.76190476190476186</v>
      </c>
      <c r="BY5" s="13">
        <f>IF('Données projet'!$A$114&gt;35,BY4+BX5-CG4,IF(A5&lt;'Données projet'!$A$114,$BV$205^A5,IF(A5='Données projet'!$A$114,'Données projet'!$B$114,BY4+BX5-CG4)))</f>
        <v>1.5238095238095237</v>
      </c>
      <c r="BZ5" s="14">
        <f>BY5*VLOOKUP('Données projet'!$B$12,Paramètres!$A$1:$I$89,3,0)*VLOOKUP('Données projet'!$B$12,Paramètres!$A$1:$I$89,5,0)</f>
        <v>1.3074285714285716</v>
      </c>
      <c r="CA5" s="14">
        <f t="shared" ref="CA5:CA68" si="39">EXP(-1.0587+0.8836*LN(BZ5)+0.284)</f>
        <v>0.58400825296777303</v>
      </c>
      <c r="CB5" s="22">
        <f t="shared" si="10"/>
        <v>3.2942524691569663</v>
      </c>
      <c r="CC5" s="60">
        <f t="shared" si="11"/>
        <v>296.62758580249027</v>
      </c>
      <c r="CD5" s="60">
        <f ca="1">AVERAGE(OFFSET($CC$3,0,0,'Données projet'!$E$12+1,1))-AVERAGE(OFFSET($H$3,0,0,'Données projet'!$E$12+1,1))</f>
        <v>317.48648551307656</v>
      </c>
      <c r="CE5" s="60">
        <f t="shared" ref="CE5:CE68" si="40">$CE$3</f>
        <v>133.09277301479563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0">
        <f t="shared" si="14"/>
        <v>296.55015514501702</v>
      </c>
      <c r="CY5" s="60">
        <f ca="1">AVERAGE(OFFSET($CX$3,0,0,'Données projet'!$E$13+1,1))-AVERAGE(OFFSET($H$3,0,0,'Données projet'!$E$13+1,1))</f>
        <v>194.42056369374041</v>
      </c>
      <c r="CZ5" s="60">
        <f t="shared" ref="CZ5:CZ68" si="42">$CZ$3</f>
        <v>185.75045299455371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1.4055335507850097</v>
      </c>
      <c r="DQ5" s="14">
        <f t="shared" ref="DQ5:DQ68" si="43">EXP(-1.0587+0.8836*LN(DP5)+0.284)</f>
        <v>0.62256480317525631</v>
      </c>
      <c r="DR5" s="22">
        <f t="shared" si="16"/>
        <v>3.5322712998141292</v>
      </c>
      <c r="DS5" s="60">
        <f t="shared" si="17"/>
        <v>296.86560463314743</v>
      </c>
      <c r="DT5" s="60">
        <f ca="1">AVERAGE(OFFSET($DS$3,0,0,'Données projet'!$E$14+1,1))-AVERAGE(OFFSET($H$3,0,0,'Données projet'!$E$14+1,1))</f>
        <v>274.31056057602081</v>
      </c>
      <c r="DU5" s="60">
        <f t="shared" ref="DU5:DU68" si="44">$DU$3</f>
        <v>163.41029152029387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2.0940170940170941</v>
      </c>
      <c r="EJ5" s="13">
        <f>IF('Données projet'!$A$192&gt;35,EJ4+EI5-ER4,IF(A5&lt;'Données projet'!$A$192,$EG$205^A5,IF(A5='Données projet'!$A$192,'Données projet'!$B$192,EJ4+EI5-ER4)))</f>
        <v>1.5834688738422955</v>
      </c>
      <c r="EK5" s="18">
        <f>EJ5*VLOOKUP('Données projet'!$B$15,Paramètres!$A$1:$I$89,3,0)*VLOOKUP('Données projet'!$B$15,Paramètres!$A$1:$I$89,5,0)</f>
        <v>1.0621909205734119</v>
      </c>
      <c r="EL5" s="14">
        <f t="shared" ref="EL5:EL68" si="45">EXP(-1.0587+0.8836*LN(EK5)+0.284)</f>
        <v>0.48607654898762231</v>
      </c>
      <c r="EM5" s="22">
        <f t="shared" si="19"/>
        <v>2.6965658428188011</v>
      </c>
      <c r="EN5" s="60">
        <f t="shared" si="20"/>
        <v>296.02989917615213</v>
      </c>
      <c r="EO5" s="60">
        <f ca="1">AVERAGE(OFFSET($EN$3,0,0,'Données projet'!$E$15+1,1))-AVERAGE(OFFSET($H$3,0,0,'Données projet'!$E$15+1,1))</f>
        <v>120.18668518376586</v>
      </c>
      <c r="EP5" s="60">
        <f t="shared" ref="EP5:EP68" si="46">$EP$3</f>
        <v>110.24821114898037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8">
        <f t="shared" si="1"/>
        <v>299.88942090728119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3.4358974358974361</v>
      </c>
      <c r="N6" s="14">
        <f>IF('Données projet'!$A$36&gt;35,N5+M6-V5,IF(A6&lt;'Données projet'!$A$36,$K$205^A6,IF(A6='Données projet'!$A$36,'Données projet'!$B$36,N5+M6-V5)))</f>
        <v>1.5897035519718676</v>
      </c>
      <c r="O6" s="14">
        <f>N6*VLOOKUP('Données projet'!$B$9,Paramètres!$A$1:$I$89,3,0)*VLOOKUP('Données projet'!$B$9,Paramètres!$A$1:$I$89,5,0)</f>
        <v>0.74398126232283412</v>
      </c>
      <c r="P6" s="14">
        <f t="shared" si="33"/>
        <v>0.35486588134445163</v>
      </c>
      <c r="Q6" s="22">
        <f t="shared" si="2"/>
        <v>1.9138254418871894</v>
      </c>
      <c r="R6" s="60">
        <f t="shared" si="0"/>
        <v>295.2471587752205</v>
      </c>
      <c r="S6" s="60">
        <f ca="1">AVERAGE(OFFSET($R$3,0,0,'Données projet'!$E$9+1,1))-AVERAGE(OFFSET($H$3,0,0,'Données projet'!$E$9+1,1))</f>
        <v>106.50743833854523</v>
      </c>
      <c r="T6" s="60">
        <f t="shared" si="34"/>
        <v>47.606751325129608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0">
        <f t="shared" si="5"/>
        <v>297.29973523978072</v>
      </c>
      <c r="AN6" s="60">
        <f ca="1">AVERAGE(OFFSET($AM$3,0,0,'Données projet'!$E$10+1,1))-AVERAGE(OFFSET($H$3,0,0,'Données projet'!$E$10+1,1))</f>
        <v>247.65126267995316</v>
      </c>
      <c r="AO6" s="60">
        <f t="shared" si="36"/>
        <v>149.27472147904314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1.7763369450933317</v>
      </c>
      <c r="BF6" s="14">
        <f t="shared" si="37"/>
        <v>0.76565418883323866</v>
      </c>
      <c r="BG6" s="22">
        <f t="shared" si="7"/>
        <v>4.4273012249221102</v>
      </c>
      <c r="BH6" s="60">
        <f t="shared" si="8"/>
        <v>297.76063455825545</v>
      </c>
      <c r="BI6" s="60">
        <f ca="1">AVERAGE(OFFSET($BH$3,0,0,'Données projet'!$E$11+1,1))-AVERAGE(OFFSET($H$3,0,0,'Données projet'!$E$11+1,1))</f>
        <v>294.2815419338562</v>
      </c>
      <c r="BJ6" s="60">
        <f t="shared" si="38"/>
        <v>173.99850582760712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0.76190476190476186</v>
      </c>
      <c r="BY6" s="13">
        <f>IF('Données projet'!$A$114&gt;35,BY5+BX6-CG5,IF(A6&lt;'Données projet'!$A$114,$BV$205^A6,IF(A6='Données projet'!$A$114,'Données projet'!$B$114,BY5+BX6-CG5)))</f>
        <v>2.2857142857142856</v>
      </c>
      <c r="BZ6" s="14">
        <f>BY6*VLOOKUP('Données projet'!$B$12,Paramètres!$A$1:$I$89,3,0)*VLOOKUP('Données projet'!$B$12,Paramètres!$A$1:$I$89,5,0)</f>
        <v>1.9611428571428571</v>
      </c>
      <c r="CA6" s="14">
        <f t="shared" si="39"/>
        <v>0.83562845631147864</v>
      </c>
      <c r="CB6" s="22">
        <f t="shared" si="10"/>
        <v>4.871043370932969</v>
      </c>
      <c r="CC6" s="60">
        <f t="shared" si="11"/>
        <v>298.20437670426628</v>
      </c>
      <c r="CD6" s="60">
        <f ca="1">AVERAGE(OFFSET($CC$3,0,0,'Données projet'!$E$12+1,1))-AVERAGE(OFFSET($H$3,0,0,'Données projet'!$E$12+1,1))</f>
        <v>317.48648551307656</v>
      </c>
      <c r="CE6" s="60">
        <f t="shared" si="40"/>
        <v>133.09277301479563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0">
        <f t="shared" si="14"/>
        <v>297.41110313686249</v>
      </c>
      <c r="CY6" s="60">
        <f ca="1">AVERAGE(OFFSET($CX$3,0,0,'Données projet'!$E$13+1,1))-AVERAGE(OFFSET($H$3,0,0,'Données projet'!$E$13+1,1))</f>
        <v>194.42056369374041</v>
      </c>
      <c r="CZ6" s="60">
        <f t="shared" si="42"/>
        <v>185.75045299455371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1.694352163012101</v>
      </c>
      <c r="DQ6" s="14">
        <f t="shared" si="43"/>
        <v>0.73434428233124405</v>
      </c>
      <c r="DR6" s="22">
        <f t="shared" si="16"/>
        <v>4.2299796423063247</v>
      </c>
      <c r="DS6" s="60">
        <f t="shared" si="17"/>
        <v>297.56331297563963</v>
      </c>
      <c r="DT6" s="60">
        <f ca="1">AVERAGE(OFFSET($DS$3,0,0,'Données projet'!$E$14+1,1))-AVERAGE(OFFSET($H$3,0,0,'Données projet'!$E$14+1,1))</f>
        <v>274.31056057602081</v>
      </c>
      <c r="DU6" s="60">
        <f t="shared" si="44"/>
        <v>163.41029152029387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2.0940170940170941</v>
      </c>
      <c r="EJ6" s="13">
        <f>IF('Données projet'!$A$192&gt;35,EJ5+EI6-ER5,IF(A6&lt;'Données projet'!$A$192,$EG$205^A6,IF(A6='Données projet'!$A$192,'Données projet'!$B$192,EJ5+EI6-ER5)))</f>
        <v>1.9925732529940661</v>
      </c>
      <c r="EK6" s="18">
        <f>EJ6*VLOOKUP('Données projet'!$B$15,Paramètres!$A$1:$I$89,3,0)*VLOOKUP('Données projet'!$B$15,Paramètres!$A$1:$I$89,5,0)</f>
        <v>1.3366181381084197</v>
      </c>
      <c r="EL6" s="14">
        <f t="shared" si="45"/>
        <v>0.59551425196829955</v>
      </c>
      <c r="EM6" s="22">
        <f t="shared" si="19"/>
        <v>3.365130579383619</v>
      </c>
      <c r="EN6" s="60">
        <f t="shared" si="20"/>
        <v>296.69846391271693</v>
      </c>
      <c r="EO6" s="60">
        <f ca="1">AVERAGE(OFFSET($EN$3,0,0,'Données projet'!$E$15+1,1))-AVERAGE(OFFSET($H$3,0,0,'Données projet'!$E$15+1,1))</f>
        <v>120.18668518376586</v>
      </c>
      <c r="EP6" s="60">
        <f t="shared" si="46"/>
        <v>110.24821114898037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8">
        <f t="shared" si="1"/>
        <v>301.9909165039561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3.4358974358974361</v>
      </c>
      <c r="N7" s="14">
        <f>IF('Données projet'!$A$36&gt;35,N6+M7-V6,IF(A7&lt;'Données projet'!$A$36,$K$205^A7,IF(A7='Données projet'!$A$36,'Données projet'!$B$36,N6+M7-V6)))</f>
        <v>1.8553315342091854</v>
      </c>
      <c r="O7" s="14">
        <f>N7*VLOOKUP('Données projet'!$B$9,Paramètres!$A$1:$I$89,3,0)*VLOOKUP('Données projet'!$B$9,Paramètres!$A$1:$I$89,5,0)</f>
        <v>0.86829515800989876</v>
      </c>
      <c r="P7" s="14">
        <f t="shared" si="33"/>
        <v>0.4067790344719715</v>
      </c>
      <c r="Q7" s="22">
        <f t="shared" si="2"/>
        <v>2.2207542185725906</v>
      </c>
      <c r="R7" s="60">
        <f t="shared" si="0"/>
        <v>295.55408755190592</v>
      </c>
      <c r="S7" s="60">
        <f ca="1">AVERAGE(OFFSET($R$3,0,0,'Données projet'!$E$9+1,1))-AVERAGE(OFFSET($H$3,0,0,'Données projet'!$E$9+1,1))</f>
        <v>106.50743833854523</v>
      </c>
      <c r="T7" s="60">
        <f t="shared" si="34"/>
        <v>47.606751325129608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0">
        <f t="shared" si="5"/>
        <v>298.08350019263929</v>
      </c>
      <c r="AN7" s="60">
        <f ca="1">AVERAGE(OFFSET($AM$3,0,0,'Données projet'!$E$10+1,1))-AVERAGE(OFFSET($H$3,0,0,'Données projet'!$E$10+1,1))</f>
        <v>247.65126267995316</v>
      </c>
      <c r="AO7" s="60">
        <f t="shared" si="36"/>
        <v>149.27472147904314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2.1413507656762891</v>
      </c>
      <c r="BF7" s="14">
        <f t="shared" si="37"/>
        <v>0.9031249003236328</v>
      </c>
      <c r="BG7" s="22">
        <f t="shared" si="7"/>
        <v>5.3024617849498643</v>
      </c>
      <c r="BH7" s="60">
        <f t="shared" si="8"/>
        <v>298.63579511828317</v>
      </c>
      <c r="BI7" s="60">
        <f ca="1">AVERAGE(OFFSET($BH$3,0,0,'Données projet'!$E$11+1,1))-AVERAGE(OFFSET($H$3,0,0,'Données projet'!$E$11+1,1))</f>
        <v>294.2815419338562</v>
      </c>
      <c r="BJ7" s="60">
        <f t="shared" si="38"/>
        <v>173.99850582760712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0.76190476190476186</v>
      </c>
      <c r="BY7" s="13">
        <f>IF('Données projet'!$A$114&gt;35,BY6+BX7-CG6,IF(A7&lt;'Données projet'!$A$114,$BV$205^A7,IF(A7='Données projet'!$A$114,'Données projet'!$B$114,BY6+BX7-CG6)))</f>
        <v>3.0476190476190474</v>
      </c>
      <c r="BZ7" s="14">
        <f>BY7*VLOOKUP('Données projet'!$B$12,Paramètres!$A$1:$I$89,3,0)*VLOOKUP('Données projet'!$B$12,Paramètres!$A$1:$I$89,5,0)</f>
        <v>2.6148571428571432</v>
      </c>
      <c r="CA7" s="14">
        <f t="shared" si="39"/>
        <v>1.077479679928748</v>
      </c>
      <c r="CB7" s="22">
        <f t="shared" si="10"/>
        <v>6.4308199663520931</v>
      </c>
      <c r="CC7" s="60">
        <f t="shared" si="11"/>
        <v>299.7641532996854</v>
      </c>
      <c r="CD7" s="60">
        <f ca="1">AVERAGE(OFFSET($CC$3,0,0,'Données projet'!$E$12+1,1))-AVERAGE(OFFSET($H$3,0,0,'Données projet'!$E$12+1,1))</f>
        <v>317.48648551307656</v>
      </c>
      <c r="CE7" s="60">
        <f t="shared" si="40"/>
        <v>133.09277301479563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0">
        <f t="shared" si="14"/>
        <v>298.50336976728875</v>
      </c>
      <c r="CY7" s="60">
        <f ca="1">AVERAGE(OFFSET($CX$3,0,0,'Données projet'!$E$13+1,1))-AVERAGE(OFFSET($H$3,0,0,'Données projet'!$E$13+1,1))</f>
        <v>194.42056369374041</v>
      </c>
      <c r="CZ7" s="60">
        <f t="shared" si="42"/>
        <v>185.75045299455371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2.042519191875845</v>
      </c>
      <c r="DQ7" s="14">
        <f t="shared" si="43"/>
        <v>0.86619340226463792</v>
      </c>
      <c r="DR7" s="22">
        <f t="shared" si="16"/>
        <v>5.0660077681280073</v>
      </c>
      <c r="DS7" s="60">
        <f t="shared" si="17"/>
        <v>298.39934110146135</v>
      </c>
      <c r="DT7" s="60">
        <f ca="1">AVERAGE(OFFSET($DS$3,0,0,'Données projet'!$E$14+1,1))-AVERAGE(OFFSET($H$3,0,0,'Données projet'!$E$14+1,1))</f>
        <v>274.31056057602081</v>
      </c>
      <c r="DU7" s="60">
        <f t="shared" si="44"/>
        <v>163.41029152029387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2.0940170940170941</v>
      </c>
      <c r="EJ7" s="13">
        <f>IF('Données projet'!$A$192&gt;35,EJ6+EI7-ER6,IF(A7&lt;'Données projet'!$A$192,$EG$205^A7,IF(A7='Données projet'!$A$192,'Données projet'!$B$192,EJ6+EI7-ER6)))</f>
        <v>2.5073736744273876</v>
      </c>
      <c r="EK7" s="18">
        <f>EJ7*VLOOKUP('Données projet'!$B$15,Paramètres!$A$1:$I$89,3,0)*VLOOKUP('Données projet'!$B$15,Paramètres!$A$1:$I$89,5,0)</f>
        <v>1.6819462608058917</v>
      </c>
      <c r="EL7" s="14">
        <f t="shared" si="45"/>
        <v>0.72959130621706658</v>
      </c>
      <c r="EM7" s="22">
        <f t="shared" si="19"/>
        <v>4.2000945958983191</v>
      </c>
      <c r="EN7" s="60">
        <f t="shared" si="20"/>
        <v>297.53342792923161</v>
      </c>
      <c r="EO7" s="60">
        <f ca="1">AVERAGE(OFFSET($EN$3,0,0,'Données projet'!$E$15+1,1))-AVERAGE(OFFSET($H$3,0,0,'Données projet'!$E$15+1,1))</f>
        <v>120.18668518376586</v>
      </c>
      <c r="EP7" s="60">
        <f t="shared" si="46"/>
        <v>110.24821114898037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8">
        <f t="shared" si="1"/>
        <v>304.07638038697939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3.4358974358974361</v>
      </c>
      <c r="N8" s="14">
        <f>IF('Données projet'!$A$36&gt;35,N7+M8-V7,IF(A8&lt;'Données projet'!$A$36,$K$205^A8,IF(A8='Données projet'!$A$36,'Données projet'!$B$36,N7+M8-V7)))</f>
        <v>2.1653440338365213</v>
      </c>
      <c r="O8" s="14">
        <f>N8*VLOOKUP('Données projet'!$B$9,Paramètres!$A$1:$I$89,3,0)*VLOOKUP('Données projet'!$B$9,Paramètres!$A$1:$I$89,5,0)</f>
        <v>1.0133810078354919</v>
      </c>
      <c r="P8" s="14">
        <f t="shared" si="33"/>
        <v>0.46628653692783789</v>
      </c>
      <c r="Q8" s="22">
        <f t="shared" si="2"/>
        <v>2.5770876404627994</v>
      </c>
      <c r="R8" s="60">
        <f t="shared" si="0"/>
        <v>295.91042097379614</v>
      </c>
      <c r="S8" s="60">
        <f ca="1">AVERAGE(OFFSET($R$3,0,0,'Données projet'!$E$9+1,1))-AVERAGE(OFFSET($H$3,0,0,'Données projet'!$E$9+1,1))</f>
        <v>106.50743833854523</v>
      </c>
      <c r="T8" s="60">
        <f t="shared" si="34"/>
        <v>47.606751325129608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0">
        <f t="shared" si="5"/>
        <v>299.02270258510697</v>
      </c>
      <c r="AN8" s="60">
        <f ca="1">AVERAGE(OFFSET($AM$3,0,0,'Données projet'!$E$10+1,1))-AVERAGE(OFFSET($H$3,0,0,'Données projet'!$E$10+1,1))</f>
        <v>247.65126267995316</v>
      </c>
      <c r="AO8" s="60">
        <f t="shared" si="36"/>
        <v>149.27472147904314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2.5813701135521372</v>
      </c>
      <c r="BF8" s="14">
        <f t="shared" si="37"/>
        <v>1.0652780295337991</v>
      </c>
      <c r="BG8" s="22">
        <f t="shared" si="7"/>
        <v>6.3512455158746723</v>
      </c>
      <c r="BH8" s="60">
        <f t="shared" si="8"/>
        <v>299.68457884920798</v>
      </c>
      <c r="BI8" s="60">
        <f ca="1">AVERAGE(OFFSET($BH$3,0,0,'Données projet'!$E$11+1,1))-AVERAGE(OFFSET($H$3,0,0,'Données projet'!$E$11+1,1))</f>
        <v>294.2815419338562</v>
      </c>
      <c r="BJ8" s="60">
        <f t="shared" si="38"/>
        <v>173.99850582760712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0.76190476190476186</v>
      </c>
      <c r="BY8" s="13">
        <f>IF('Données projet'!$A$114&gt;35,BY7+BX8-CG7,IF(A8&lt;'Données projet'!$A$114,$BV$205^A8,IF(A8='Données projet'!$A$114,'Données projet'!$B$114,BY7+BX8-CG7)))</f>
        <v>3.8095238095238093</v>
      </c>
      <c r="BZ8" s="14">
        <f>BY8*VLOOKUP('Données projet'!$B$12,Paramètres!$A$1:$I$89,3,0)*VLOOKUP('Données projet'!$B$12,Paramètres!$A$1:$I$89,5,0)</f>
        <v>3.2685714285714287</v>
      </c>
      <c r="CA8" s="14">
        <f t="shared" si="39"/>
        <v>1.312317064347138</v>
      </c>
      <c r="CB8" s="22">
        <f t="shared" si="10"/>
        <v>7.9783807918331702</v>
      </c>
      <c r="CC8" s="60">
        <f t="shared" si="11"/>
        <v>301.31171412516647</v>
      </c>
      <c r="CD8" s="60">
        <f ca="1">AVERAGE(OFFSET($CC$3,0,0,'Données projet'!$E$12+1,1))-AVERAGE(OFFSET($H$3,0,0,'Données projet'!$E$12+1,1))</f>
        <v>317.48648551307656</v>
      </c>
      <c r="CE8" s="60">
        <f t="shared" si="40"/>
        <v>133.09277301479563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0">
        <f t="shared" si="14"/>
        <v>299.88933181485606</v>
      </c>
      <c r="CY8" s="60">
        <f ca="1">AVERAGE(OFFSET($CX$3,0,0,'Données projet'!$E$13+1,1))-AVERAGE(OFFSET($H$3,0,0,'Données projet'!$E$13+1,1))</f>
        <v>194.42056369374041</v>
      </c>
      <c r="CZ8" s="60">
        <f t="shared" si="42"/>
        <v>185.75045299455371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2.4622299544651152</v>
      </c>
      <c r="DQ8" s="14">
        <f t="shared" si="43"/>
        <v>1.021715601495419</v>
      </c>
      <c r="DR8" s="22">
        <f t="shared" si="16"/>
        <v>6.0678718432979295</v>
      </c>
      <c r="DS8" s="60">
        <f t="shared" si="17"/>
        <v>299.40120517663127</v>
      </c>
      <c r="DT8" s="60">
        <f ca="1">AVERAGE(OFFSET($DS$3,0,0,'Données projet'!$E$14+1,1))-AVERAGE(OFFSET($H$3,0,0,'Données projet'!$E$14+1,1))</f>
        <v>274.31056057602081</v>
      </c>
      <c r="DU8" s="60">
        <f t="shared" si="44"/>
        <v>163.41029152029387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2.0940170940170941</v>
      </c>
      <c r="EJ8" s="13">
        <f>IF('Données projet'!$A$192&gt;35,EJ7+EI8-ER7,IF(A8&lt;'Données projet'!$A$192,$EG$205^A8,IF(A8='Données projet'!$A$192,'Données projet'!$B$192,EJ7+EI8-ER7)))</f>
        <v>3.1551777249667929</v>
      </c>
      <c r="EK8" s="18">
        <f>EJ8*VLOOKUP('Données projet'!$B$15,Paramètres!$A$1:$I$89,3,0)*VLOOKUP('Données projet'!$B$15,Paramètres!$A$1:$I$89,5,0)</f>
        <v>2.1164932179077245</v>
      </c>
      <c r="EL8" s="14">
        <f t="shared" si="45"/>
        <v>0.8938551383919876</v>
      </c>
      <c r="EM8" s="22">
        <f t="shared" si="19"/>
        <v>5.2430233872219976</v>
      </c>
      <c r="EN8" s="60">
        <f t="shared" si="20"/>
        <v>298.57635672055534</v>
      </c>
      <c r="EO8" s="60">
        <f ca="1">AVERAGE(OFFSET($EN$3,0,0,'Données projet'!$E$15+1,1))-AVERAGE(OFFSET($H$3,0,0,'Données projet'!$E$15+1,1))</f>
        <v>120.18668518376586</v>
      </c>
      <c r="EP8" s="60">
        <f t="shared" si="46"/>
        <v>110.24821114898037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8">
        <f t="shared" si="1"/>
        <v>306.1494049109736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3.4358974358974361</v>
      </c>
      <c r="N9" s="14">
        <f>IF('Données projet'!$A$36&gt;35,N8+M9-V8,IF(A9&lt;'Données projet'!$A$36,$K$205^A9,IF(A9='Données projet'!$A$36,'Données projet'!$B$36,N8+M9-V8)))</f>
        <v>2.5271573831519722</v>
      </c>
      <c r="O9" s="14">
        <f>N9*VLOOKUP('Données projet'!$B$9,Paramètres!$A$1:$I$89,3,0)*VLOOKUP('Données projet'!$B$9,Paramètres!$A$1:$I$89,5,0)</f>
        <v>1.1827096553151231</v>
      </c>
      <c r="P9" s="14">
        <f t="shared" si="33"/>
        <v>0.53449936229478223</v>
      </c>
      <c r="Q9" s="22">
        <f t="shared" si="2"/>
        <v>2.990805705670585</v>
      </c>
      <c r="R9" s="60">
        <f t="shared" si="0"/>
        <v>296.32413903900391</v>
      </c>
      <c r="S9" s="60">
        <f ca="1">AVERAGE(OFFSET($R$3,0,0,'Données projet'!$E$9+1,1))-AVERAGE(OFFSET($H$3,0,0,'Données projet'!$E$9+1,1))</f>
        <v>106.50743833854523</v>
      </c>
      <c r="T9" s="60">
        <f t="shared" si="34"/>
        <v>47.606751325129608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0">
        <f t="shared" si="5"/>
        <v>300.14827444069743</v>
      </c>
      <c r="AN9" s="60">
        <f ca="1">AVERAGE(OFFSET($AM$3,0,0,'Données projet'!$E$10+1,1))-AVERAGE(OFFSET($H$3,0,0,'Données projet'!$E$10+1,1))</f>
        <v>247.65126267995316</v>
      </c>
      <c r="AO9" s="60">
        <f t="shared" si="36"/>
        <v>149.27472147904314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3.111807635605039</v>
      </c>
      <c r="BF9" s="14">
        <f t="shared" si="37"/>
        <v>1.2565452240335246</v>
      </c>
      <c r="BG9" s="22">
        <f t="shared" si="7"/>
        <v>7.6082145638704972</v>
      </c>
      <c r="BH9" s="60">
        <f t="shared" si="8"/>
        <v>300.9415478972038</v>
      </c>
      <c r="BI9" s="60">
        <f ca="1">AVERAGE(OFFSET($BH$3,0,0,'Données projet'!$E$11+1,1))-AVERAGE(OFFSET($H$3,0,0,'Données projet'!$E$11+1,1))</f>
        <v>294.2815419338562</v>
      </c>
      <c r="BJ9" s="60">
        <f t="shared" si="38"/>
        <v>173.99850582760712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0.76190476190476186</v>
      </c>
      <c r="BY9" s="13">
        <f>IF('Données projet'!$A$114&gt;35,BY8+BX9-CG8,IF(A9&lt;'Données projet'!$A$114,$BV$205^A9,IF(A9='Données projet'!$A$114,'Données projet'!$B$114,BY8+BX9-CG8)))</f>
        <v>4.5714285714285712</v>
      </c>
      <c r="BZ9" s="14">
        <f>BY9*VLOOKUP('Données projet'!$B$12,Paramètres!$A$1:$I$89,3,0)*VLOOKUP('Données projet'!$B$12,Paramètres!$A$1:$I$89,5,0)</f>
        <v>3.9222857142857142</v>
      </c>
      <c r="CA9" s="14">
        <f t="shared" si="39"/>
        <v>1.5417122567538963</v>
      </c>
      <c r="CB9" s="22">
        <f t="shared" si="10"/>
        <v>9.516463132893989</v>
      </c>
      <c r="CC9" s="60">
        <f t="shared" si="11"/>
        <v>302.8497964662273</v>
      </c>
      <c r="CD9" s="60">
        <f ca="1">AVERAGE(OFFSET($CC$3,0,0,'Données projet'!$E$12+1,1))-AVERAGE(OFFSET($H$3,0,0,'Données projet'!$E$12+1,1))</f>
        <v>317.48648551307656</v>
      </c>
      <c r="CE9" s="60">
        <f t="shared" si="40"/>
        <v>133.09277301479563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0">
        <f t="shared" si="14"/>
        <v>301.64824341856627</v>
      </c>
      <c r="CY9" s="60">
        <f ca="1">AVERAGE(OFFSET($CX$3,0,0,'Données projet'!$E$13+1,1))-AVERAGE(OFFSET($H$3,0,0,'Données projet'!$E$13+1,1))</f>
        <v>194.42056369374041</v>
      </c>
      <c r="CZ9" s="60">
        <f t="shared" si="42"/>
        <v>185.75045299455371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2.9681857447309605</v>
      </c>
      <c r="DQ9" s="14">
        <f t="shared" si="43"/>
        <v>1.2051613041728233</v>
      </c>
      <c r="DR9" s="22">
        <f t="shared" si="16"/>
        <v>7.2685794435074236</v>
      </c>
      <c r="DS9" s="60">
        <f t="shared" si="17"/>
        <v>300.60191277684072</v>
      </c>
      <c r="DT9" s="60">
        <f ca="1">AVERAGE(OFFSET($DS$3,0,0,'Données projet'!$E$14+1,1))-AVERAGE(OFFSET($H$3,0,0,'Données projet'!$E$14+1,1))</f>
        <v>274.31056057602081</v>
      </c>
      <c r="DU9" s="60">
        <f t="shared" si="44"/>
        <v>163.41029152029387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2.0940170940170941</v>
      </c>
      <c r="EJ9" s="13">
        <f>IF('Données projet'!$A$192&gt;35,EJ8+EI9-ER8,IF(A9&lt;'Données projet'!$A$192,$EG$205^A9,IF(A9='Données projet'!$A$192,'Données projet'!$B$192,EJ8+EI9-ER8)))</f>
        <v>3.9703481685473538</v>
      </c>
      <c r="EK9" s="18">
        <f>EJ9*VLOOKUP('Données projet'!$B$15,Paramètres!$A$1:$I$89,3,0)*VLOOKUP('Données projet'!$B$15,Paramètres!$A$1:$I$89,5,0)</f>
        <v>2.6633095514615648</v>
      </c>
      <c r="EL9" s="14">
        <f t="shared" si="45"/>
        <v>1.0951021505073271</v>
      </c>
      <c r="EM9" s="22">
        <f t="shared" si="19"/>
        <v>6.5459003809291518</v>
      </c>
      <c r="EN9" s="60">
        <f t="shared" si="20"/>
        <v>299.87923371426245</v>
      </c>
      <c r="EO9" s="60">
        <f ca="1">AVERAGE(OFFSET($EN$3,0,0,'Données projet'!$E$15+1,1))-AVERAGE(OFFSET($H$3,0,0,'Données projet'!$E$15+1,1))</f>
        <v>120.18668518376586</v>
      </c>
      <c r="EP9" s="60">
        <f t="shared" si="46"/>
        <v>110.24821114898037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8">
        <f t="shared" si="1"/>
        <v>308.2123059280633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3.4358974358974361</v>
      </c>
      <c r="N10" s="14">
        <f>IF('Données projet'!$A$36&gt;35,N9+M10-V9,IF(A10&lt;'Données projet'!$A$36,$K$205^A10,IF(A10='Données projet'!$A$36,'Données projet'!$B$36,N9+M10-V9)))</f>
        <v>2.9494271300177566</v>
      </c>
      <c r="O10" s="14">
        <f>N10*VLOOKUP('Données projet'!$B$9,Paramètres!$A$1:$I$89,3,0)*VLOOKUP('Données projet'!$B$9,Paramètres!$A$1:$I$89,5,0)</f>
        <v>1.38033189684831</v>
      </c>
      <c r="P10" s="14">
        <f t="shared" si="33"/>
        <v>0.6126910079279041</v>
      </c>
      <c r="Q10" s="22">
        <f t="shared" si="2"/>
        <v>3.4711815591519066</v>
      </c>
      <c r="R10" s="60">
        <f t="shared" si="0"/>
        <v>296.8045148924852</v>
      </c>
      <c r="S10" s="60">
        <f ca="1">AVERAGE(OFFSET($R$3,0,0,'Données projet'!$E$9+1,1))-AVERAGE(OFFSET($H$3,0,0,'Données projet'!$E$9+1,1))</f>
        <v>106.50743833854523</v>
      </c>
      <c r="T10" s="60">
        <f t="shared" si="34"/>
        <v>47.606751325129608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0">
        <f t="shared" si="5"/>
        <v>301.49732286519185</v>
      </c>
      <c r="AN10" s="60">
        <f ca="1">AVERAGE(OFFSET($AM$3,0,0,'Données projet'!$E$10+1,1))-AVERAGE(OFFSET($H$3,0,0,'Données projet'!$E$10+1,1))</f>
        <v>247.65126267995316</v>
      </c>
      <c r="AO10" s="60">
        <f t="shared" si="36"/>
        <v>149.27472147904314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3.7512430744326299</v>
      </c>
      <c r="BF10" s="14">
        <f t="shared" si="37"/>
        <v>1.4821538192545303</v>
      </c>
      <c r="BG10" s="22">
        <f t="shared" si="7"/>
        <v>9.1148329231718037</v>
      </c>
      <c r="BH10" s="60">
        <f t="shared" si="8"/>
        <v>302.44816625650515</v>
      </c>
      <c r="BI10" s="60">
        <f ca="1">AVERAGE(OFFSET($BH$3,0,0,'Données projet'!$E$11+1,1))-AVERAGE(OFFSET($H$3,0,0,'Données projet'!$E$11+1,1))</f>
        <v>294.2815419338562</v>
      </c>
      <c r="BJ10" s="60">
        <f t="shared" si="38"/>
        <v>173.99850582760712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0.76190476190476186</v>
      </c>
      <c r="BY10" s="13">
        <f>IF('Données projet'!$A$114&gt;35,BY9+BX10-CG9,IF(A10&lt;'Données projet'!$A$114,$BV$205^A10,IF(A10='Données projet'!$A$114,'Données projet'!$B$114,BY9+BX10-CG9)))</f>
        <v>5.333333333333333</v>
      </c>
      <c r="BZ10" s="14">
        <f>BY10*VLOOKUP('Données projet'!$B$12,Paramètres!$A$1:$I$89,3,0)*VLOOKUP('Données projet'!$B$12,Paramètres!$A$1:$I$89,5,0)</f>
        <v>4.5760000000000005</v>
      </c>
      <c r="CA10" s="14">
        <f t="shared" si="39"/>
        <v>1.766678437322019</v>
      </c>
      <c r="CB10" s="22">
        <f t="shared" si="10"/>
        <v>11.046831611669184</v>
      </c>
      <c r="CC10" s="60">
        <f t="shared" si="11"/>
        <v>304.38016494500249</v>
      </c>
      <c r="CD10" s="60">
        <f ca="1">AVERAGE(OFFSET($CC$3,0,0,'Données projet'!$E$12+1,1))-AVERAGE(OFFSET($H$3,0,0,'Données projet'!$E$12+1,1))</f>
        <v>317.48648551307656</v>
      </c>
      <c r="CE10" s="60">
        <f t="shared" si="40"/>
        <v>133.09277301479563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0">
        <f t="shared" si="14"/>
        <v>303.88081691020608</v>
      </c>
      <c r="CY10" s="60">
        <f ca="1">AVERAGE(OFFSET($CX$3,0,0,'Données projet'!$E$13+1,1))-AVERAGE(OFFSET($H$3,0,0,'Données projet'!$E$13+1,1))</f>
        <v>194.42056369374041</v>
      </c>
      <c r="CZ10" s="60">
        <f t="shared" si="42"/>
        <v>185.75045299455371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3.5781087786895851</v>
      </c>
      <c r="DQ10" s="14">
        <f t="shared" si="43"/>
        <v>1.4215440842341414</v>
      </c>
      <c r="DR10" s="22">
        <f t="shared" si="16"/>
        <v>8.707728736258824</v>
      </c>
      <c r="DS10" s="60">
        <f t="shared" si="17"/>
        <v>302.04106206959216</v>
      </c>
      <c r="DT10" s="60">
        <f ca="1">AVERAGE(OFFSET($DS$3,0,0,'Données projet'!$E$14+1,1))-AVERAGE(OFFSET($H$3,0,0,'Données projet'!$E$14+1,1))</f>
        <v>274.31056057602081</v>
      </c>
      <c r="DU10" s="60">
        <f t="shared" si="44"/>
        <v>163.41029152029387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2.0940170940170941</v>
      </c>
      <c r="EJ10" s="13">
        <f>IF('Données projet'!$A$192&gt;35,EJ9+EI10-ER9,IF(A10&lt;'Données projet'!$A$192,$EG$205^A10,IF(A10='Données projet'!$A$192,'Données projet'!$B$192,EJ9+EI10-ER9)))</f>
        <v>4.9961257189254642</v>
      </c>
      <c r="EK10" s="18">
        <f>EJ10*VLOOKUP('Données projet'!$B$15,Paramètres!$A$1:$I$89,3,0)*VLOOKUP('Données projet'!$B$15,Paramètres!$A$1:$I$89,5,0)</f>
        <v>3.3514011322552011</v>
      </c>
      <c r="EL10" s="14">
        <f t="shared" si="45"/>
        <v>1.3416589204859044</v>
      </c>
      <c r="EM10" s="22">
        <f t="shared" si="19"/>
        <v>8.1737462585240923</v>
      </c>
      <c r="EN10" s="60">
        <f t="shared" si="20"/>
        <v>301.5070795918574</v>
      </c>
      <c r="EO10" s="60">
        <f ca="1">AVERAGE(OFFSET($EN$3,0,0,'Données projet'!$E$15+1,1))-AVERAGE(OFFSET($H$3,0,0,'Données projet'!$E$15+1,1))</f>
        <v>120.18668518376586</v>
      </c>
      <c r="EP10" s="60">
        <f t="shared" si="46"/>
        <v>110.24821114898037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8">
        <f t="shared" si="1"/>
        <v>310.26669652068324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3.4358974358974361</v>
      </c>
      <c r="N11" s="14">
        <f>IF('Données projet'!$A$36&gt;35,N10+M11-V10,IF(A11&lt;'Données projet'!$A$36,$K$205^A11,IF(A11='Données projet'!$A$36,'Données projet'!$B$36,N10+M11-V10)))</f>
        <v>3.4422551018310097</v>
      </c>
      <c r="O11" s="14">
        <f>N11*VLOOKUP('Données projet'!$B$9,Paramètres!$A$1:$I$89,3,0)*VLOOKUP('Données projet'!$B$9,Paramètres!$A$1:$I$89,5,0)</f>
        <v>1.6109753876569124</v>
      </c>
      <c r="P11" s="14">
        <f t="shared" si="33"/>
        <v>0.70232127047642601</v>
      </c>
      <c r="Q11" s="22">
        <f t="shared" si="2"/>
        <v>4.0289916795822309</v>
      </c>
      <c r="R11" s="60">
        <f t="shared" si="0"/>
        <v>297.36232501291556</v>
      </c>
      <c r="S11" s="60">
        <f ca="1">AVERAGE(OFFSET($R$3,0,0,'Données projet'!$E$9+1,1))-AVERAGE(OFFSET($H$3,0,0,'Données projet'!$E$9+1,1))</f>
        <v>106.50743833854523</v>
      </c>
      <c r="T11" s="60">
        <f t="shared" si="34"/>
        <v>47.606751325129608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0">
        <f t="shared" si="5"/>
        <v>303.11436643935451</v>
      </c>
      <c r="AN11" s="60">
        <f ca="1">AVERAGE(OFFSET($AM$3,0,0,'Données projet'!$E$10+1,1))-AVERAGE(OFFSET($H$3,0,0,'Données projet'!$E$10+1,1))</f>
        <v>247.65126267995316</v>
      </c>
      <c r="AO11" s="60">
        <f t="shared" si="36"/>
        <v>149.27472147904314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4.5220740647558486</v>
      </c>
      <c r="BF11" s="14">
        <f t="shared" si="37"/>
        <v>1.7482697016499746</v>
      </c>
      <c r="BG11" s="22">
        <f t="shared" si="7"/>
        <v>10.92084872649014</v>
      </c>
      <c r="BH11" s="60">
        <f t="shared" si="8"/>
        <v>304.25418205982345</v>
      </c>
      <c r="BI11" s="60">
        <f ca="1">AVERAGE(OFFSET($BH$3,0,0,'Données projet'!$E$11+1,1))-AVERAGE(OFFSET($H$3,0,0,'Données projet'!$E$11+1,1))</f>
        <v>294.2815419338562</v>
      </c>
      <c r="BJ11" s="60">
        <f t="shared" si="38"/>
        <v>173.99850582760712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0.76190476190476186</v>
      </c>
      <c r="BY11" s="13">
        <f>IF('Données projet'!$A$114&gt;35,BY10+BX11-CG10,IF(A11&lt;'Données projet'!$A$114,$BV$205^A11,IF(A11='Données projet'!$A$114,'Données projet'!$B$114,BY10+BX11-CG10)))</f>
        <v>6.0952380952380949</v>
      </c>
      <c r="BZ11" s="14">
        <f>BY11*VLOOKUP('Données projet'!$B$12,Paramètres!$A$1:$I$89,3,0)*VLOOKUP('Données projet'!$B$12,Paramètres!$A$1:$I$89,5,0)</f>
        <v>5.2297142857142864</v>
      </c>
      <c r="CA11" s="14">
        <f t="shared" si="39"/>
        <v>1.9879213260423256</v>
      </c>
      <c r="CB11" s="22">
        <f t="shared" si="10"/>
        <v>12.570715357142765</v>
      </c>
      <c r="CC11" s="60">
        <f t="shared" si="11"/>
        <v>305.90404869047609</v>
      </c>
      <c r="CD11" s="60">
        <f ca="1">AVERAGE(OFFSET($CC$3,0,0,'Données projet'!$E$12+1,1))-AVERAGE(OFFSET($H$3,0,0,'Données projet'!$E$12+1,1))</f>
        <v>317.48648551307656</v>
      </c>
      <c r="CE11" s="60">
        <f t="shared" si="40"/>
        <v>133.09277301479563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0">
        <f t="shared" si="14"/>
        <v>306.71505054813269</v>
      </c>
      <c r="CY11" s="60">
        <f ca="1">AVERAGE(OFFSET($CX$3,0,0,'Données projet'!$E$13+1,1))-AVERAGE(OFFSET($H$3,0,0,'Données projet'!$E$13+1,1))</f>
        <v>194.42056369374041</v>
      </c>
      <c r="CZ11" s="60">
        <f t="shared" si="42"/>
        <v>185.75045299455371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4.3133629540748091</v>
      </c>
      <c r="DQ11" s="14">
        <f t="shared" si="43"/>
        <v>1.6767776864592203</v>
      </c>
      <c r="DR11" s="22">
        <f t="shared" si="16"/>
        <v>10.432828282263435</v>
      </c>
      <c r="DS11" s="60">
        <f t="shared" si="17"/>
        <v>303.76616161559673</v>
      </c>
      <c r="DT11" s="60">
        <f ca="1">AVERAGE(OFFSET($DS$3,0,0,'Données projet'!$E$14+1,1))-AVERAGE(OFFSET($H$3,0,0,'Données projet'!$E$14+1,1))</f>
        <v>274.31056057602081</v>
      </c>
      <c r="DU11" s="60">
        <f t="shared" si="44"/>
        <v>163.41029152029387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2.0940170940170941</v>
      </c>
      <c r="EJ11" s="13">
        <f>IF('Données projet'!$A$192&gt;35,EJ10+EI11-ER10,IF(A11&lt;'Données projet'!$A$192,$EG$205^A11,IF(A11='Données projet'!$A$192,'Données projet'!$B$192,EJ10+EI11-ER10)))</f>
        <v>6.2869227432114991</v>
      </c>
      <c r="EK11" s="18">
        <f>EJ11*VLOOKUP('Données projet'!$B$15,Paramètres!$A$1:$I$89,3,0)*VLOOKUP('Données projet'!$B$15,Paramètres!$A$1:$I$89,5,0)</f>
        <v>4.217267776146274</v>
      </c>
      <c r="EL11" s="14">
        <f t="shared" si="45"/>
        <v>1.6437267136088582</v>
      </c>
      <c r="EM11" s="22">
        <f t="shared" si="19"/>
        <v>10.207898736323521</v>
      </c>
      <c r="EN11" s="60">
        <f t="shared" si="20"/>
        <v>303.54123206965681</v>
      </c>
      <c r="EO11" s="60">
        <f ca="1">AVERAGE(OFFSET($EN$3,0,0,'Données projet'!$E$15+1,1))-AVERAGE(OFFSET($H$3,0,0,'Données projet'!$E$15+1,1))</f>
        <v>120.18668518376586</v>
      </c>
      <c r="EP11" s="60">
        <f t="shared" si="46"/>
        <v>110.24821114898037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8">
        <f t="shared" si="1"/>
        <v>312.31376232494284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3.4358974358974361</v>
      </c>
      <c r="N12" s="14">
        <f>IF('Données projet'!$A$36&gt;35,N11+M12-V11,IF(A12&lt;'Données projet'!$A$36,$K$205^A12,IF(A12='Données projet'!$A$36,'Données projet'!$B$36,N11+M12-V11)))</f>
        <v>4.0174310683886194</v>
      </c>
      <c r="O12" s="14">
        <f>N12*VLOOKUP('Données projet'!$B$9,Paramètres!$A$1:$I$89,3,0)*VLOOKUP('Données projet'!$B$9,Paramètres!$A$1:$I$89,5,0)</f>
        <v>1.8801577400058738</v>
      </c>
      <c r="P12" s="14">
        <f t="shared" si="33"/>
        <v>0.80506349951468992</v>
      </c>
      <c r="Q12" s="22">
        <f t="shared" si="2"/>
        <v>4.6767603254983152</v>
      </c>
      <c r="R12" s="60">
        <f t="shared" si="0"/>
        <v>298.01009365883164</v>
      </c>
      <c r="S12" s="60">
        <f ca="1">AVERAGE(OFFSET($R$3,0,0,'Données projet'!$E$9+1,1))-AVERAGE(OFFSET($H$3,0,0,'Données projet'!$E$9+1,1))</f>
        <v>106.50743833854523</v>
      </c>
      <c r="T12" s="60">
        <f t="shared" si="34"/>
        <v>47.606751325129608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0">
        <f t="shared" si="5"/>
        <v>305.05281983783436</v>
      </c>
      <c r="AN12" s="60">
        <f ca="1">AVERAGE(OFFSET($AM$3,0,0,'Données projet'!$E$10+1,1))-AVERAGE(OFFSET($H$3,0,0,'Données projet'!$E$10+1,1))</f>
        <v>247.65126267995316</v>
      </c>
      <c r="AO12" s="60">
        <f t="shared" si="36"/>
        <v>149.27472147904314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5.4513006599100189</v>
      </c>
      <c r="BF12" s="14">
        <f t="shared" si="37"/>
        <v>2.062165822468125</v>
      </c>
      <c r="BG12" s="22">
        <f t="shared" si="7"/>
        <v>13.085954123475267</v>
      </c>
      <c r="BH12" s="60">
        <f t="shared" si="8"/>
        <v>306.4192874568086</v>
      </c>
      <c r="BI12" s="60">
        <f ca="1">AVERAGE(OFFSET($BH$3,0,0,'Données projet'!$E$11+1,1))-AVERAGE(OFFSET($H$3,0,0,'Données projet'!$E$11+1,1))</f>
        <v>294.2815419338562</v>
      </c>
      <c r="BJ12" s="60">
        <f t="shared" si="38"/>
        <v>173.99850582760712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0.76190476190476186</v>
      </c>
      <c r="BY12" s="13">
        <f>IF('Données projet'!$A$114&gt;35,BY11+BX12-CG11,IF(A12&lt;'Données projet'!$A$114,$BV$205^A12,IF(A12='Données projet'!$A$114,'Données projet'!$B$114,BY11+BX12-CG11)))</f>
        <v>6.8571428571428568</v>
      </c>
      <c r="BZ12" s="14">
        <f>BY12*VLOOKUP('Données projet'!$B$12,Paramètres!$A$1:$I$89,3,0)*VLOOKUP('Données projet'!$B$12,Paramètres!$A$1:$I$89,5,0)</f>
        <v>5.8834285714285715</v>
      </c>
      <c r="CA12" s="14">
        <f t="shared" si="39"/>
        <v>2.2059596360855473</v>
      </c>
      <c r="CB12" s="22">
        <f t="shared" si="10"/>
        <v>14.089017794753756</v>
      </c>
      <c r="CC12" s="60">
        <f t="shared" si="11"/>
        <v>307.42235112808709</v>
      </c>
      <c r="CD12" s="60">
        <f ca="1">AVERAGE(OFFSET($CC$3,0,0,'Données projet'!$E$12+1,1))-AVERAGE(OFFSET($H$3,0,0,'Données projet'!$E$12+1,1))</f>
        <v>317.48648551307656</v>
      </c>
      <c r="CE12" s="60">
        <f t="shared" si="40"/>
        <v>133.09277301479563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0">
        <f t="shared" si="14"/>
        <v>310.31364345073507</v>
      </c>
      <c r="CY12" s="60">
        <f ca="1">AVERAGE(OFFSET($CX$3,0,0,'Données projet'!$E$13+1,1))-AVERAGE(OFFSET($H$3,0,0,'Données projet'!$E$13+1,1))</f>
        <v>194.42056369374041</v>
      </c>
      <c r="CZ12" s="60">
        <f t="shared" si="42"/>
        <v>185.75045299455371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5.1997021679141717</v>
      </c>
      <c r="DQ12" s="14">
        <f t="shared" si="43"/>
        <v>1.977837649208241</v>
      </c>
      <c r="DR12" s="22">
        <f t="shared" si="16"/>
        <v>12.500881848154869</v>
      </c>
      <c r="DS12" s="60">
        <f t="shared" si="17"/>
        <v>305.83421518148816</v>
      </c>
      <c r="DT12" s="60">
        <f ca="1">AVERAGE(OFFSET($DS$3,0,0,'Données projet'!$E$14+1,1))-AVERAGE(OFFSET($H$3,0,0,'Données projet'!$E$14+1,1))</f>
        <v>274.31056057602081</v>
      </c>
      <c r="DU12" s="60">
        <f t="shared" si="44"/>
        <v>163.41029152029387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2.0940170940170941</v>
      </c>
      <c r="EJ12" s="13">
        <f>IF('Données projet'!$A$192&gt;35,EJ11+EI12-ER11,IF(A12&lt;'Données projet'!$A$192,$EG$205^A12,IF(A12='Données projet'!$A$192,'Données projet'!$B$192,EJ11+EI12-ER11)))</f>
        <v>7.9112095657214336</v>
      </c>
      <c r="EK12" s="18">
        <f>EJ12*VLOOKUP('Données projet'!$B$15,Paramètres!$A$1:$I$89,3,0)*VLOOKUP('Données projet'!$B$15,Paramètres!$A$1:$I$89,5,0)</f>
        <v>5.3068393766859385</v>
      </c>
      <c r="EL12" s="14">
        <f t="shared" si="45"/>
        <v>2.0138035589946082</v>
      </c>
      <c r="EM12" s="22">
        <f t="shared" si="19"/>
        <v>12.750119779643619</v>
      </c>
      <c r="EN12" s="60">
        <f t="shared" si="20"/>
        <v>306.08345311297694</v>
      </c>
      <c r="EO12" s="60">
        <f ca="1">AVERAGE(OFFSET($EN$3,0,0,'Données projet'!$E$15+1,1))-AVERAGE(OFFSET($H$3,0,0,'Données projet'!$E$15+1,1))</f>
        <v>120.18668518376586</v>
      </c>
      <c r="EP12" s="60">
        <f t="shared" si="46"/>
        <v>110.24821114898037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8">
        <f t="shared" si="1"/>
        <v>314.35441004548358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3.4358974358974361</v>
      </c>
      <c r="N13" s="14">
        <f>IF('Données projet'!$A$36&gt;35,N12+M13-V12,IF(A13&lt;'Données projet'!$A$36,$K$205^A13,IF(A13='Données projet'!$A$36,'Données projet'!$B$36,N12+M13-V12)))</f>
        <v>4.6887147848714186</v>
      </c>
      <c r="O13" s="14">
        <f>N13*VLOOKUP('Données projet'!$B$9,Paramètres!$A$1:$I$89,3,0)*VLOOKUP('Données projet'!$B$9,Paramètres!$A$1:$I$89,5,0)</f>
        <v>2.194318519319824</v>
      </c>
      <c r="P13" s="14">
        <f t="shared" si="33"/>
        <v>0.9228358380932653</v>
      </c>
      <c r="Q13" s="22">
        <f t="shared" si="2"/>
        <v>5.4290438391611309</v>
      </c>
      <c r="R13" s="60">
        <f t="shared" si="0"/>
        <v>298.76237717249444</v>
      </c>
      <c r="S13" s="60">
        <f ca="1">AVERAGE(OFFSET($R$3,0,0,'Données projet'!$E$9+1,1))-AVERAGE(OFFSET($H$3,0,0,'Données projet'!$E$9+1,1))</f>
        <v>106.50743833854523</v>
      </c>
      <c r="T13" s="60">
        <f t="shared" si="34"/>
        <v>47.606751325129608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0">
        <f t="shared" si="5"/>
        <v>307.37677663358653</v>
      </c>
      <c r="AN13" s="60">
        <f ca="1">AVERAGE(OFFSET($AM$3,0,0,'Données projet'!$E$10+1,1))-AVERAGE(OFFSET($H$3,0,0,'Données projet'!$E$10+1,1))</f>
        <v>247.65126267995316</v>
      </c>
      <c r="AO13" s="60">
        <f t="shared" si="36"/>
        <v>149.27472147904314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6.5714710681855761</v>
      </c>
      <c r="BF13" s="14">
        <f t="shared" si="37"/>
        <v>2.4324209676242781</v>
      </c>
      <c r="BG13" s="22">
        <f t="shared" si="7"/>
        <v>15.681778629035497</v>
      </c>
      <c r="BH13" s="60">
        <f t="shared" si="8"/>
        <v>309.01511196236879</v>
      </c>
      <c r="BI13" s="60">
        <f ca="1">AVERAGE(OFFSET($BH$3,0,0,'Données projet'!$E$11+1,1))-AVERAGE(OFFSET($H$3,0,0,'Données projet'!$E$11+1,1))</f>
        <v>294.2815419338562</v>
      </c>
      <c r="BJ13" s="60">
        <f t="shared" si="38"/>
        <v>173.99850582760712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0.76190476190476186</v>
      </c>
      <c r="BY13" s="13">
        <f>IF('Données projet'!$A$114&gt;35,BY12+BX13-CG12,IF(A13&lt;'Données projet'!$A$114,$BV$205^A13,IF(A13='Données projet'!$A$114,'Données projet'!$B$114,BY12+BX13-CG12)))</f>
        <v>7.6190476190476186</v>
      </c>
      <c r="BZ13" s="14">
        <f>BY13*VLOOKUP('Données projet'!$B$12,Paramètres!$A$1:$I$89,3,0)*VLOOKUP('Données projet'!$B$12,Paramètres!$A$1:$I$89,5,0)</f>
        <v>6.5371428571428574</v>
      </c>
      <c r="CA13" s="14">
        <f t="shared" si="39"/>
        <v>2.4211900487231914</v>
      </c>
      <c r="CB13" s="22">
        <f t="shared" si="10"/>
        <v>15.602429811050035</v>
      </c>
      <c r="CC13" s="60">
        <f t="shared" si="11"/>
        <v>308.93576314438337</v>
      </c>
      <c r="CD13" s="60">
        <f ca="1">AVERAGE(OFFSET($CC$3,0,0,'Données projet'!$E$12+1,1))-AVERAGE(OFFSET($H$3,0,0,'Données projet'!$E$12+1,1))</f>
        <v>317.48648551307656</v>
      </c>
      <c r="CE13" s="60">
        <f t="shared" si="40"/>
        <v>133.09277301479563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0">
        <f t="shared" si="14"/>
        <v>314.88343112207497</v>
      </c>
      <c r="CY13" s="60">
        <f ca="1">AVERAGE(OFFSET($CX$3,0,0,'Données projet'!$E$13+1,1))-AVERAGE(OFFSET($H$3,0,0,'Données projet'!$E$13+1,1))</f>
        <v>194.42056369374041</v>
      </c>
      <c r="CZ13" s="60">
        <f t="shared" si="42"/>
        <v>185.75045299455371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6.2681724035000874</v>
      </c>
      <c r="DQ13" s="14">
        <f t="shared" si="43"/>
        <v>2.3329519459947301</v>
      </c>
      <c r="DR13" s="22">
        <f t="shared" si="16"/>
        <v>14.98029157537014</v>
      </c>
      <c r="DS13" s="60">
        <f t="shared" si="17"/>
        <v>308.31362490870345</v>
      </c>
      <c r="DT13" s="60">
        <f ca="1">AVERAGE(OFFSET($DS$3,0,0,'Données projet'!$E$14+1,1))-AVERAGE(OFFSET($H$3,0,0,'Données projet'!$E$14+1,1))</f>
        <v>274.31056057602081</v>
      </c>
      <c r="DU13" s="60">
        <f t="shared" si="44"/>
        <v>163.41029152029387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2.0940170940170941</v>
      </c>
      <c r="EJ13" s="13">
        <f>IF('Données projet'!$A$192&gt;35,EJ12+EI13-ER12,IF(A13&lt;'Données projet'!$A$192,$EG$205^A13,IF(A13='Données projet'!$A$192,'Données projet'!$B$192,EJ12+EI13-ER12)))</f>
        <v>9.9551464761266271</v>
      </c>
      <c r="EK13" s="18">
        <f>EJ13*VLOOKUP('Données projet'!$B$15,Paramètres!$A$1:$I$89,3,0)*VLOOKUP('Données projet'!$B$15,Paramètres!$A$1:$I$89,5,0)</f>
        <v>6.677912256185742</v>
      </c>
      <c r="EL13" s="14">
        <f t="shared" si="45"/>
        <v>2.46720135448524</v>
      </c>
      <c r="EM13" s="22">
        <f t="shared" si="19"/>
        <v>15.927739538585294</v>
      </c>
      <c r="EN13" s="60">
        <f t="shared" si="20"/>
        <v>309.2610728719186</v>
      </c>
      <c r="EO13" s="60">
        <f ca="1">AVERAGE(OFFSET($EN$3,0,0,'Données projet'!$E$15+1,1))-AVERAGE(OFFSET($H$3,0,0,'Données projet'!$E$15+1,1))</f>
        <v>120.18668518376586</v>
      </c>
      <c r="EP13" s="60">
        <f t="shared" si="46"/>
        <v>110.24821114898037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8">
        <f t="shared" si="1"/>
        <v>316.3893545523037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3.4358974358974361</v>
      </c>
      <c r="N14" s="14">
        <f>IF('Données projet'!$A$36&gt;35,N13+M14-V13,IF(A14&lt;'Données projet'!$A$36,$K$205^A14,IF(A14='Données projet'!$A$36,'Données projet'!$B$36,N13+M14-V13)))</f>
        <v>5.472165162174039</v>
      </c>
      <c r="O14" s="14">
        <f>N14*VLOOKUP('Données projet'!$B$9,Paramètres!$A$1:$I$89,3,0)*VLOOKUP('Données projet'!$B$9,Paramètres!$A$1:$I$89,5,0)</f>
        <v>2.5609732958974503</v>
      </c>
      <c r="P14" s="14">
        <f t="shared" si="33"/>
        <v>1.0578370334547251</v>
      </c>
      <c r="Q14" s="22">
        <f t="shared" si="2"/>
        <v>6.3027613236217057</v>
      </c>
      <c r="R14" s="60">
        <f t="shared" si="0"/>
        <v>299.63609465695504</v>
      </c>
      <c r="S14" s="60">
        <f ca="1">AVERAGE(OFFSET($R$3,0,0,'Données projet'!$E$9+1,1))-AVERAGE(OFFSET($H$3,0,0,'Données projet'!$E$9+1,1))</f>
        <v>106.50743833854523</v>
      </c>
      <c r="T14" s="60">
        <f t="shared" si="34"/>
        <v>47.606751325129608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0">
        <f t="shared" si="5"/>
        <v>310.1631503249921</v>
      </c>
      <c r="AN14" s="60">
        <f ca="1">AVERAGE(OFFSET($AM$3,0,0,'Données projet'!$E$10+1,1))-AVERAGE(OFFSET($H$3,0,0,'Données projet'!$E$10+1,1))</f>
        <v>247.65126267995316</v>
      </c>
      <c r="AO14" s="60">
        <f t="shared" si="36"/>
        <v>149.27472147904314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7.921821725516951</v>
      </c>
      <c r="BF14" s="14">
        <f t="shared" si="37"/>
        <v>2.869154216054651</v>
      </c>
      <c r="BG14" s="22">
        <f t="shared" si="7"/>
        <v>18.794283098237205</v>
      </c>
      <c r="BH14" s="60">
        <f t="shared" si="8"/>
        <v>312.12761643157052</v>
      </c>
      <c r="BI14" s="60">
        <f ca="1">AVERAGE(OFFSET($BH$3,0,0,'Données projet'!$E$11+1,1))-AVERAGE(OFFSET($H$3,0,0,'Données projet'!$E$11+1,1))</f>
        <v>294.2815419338562</v>
      </c>
      <c r="BJ14" s="60">
        <f t="shared" si="38"/>
        <v>173.99850582760712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0.76190476190476186</v>
      </c>
      <c r="BY14" s="13">
        <f>IF('Données projet'!$A$114&gt;35,BY13+BX14-CG13,IF(A14&lt;'Données projet'!$A$114,$BV$205^A14,IF(A14='Données projet'!$A$114,'Données projet'!$B$114,BY13+BX14-CG13)))</f>
        <v>8.3809523809523796</v>
      </c>
      <c r="BZ14" s="14">
        <f>BY14*VLOOKUP('Données projet'!$B$12,Paramètres!$A$1:$I$89,3,0)*VLOOKUP('Données projet'!$B$12,Paramètres!$A$1:$I$89,5,0)</f>
        <v>7.1908571428571424</v>
      </c>
      <c r="CA14" s="14">
        <f t="shared" si="39"/>
        <v>2.6339253179954674</v>
      </c>
      <c r="CB14" s="22">
        <f t="shared" si="10"/>
        <v>17.111496119318296</v>
      </c>
      <c r="CC14" s="60">
        <f t="shared" si="11"/>
        <v>310.44482945265162</v>
      </c>
      <c r="CD14" s="60">
        <f ca="1">AVERAGE(OFFSET($CC$3,0,0,'Données projet'!$E$12+1,1))-AVERAGE(OFFSET($H$3,0,0,'Données projet'!$E$12+1,1))</f>
        <v>317.48648551307656</v>
      </c>
      <c r="CE14" s="60">
        <f t="shared" si="40"/>
        <v>133.09277301479563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0">
        <f t="shared" si="14"/>
        <v>320.68739357896709</v>
      </c>
      <c r="CY14" s="60">
        <f ca="1">AVERAGE(OFFSET($CX$3,0,0,'Données projet'!$E$13+1,1))-AVERAGE(OFFSET($H$3,0,0,'Données projet'!$E$13+1,1))</f>
        <v>194.42056369374041</v>
      </c>
      <c r="CZ14" s="60">
        <f t="shared" si="42"/>
        <v>185.75045299455371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7.5561991843392455</v>
      </c>
      <c r="DQ14" s="14">
        <f t="shared" si="43"/>
        <v>2.7518258561310041</v>
      </c>
      <c r="DR14" s="22">
        <f t="shared" si="16"/>
        <v>17.953143612152349</v>
      </c>
      <c r="DS14" s="60">
        <f t="shared" si="17"/>
        <v>311.28647694548567</v>
      </c>
      <c r="DT14" s="60">
        <f ca="1">AVERAGE(OFFSET($DS$3,0,0,'Données projet'!$E$14+1,1))-AVERAGE(OFFSET($H$3,0,0,'Données projet'!$E$14+1,1))</f>
        <v>274.31056057602081</v>
      </c>
      <c r="DU14" s="60">
        <f t="shared" si="44"/>
        <v>163.41029152029387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2.0940170940170941</v>
      </c>
      <c r="EJ14" s="13">
        <f>IF('Données projet'!$A$192&gt;35,EJ13+EI14-ER13,IF(A14&lt;'Données projet'!$A$192,$EG$205^A14,IF(A14='Données projet'!$A$192,'Données projet'!$B$192,EJ13+EI14-ER13)))</f>
        <v>12.527154101763314</v>
      </c>
      <c r="EK14" s="18">
        <f>EJ14*VLOOKUP('Données projet'!$B$15,Paramètres!$A$1:$I$89,3,0)*VLOOKUP('Données projet'!$B$15,Paramètres!$A$1:$I$89,5,0)</f>
        <v>8.4032149714628304</v>
      </c>
      <c r="EL14" s="14">
        <f t="shared" si="45"/>
        <v>3.0226793951108037</v>
      </c>
      <c r="EM14" s="22">
        <f t="shared" si="19"/>
        <v>19.900099355115746</v>
      </c>
      <c r="EN14" s="60">
        <f t="shared" si="20"/>
        <v>313.23343268844906</v>
      </c>
      <c r="EO14" s="60">
        <f ca="1">AVERAGE(OFFSET($EN$3,0,0,'Données projet'!$E$15+1,1))-AVERAGE(OFFSET($H$3,0,0,'Données projet'!$E$15+1,1))</f>
        <v>120.18668518376586</v>
      </c>
      <c r="EP14" s="60">
        <f t="shared" si="46"/>
        <v>110.24821114898037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8">
        <f t="shared" si="1"/>
        <v>318.4191732840215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3.4358974358974361</v>
      </c>
      <c r="N15" s="14">
        <f>IF('Données projet'!$A$36&gt;35,N14+M15-V14,IF(A15&lt;'Données projet'!$A$36,$K$205^A15,IF(A15='Données projet'!$A$36,'Données projet'!$B$36,N14+M15-V14)))</f>
        <v>6.3865244392195226</v>
      </c>
      <c r="O15" s="14">
        <f>N15*VLOOKUP('Données projet'!$B$9,Paramètres!$A$1:$I$89,3,0)*VLOOKUP('Données projet'!$B$9,Paramètres!$A$1:$I$89,5,0)</f>
        <v>2.9888934375547365</v>
      </c>
      <c r="P15" s="14">
        <f t="shared" si="33"/>
        <v>1.2125874864812094</v>
      </c>
      <c r="Q15" s="22">
        <f t="shared" si="2"/>
        <v>7.3175792760292708</v>
      </c>
      <c r="R15" s="60">
        <f t="shared" si="0"/>
        <v>300.65091260936259</v>
      </c>
      <c r="S15" s="60">
        <f ca="1">AVERAGE(OFFSET($R$3,0,0,'Données projet'!$E$9+1,1))-AVERAGE(OFFSET($H$3,0,0,'Données projet'!$E$9+1,1))</f>
        <v>106.50743833854523</v>
      </c>
      <c r="T15" s="60">
        <f t="shared" si="34"/>
        <v>47.606751325129608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0">
        <f t="shared" si="5"/>
        <v>313.50424573777804</v>
      </c>
      <c r="AN15" s="60">
        <f ca="1">AVERAGE(OFFSET($AM$3,0,0,'Données projet'!$E$10+1,1))-AVERAGE(OFFSET($H$3,0,0,'Données projet'!$E$10+1,1))</f>
        <v>247.65126267995316</v>
      </c>
      <c r="AO15" s="60">
        <f t="shared" si="36"/>
        <v>149.27472147904314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9.5496516380767513</v>
      </c>
      <c r="BF15" s="14">
        <f t="shared" si="37"/>
        <v>3.3843014943027487</v>
      </c>
      <c r="BG15" s="22">
        <f t="shared" si="7"/>
        <v>22.526635038894295</v>
      </c>
      <c r="BH15" s="60">
        <f t="shared" si="8"/>
        <v>315.85996837222763</v>
      </c>
      <c r="BI15" s="60">
        <f ca="1">AVERAGE(OFFSET($BH$3,0,0,'Données projet'!$E$11+1,1))-AVERAGE(OFFSET($H$3,0,0,'Données projet'!$E$11+1,1))</f>
        <v>294.2815419338562</v>
      </c>
      <c r="BJ15" s="60">
        <f t="shared" si="38"/>
        <v>173.99850582760712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0.76190476190476186</v>
      </c>
      <c r="BY15" s="13">
        <f>IF('Données projet'!$A$114&gt;35,BY14+BX15-CG14,IF(A15&lt;'Données projet'!$A$114,$BV$205^A15,IF(A15='Données projet'!$A$114,'Données projet'!$B$114,BY14+BX15-CG14)))</f>
        <v>9.1428571428571423</v>
      </c>
      <c r="BZ15" s="14">
        <f>BY15*VLOOKUP('Données projet'!$B$12,Paramètres!$A$1:$I$89,3,0)*VLOOKUP('Données projet'!$B$12,Paramètres!$A$1:$I$89,5,0)</f>
        <v>7.8445714285714283</v>
      </c>
      <c r="CA15" s="14">
        <f t="shared" si="39"/>
        <v>2.8444180720183807</v>
      </c>
      <c r="CB15" s="22">
        <f t="shared" si="10"/>
        <v>18.616656713527249</v>
      </c>
      <c r="CC15" s="60">
        <f t="shared" si="11"/>
        <v>311.94999004686053</v>
      </c>
      <c r="CD15" s="60">
        <f ca="1">AVERAGE(OFFSET($CC$3,0,0,'Données projet'!$E$12+1,1))-AVERAGE(OFFSET($H$3,0,0,'Données projet'!$E$12+1,1))</f>
        <v>317.48648551307656</v>
      </c>
      <c r="CE15" s="60">
        <f t="shared" si="40"/>
        <v>133.09277301479563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0">
        <f t="shared" si="14"/>
        <v>328.05993923876133</v>
      </c>
      <c r="CY15" s="60">
        <f ca="1">AVERAGE(OFFSET($CX$3,0,0,'Données projet'!$E$13+1,1))-AVERAGE(OFFSET($H$3,0,0,'Données projet'!$E$13+1,1))</f>
        <v>194.42056369374041</v>
      </c>
      <c r="CZ15" s="60">
        <f t="shared" si="42"/>
        <v>185.75045299455371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9.1088984855501316</v>
      </c>
      <c r="DQ15" s="14">
        <f t="shared" si="43"/>
        <v>3.2459072101643005</v>
      </c>
      <c r="DR15" s="22">
        <f t="shared" si="16"/>
        <v>21.517953253369303</v>
      </c>
      <c r="DS15" s="60">
        <f t="shared" si="17"/>
        <v>314.8512865867026</v>
      </c>
      <c r="DT15" s="60">
        <f ca="1">AVERAGE(OFFSET($DS$3,0,0,'Données projet'!$E$14+1,1))-AVERAGE(OFFSET($H$3,0,0,'Données projet'!$E$14+1,1))</f>
        <v>274.31056057602081</v>
      </c>
      <c r="DU15" s="60">
        <f t="shared" si="44"/>
        <v>163.41029152029387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2.0940170940170941</v>
      </c>
      <c r="EJ15" s="13">
        <f>IF('Données projet'!$A$192&gt;35,EJ14+EI15-ER14,IF(A15&lt;'Données projet'!$A$192,$EG$205^A15,IF(A15='Données projet'!$A$192,'Données projet'!$B$192,EJ14+EI15-ER14)))</f>
        <v>15.763664579487328</v>
      </c>
      <c r="EK15" s="18">
        <f>EJ15*VLOOKUP('Données projet'!$B$15,Paramètres!$A$1:$I$89,3,0)*VLOOKUP('Données projet'!$B$15,Paramètres!$A$1:$I$89,5,0)</f>
        <v>10.5742661999201</v>
      </c>
      <c r="EL15" s="14">
        <f t="shared" si="45"/>
        <v>3.7032205373175491</v>
      </c>
      <c r="EM15" s="22">
        <f t="shared" si="19"/>
        <v>24.86662273402224</v>
      </c>
      <c r="EN15" s="60">
        <f t="shared" si="20"/>
        <v>318.19995606735557</v>
      </c>
      <c r="EO15" s="60">
        <f ca="1">AVERAGE(OFFSET($EN$3,0,0,'Données projet'!$E$15+1,1))-AVERAGE(OFFSET($H$3,0,0,'Données projet'!$E$15+1,1))</f>
        <v>120.18668518376586</v>
      </c>
      <c r="EP15" s="60">
        <f t="shared" si="46"/>
        <v>110.24821114898037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8">
        <f t="shared" si="1"/>
        <v>320.4443419514879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3.4358974358974361</v>
      </c>
      <c r="N16" s="14">
        <f>IF('Données projet'!$A$36&gt;35,N15+M16-V15,IF(A16&lt;'Données projet'!$A$36,$K$205^A16,IF(A16='Données projet'!$A$36,'Données projet'!$B$36,N15+M16-V15)))</f>
        <v>7.4536665476931043</v>
      </c>
      <c r="O16" s="14">
        <f>N16*VLOOKUP('Données projet'!$B$9,Paramètres!$A$1:$I$89,3,0)*VLOOKUP('Données projet'!$B$9,Paramètres!$A$1:$I$89,5,0)</f>
        <v>3.4883159443203726</v>
      </c>
      <c r="P16" s="14">
        <f t="shared" si="33"/>
        <v>1.3899763062452366</v>
      </c>
      <c r="Q16" s="22">
        <f t="shared" si="2"/>
        <v>8.4963590030684362</v>
      </c>
      <c r="R16" s="60">
        <f t="shared" si="0"/>
        <v>301.82969233640176</v>
      </c>
      <c r="S16" s="60">
        <f ca="1">AVERAGE(OFFSET($R$3,0,0,'Données projet'!$E$9+1,1))-AVERAGE(OFFSET($H$3,0,0,'Données projet'!$E$9+1,1))</f>
        <v>106.50743833854523</v>
      </c>
      <c r="T16" s="60">
        <f t="shared" si="34"/>
        <v>47.606751325129608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0">
        <f t="shared" si="5"/>
        <v>317.51084751837828</v>
      </c>
      <c r="AN16" s="60">
        <f ca="1">AVERAGE(OFFSET($AM$3,0,0,'Données projet'!$E$10+1,1))-AVERAGE(OFFSET($H$3,0,0,'Données projet'!$E$10+1,1))</f>
        <v>247.65126267995316</v>
      </c>
      <c r="AO16" s="60">
        <f t="shared" si="36"/>
        <v>149.27472147904314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11.511979134151852</v>
      </c>
      <c r="BF16" s="14">
        <f t="shared" si="37"/>
        <v>3.9919417855793822</v>
      </c>
      <c r="BG16" s="22">
        <f t="shared" si="7"/>
        <v>27.002662268531896</v>
      </c>
      <c r="BH16" s="60">
        <f t="shared" si="8"/>
        <v>320.33599560186519</v>
      </c>
      <c r="BI16" s="60">
        <f ca="1">AVERAGE(OFFSET($BH$3,0,0,'Données projet'!$E$11+1,1))-AVERAGE(OFFSET($H$3,0,0,'Données projet'!$E$11+1,1))</f>
        <v>294.2815419338562</v>
      </c>
      <c r="BJ16" s="60">
        <f t="shared" si="38"/>
        <v>173.99850582760712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0.76190476190476186</v>
      </c>
      <c r="BY16" s="13">
        <f>IF('Données projet'!$A$114&gt;35,BY15+BX16-CG15,IF(A16&lt;'Données projet'!$A$114,$BV$205^A16,IF(A16='Données projet'!$A$114,'Données projet'!$B$114,BY15+BX16-CG15)))</f>
        <v>9.9047619047619051</v>
      </c>
      <c r="BZ16" s="14">
        <f>BY16*VLOOKUP('Données projet'!$B$12,Paramètres!$A$1:$I$89,3,0)*VLOOKUP('Données projet'!$B$12,Paramètres!$A$1:$I$89,5,0)</f>
        <v>8.4982857142857142</v>
      </c>
      <c r="CA16" s="14">
        <f t="shared" si="39"/>
        <v>3.0528764332350926</v>
      </c>
      <c r="CB16" s="22">
        <f t="shared" si="10"/>
        <v>20.118274073598737</v>
      </c>
      <c r="CC16" s="60">
        <f t="shared" si="11"/>
        <v>313.45160740693206</v>
      </c>
      <c r="CD16" s="60">
        <f ca="1">AVERAGE(OFFSET($CC$3,0,0,'Données projet'!$E$12+1,1))-AVERAGE(OFFSET($H$3,0,0,'Données projet'!$E$12+1,1))</f>
        <v>317.48648551307656</v>
      </c>
      <c r="CE16" s="60">
        <f t="shared" si="40"/>
        <v>133.09277301479563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0">
        <f t="shared" si="14"/>
        <v>337.42636035027664</v>
      </c>
      <c r="CY16" s="60">
        <f ca="1">AVERAGE(OFFSET($CX$3,0,0,'Données projet'!$E$13+1,1))-AVERAGE(OFFSET($H$3,0,0,'Données projet'!$E$13+1,1))</f>
        <v>194.42056369374041</v>
      </c>
      <c r="CZ16" s="60">
        <f t="shared" si="42"/>
        <v>185.75045299455371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10.98065702026792</v>
      </c>
      <c r="DQ16" s="14">
        <f t="shared" si="43"/>
        <v>3.8286992592655618</v>
      </c>
      <c r="DR16" s="22">
        <f t="shared" si="16"/>
        <v>25.792962186854144</v>
      </c>
      <c r="DS16" s="60">
        <f t="shared" si="17"/>
        <v>319.12629552018745</v>
      </c>
      <c r="DT16" s="60">
        <f ca="1">AVERAGE(OFFSET($DS$3,0,0,'Données projet'!$E$14+1,1))-AVERAGE(OFFSET($H$3,0,0,'Données projet'!$E$14+1,1))</f>
        <v>274.31056057602081</v>
      </c>
      <c r="DU16" s="60">
        <f t="shared" si="44"/>
        <v>163.41029152029387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2.0940170940170941</v>
      </c>
      <c r="EJ16" s="13">
        <f>IF('Données projet'!$A$192&gt;35,EJ15+EI16-ER15,IF(A16&lt;'Données projet'!$A$192,$EG$205^A16,IF(A16='Données projet'!$A$192,'Données projet'!$B$192,EJ15+EI16-ER15)))</f>
        <v>19.836358597968047</v>
      </c>
      <c r="EK16" s="18">
        <f>EJ16*VLOOKUP('Données projet'!$B$15,Paramètres!$A$1:$I$89,3,0)*VLOOKUP('Données projet'!$B$15,Paramètres!$A$1:$I$89,5,0)</f>
        <v>13.306229347516966</v>
      </c>
      <c r="EL16" s="14">
        <f t="shared" si="45"/>
        <v>4.536982112688718</v>
      </c>
      <c r="EM16" s="22">
        <f t="shared" si="19"/>
        <v>31.076926626524898</v>
      </c>
      <c r="EN16" s="60">
        <f t="shared" si="20"/>
        <v>324.41025995985819</v>
      </c>
      <c r="EO16" s="60">
        <f ca="1">AVERAGE(OFFSET($EN$3,0,0,'Données projet'!$E$15+1,1))-AVERAGE(OFFSET($H$3,0,0,'Données projet'!$E$15+1,1))</f>
        <v>120.18668518376586</v>
      </c>
      <c r="EP16" s="60">
        <f t="shared" si="46"/>
        <v>110.24821114898037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8">
        <f t="shared" si="1"/>
        <v>322.46525892181711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3.4358974358974361</v>
      </c>
      <c r="N17" s="14">
        <f>IF('Données projet'!$A$36&gt;35,N16+M17-V16,IF(A17&lt;'Données projet'!$A$36,$K$205^A17,IF(A17='Données projet'!$A$36,'Données projet'!$B$36,N16+M17-V16)))</f>
        <v>8.6991203952847798</v>
      </c>
      <c r="O17" s="14">
        <f>N17*VLOOKUP('Données projet'!$B$9,Paramètres!$A$1:$I$89,3,0)*VLOOKUP('Données projet'!$B$9,Paramètres!$A$1:$I$89,5,0)</f>
        <v>4.0711883449932769</v>
      </c>
      <c r="P17" s="14">
        <f t="shared" si="33"/>
        <v>1.5933152481473272</v>
      </c>
      <c r="Q17" s="22">
        <f t="shared" si="2"/>
        <v>9.8656770913865515</v>
      </c>
      <c r="R17" s="60">
        <f t="shared" si="0"/>
        <v>303.19901042471986</v>
      </c>
      <c r="S17" s="60">
        <f ca="1">AVERAGE(OFFSET($R$3,0,0,'Données projet'!$E$9+1,1))-AVERAGE(OFFSET($H$3,0,0,'Données projet'!$E$9+1,1))</f>
        <v>106.50743833854523</v>
      </c>
      <c r="T17" s="60">
        <f t="shared" si="34"/>
        <v>47.606751325129608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0">
        <f t="shared" si="5"/>
        <v>322.31592994573543</v>
      </c>
      <c r="AN17" s="60">
        <f ca="1">AVERAGE(OFFSET($AM$3,0,0,'Données projet'!$E$10+1,1))-AVERAGE(OFFSET($H$3,0,0,'Données projet'!$E$10+1,1))</f>
        <v>247.65126267995316</v>
      </c>
      <c r="AO17" s="60">
        <f t="shared" si="36"/>
        <v>149.27472147904314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13.877539056685173</v>
      </c>
      <c r="BF17" s="14">
        <f t="shared" si="37"/>
        <v>4.7086819085950955</v>
      </c>
      <c r="BG17" s="22">
        <f t="shared" si="7"/>
        <v>32.371001514529802</v>
      </c>
      <c r="BH17" s="60">
        <f t="shared" si="8"/>
        <v>325.70433484786309</v>
      </c>
      <c r="BI17" s="60">
        <f ca="1">AVERAGE(OFFSET($BH$3,0,0,'Données projet'!$E$11+1,1))-AVERAGE(OFFSET($H$3,0,0,'Données projet'!$E$11+1,1))</f>
        <v>294.2815419338562</v>
      </c>
      <c r="BJ17" s="60">
        <f t="shared" si="38"/>
        <v>173.99850582760712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0.76190476190476186</v>
      </c>
      <c r="BY17" s="13">
        <f>IF('Données projet'!$A$114&gt;35,BY16+BX17-CG16,IF(A17&lt;'Données projet'!$A$114,$BV$205^A17,IF(A17='Données projet'!$A$114,'Données projet'!$B$114,BY16+BX17-CG16)))</f>
        <v>10.666666666666668</v>
      </c>
      <c r="BZ17" s="14">
        <f>BY17*VLOOKUP('Données projet'!$B$12,Paramètres!$A$1:$I$89,3,0)*VLOOKUP('Données projet'!$B$12,Paramètres!$A$1:$I$89,5,0)</f>
        <v>9.1520000000000028</v>
      </c>
      <c r="CA17" s="14">
        <f t="shared" si="39"/>
        <v>3.2594746863753539</v>
      </c>
      <c r="CB17" s="22">
        <f t="shared" si="10"/>
        <v>21.616651745437082</v>
      </c>
      <c r="CC17" s="60">
        <f t="shared" si="11"/>
        <v>314.9499850787704</v>
      </c>
      <c r="CD17" s="60">
        <f ca="1">AVERAGE(OFFSET($CC$3,0,0,'Données projet'!$E$12+1,1))-AVERAGE(OFFSET($H$3,0,0,'Données projet'!$E$12+1,1))</f>
        <v>317.48648551307656</v>
      </c>
      <c r="CE17" s="60">
        <f t="shared" si="40"/>
        <v>133.09277301479563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0">
        <f t="shared" si="14"/>
        <v>349.32760124744186</v>
      </c>
      <c r="CY17" s="60">
        <f ca="1">AVERAGE(OFFSET($CX$3,0,0,'Données projet'!$E$13+1,1))-AVERAGE(OFFSET($H$3,0,0,'Données projet'!$E$13+1,1))</f>
        <v>194.42056369374041</v>
      </c>
      <c r="CZ17" s="60">
        <f t="shared" si="42"/>
        <v>185.75045299455371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13.237037254068934</v>
      </c>
      <c r="DQ17" s="14">
        <f t="shared" si="43"/>
        <v>4.5161297192961545</v>
      </c>
      <c r="DR17" s="22">
        <f t="shared" si="16"/>
        <v>30.920099145277529</v>
      </c>
      <c r="DS17" s="60">
        <f t="shared" si="17"/>
        <v>324.25343247861082</v>
      </c>
      <c r="DT17" s="60">
        <f ca="1">AVERAGE(OFFSET($DS$3,0,0,'Données projet'!$E$14+1,1))-AVERAGE(OFFSET($H$3,0,0,'Données projet'!$E$14+1,1))</f>
        <v>274.31056057602081</v>
      </c>
      <c r="DU17" s="60">
        <f t="shared" si="44"/>
        <v>163.41029152029387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2.0940170940170941</v>
      </c>
      <c r="EJ17" s="13">
        <f>IF('Données projet'!$A$192&gt;35,EJ16+EI17-ER16,IF(A17&lt;'Données projet'!$A$192,$EG$205^A17,IF(A17='Données projet'!$A$192,'Données projet'!$B$192,EJ16+EI17-ER16)))</f>
        <v>24.961272199308482</v>
      </c>
      <c r="EK17" s="18">
        <f>EJ17*VLOOKUP('Données projet'!$B$15,Paramètres!$A$1:$I$89,3,0)*VLOOKUP('Données projet'!$B$15,Paramètres!$A$1:$I$89,5,0)</f>
        <v>16.74402139129613</v>
      </c>
      <c r="EL17" s="14">
        <f t="shared" si="45"/>
        <v>5.5584609351317997</v>
      </c>
      <c r="EM17" s="22">
        <f t="shared" si="19"/>
        <v>38.84349005186197</v>
      </c>
      <c r="EN17" s="60">
        <f t="shared" si="20"/>
        <v>332.17682338519529</v>
      </c>
      <c r="EO17" s="60">
        <f ca="1">AVERAGE(OFFSET($EN$3,0,0,'Données projet'!$E$15+1,1))-AVERAGE(OFFSET($H$3,0,0,'Données projet'!$E$15+1,1))</f>
        <v>120.18668518376586</v>
      </c>
      <c r="EP17" s="60">
        <f t="shared" si="46"/>
        <v>110.24821114898037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8">
        <f t="shared" si="1"/>
        <v>324.48226242776991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3.4358974358974361</v>
      </c>
      <c r="N18" s="14">
        <f>IF('Données projet'!$A$36&gt;35,N17+M18-V17,IF(A18&lt;'Données projet'!$A$36,$K$205^A18,IF(A18='Données projet'!$A$36,'Données projet'!$B$36,N17+M18-V17)))</f>
        <v>10.152680585782415</v>
      </c>
      <c r="O18" s="14">
        <f>N18*VLOOKUP('Données projet'!$B$9,Paramètres!$A$1:$I$89,3,0)*VLOOKUP('Données projet'!$B$9,Paramètres!$A$1:$I$89,5,0)</f>
        <v>4.7514545141461699</v>
      </c>
      <c r="P18" s="14">
        <f t="shared" si="33"/>
        <v>1.8264005426369321</v>
      </c>
      <c r="Q18" s="22">
        <f t="shared" si="2"/>
        <v>11.456430890563903</v>
      </c>
      <c r="R18" s="60">
        <f t="shared" si="0"/>
        <v>304.78976422389724</v>
      </c>
      <c r="S18" s="60">
        <f ca="1">AVERAGE(OFFSET($R$3,0,0,'Données projet'!$E$9+1,1))-AVERAGE(OFFSET($H$3,0,0,'Données projet'!$E$9+1,1))</f>
        <v>106.50743833854523</v>
      </c>
      <c r="T18" s="60">
        <f t="shared" si="34"/>
        <v>47.606751325129608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0">
        <f t="shared" si="5"/>
        <v>328.07911334160997</v>
      </c>
      <c r="AN18" s="60">
        <f ca="1">AVERAGE(OFFSET($AM$3,0,0,'Données projet'!$E$10+1,1))-AVERAGE(OFFSET($H$3,0,0,'Données projet'!$E$10+1,1))</f>
        <v>247.65126267995316</v>
      </c>
      <c r="AO18" s="60">
        <f t="shared" si="36"/>
        <v>149.27472147904314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16.729190352551068</v>
      </c>
      <c r="BF18" s="14">
        <f t="shared" si="37"/>
        <v>5.5541103821765283</v>
      </c>
      <c r="BG18" s="22">
        <f t="shared" si="7"/>
        <v>38.810082112983899</v>
      </c>
      <c r="BH18" s="60">
        <f t="shared" si="8"/>
        <v>332.14341544631719</v>
      </c>
      <c r="BI18" s="60">
        <f ca="1">AVERAGE(OFFSET($BH$3,0,0,'Données projet'!$E$11+1,1))-AVERAGE(OFFSET($H$3,0,0,'Données projet'!$E$11+1,1))</f>
        <v>294.2815419338562</v>
      </c>
      <c r="BJ18" s="60">
        <f t="shared" si="38"/>
        <v>173.99850582760712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0.76190476190476186</v>
      </c>
      <c r="BY18" s="13">
        <f>IF('Données projet'!$A$114&gt;35,BY17+BX18-CG17,IF(A18&lt;'Données projet'!$A$114,$BV$205^A18,IF(A18='Données projet'!$A$114,'Données projet'!$B$114,BY17+BX18-CG17)))</f>
        <v>11.428571428571431</v>
      </c>
      <c r="BZ18" s="14">
        <f>BY18*VLOOKUP('Données projet'!$B$12,Paramètres!$A$1:$I$89,3,0)*VLOOKUP('Données projet'!$B$12,Paramètres!$A$1:$I$89,5,0)</f>
        <v>9.8057142857142878</v>
      </c>
      <c r="CA18" s="14">
        <f t="shared" si="39"/>
        <v>3.4643608075225623</v>
      </c>
      <c r="CB18" s="22">
        <f t="shared" si="10"/>
        <v>23.112047454054178</v>
      </c>
      <c r="CC18" s="60">
        <f t="shared" si="11"/>
        <v>316.44538078738748</v>
      </c>
      <c r="CD18" s="60">
        <f ca="1">AVERAGE(OFFSET($CC$3,0,0,'Données projet'!$E$12+1,1))-AVERAGE(OFFSET($H$3,0,0,'Données projet'!$E$12+1,1))</f>
        <v>317.48648551307656</v>
      </c>
      <c r="CE18" s="60">
        <f t="shared" si="40"/>
        <v>133.09277301479563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0">
        <f t="shared" si="14"/>
        <v>364.45179361618477</v>
      </c>
      <c r="CY18" s="60">
        <f ca="1">AVERAGE(OFFSET($CX$3,0,0,'Données projet'!$E$13+1,1))-AVERAGE(OFFSET($H$3,0,0,'Données projet'!$E$13+1,1))</f>
        <v>194.42056369374041</v>
      </c>
      <c r="CZ18" s="60">
        <f t="shared" si="42"/>
        <v>185.75045299455371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15.957073874741019</v>
      </c>
      <c r="DQ18" s="14">
        <f t="shared" si="43"/>
        <v>5.3269860755326848</v>
      </c>
      <c r="DR18" s="22">
        <f t="shared" si="16"/>
        <v>37.069737746726702</v>
      </c>
      <c r="DS18" s="60">
        <f t="shared" si="17"/>
        <v>330.40307108006004</v>
      </c>
      <c r="DT18" s="60">
        <f ca="1">AVERAGE(OFFSET($DS$3,0,0,'Données projet'!$E$14+1,1))-AVERAGE(OFFSET($H$3,0,0,'Données projet'!$E$14+1,1))</f>
        <v>274.31056057602081</v>
      </c>
      <c r="DU18" s="60">
        <f t="shared" si="44"/>
        <v>163.41029152029387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>
        <f>VLOOKUP(A18,'Données projet'!$A$191:$I$211,2,0)</f>
        <v>31.410256410256409</v>
      </c>
      <c r="EH18" s="13">
        <f>VLOOKUP(A18,'Données projet'!$A$191:$I$211,9,0)</f>
        <v>2.0940170940170941</v>
      </c>
      <c r="EI18" s="13">
        <f t="array" ref="EI18">INDEX(EH:EH,MIN(IF(ISNUMBER(EH18:EH214),ROW(EH18:EH214),"")))</f>
        <v>2.0940170940170941</v>
      </c>
      <c r="EJ18" s="13">
        <f>IF('Données projet'!$A$192&gt;35,EJ17+EI18-ER17,IF(A18&lt;'Données projet'!$A$192,$EG$205^A18,IF(A18='Données projet'!$A$192,'Données projet'!$B$192,EJ17+EI18-ER17)))</f>
        <v>31.410256410256409</v>
      </c>
      <c r="EK18" s="18">
        <f>EJ18*VLOOKUP('Données projet'!$B$15,Paramètres!$A$1:$I$89,3,0)*VLOOKUP('Données projet'!$B$15,Paramètres!$A$1:$I$89,5,0)</f>
        <v>21.07</v>
      </c>
      <c r="EL18" s="14">
        <f t="shared" si="45"/>
        <v>6.8099206036050086</v>
      </c>
      <c r="EM18" s="22">
        <f t="shared" si="19"/>
        <v>48.557528384612056</v>
      </c>
      <c r="EN18" s="60">
        <f t="shared" si="20"/>
        <v>341.89086171794537</v>
      </c>
      <c r="EO18" s="60">
        <f ca="1">AVERAGE(OFFSET($EN$3,0,0,'Données projet'!$E$15+1,1))-AVERAGE(OFFSET($H$3,0,0,'Données projet'!$E$15+1,1))</f>
        <v>120.18668518376586</v>
      </c>
      <c r="EP18" s="60">
        <f t="shared" si="46"/>
        <v>110.24821114898037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8">
        <f t="shared" si="1"/>
        <v>326.49564305302061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3.4358974358974361</v>
      </c>
      <c r="N19" s="14">
        <f>IF('Données projet'!$A$36&gt;35,N18+M19-V18,IF(A19&lt;'Données projet'!$A$36,$K$205^A19,IF(A19='Données projet'!$A$36,'Données projet'!$B$36,N18+M19-V18)))</f>
        <v>11.849120186081615</v>
      </c>
      <c r="O19" s="14">
        <f>N19*VLOOKUP('Données projet'!$B$9,Paramètres!$A$1:$I$89,3,0)*VLOOKUP('Données projet'!$B$9,Paramètres!$A$1:$I$89,5,0)</f>
        <v>5.545388247086195</v>
      </c>
      <c r="P19" s="14">
        <f t="shared" si="33"/>
        <v>2.0935837688261665</v>
      </c>
      <c r="Q19" s="22">
        <f t="shared" si="2"/>
        <v>13.304542927714031</v>
      </c>
      <c r="R19" s="60">
        <f t="shared" si="0"/>
        <v>306.63787626104732</v>
      </c>
      <c r="S19" s="60">
        <f ca="1">AVERAGE(OFFSET($R$3,0,0,'Données projet'!$E$9+1,1))-AVERAGE(OFFSET($H$3,0,0,'Données projet'!$E$9+1,1))</f>
        <v>106.50743833854523</v>
      </c>
      <c r="T19" s="60">
        <f t="shared" si="34"/>
        <v>47.606751325129608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0">
        <f t="shared" si="5"/>
        <v>334.992017673269</v>
      </c>
      <c r="AN19" s="60">
        <f ca="1">AVERAGE(OFFSET($AM$3,0,0,'Données projet'!$E$10+1,1))-AVERAGE(OFFSET($H$3,0,0,'Données projet'!$E$10+1,1))</f>
        <v>247.65126267995316</v>
      </c>
      <c r="AO19" s="60">
        <f t="shared" si="36"/>
        <v>149.27472147904314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20.166818389681932</v>
      </c>
      <c r="BF19" s="14">
        <f t="shared" si="37"/>
        <v>6.5513327797938032</v>
      </c>
      <c r="BG19" s="22">
        <f t="shared" si="7"/>
        <v>46.534113286836906</v>
      </c>
      <c r="BH19" s="60">
        <f t="shared" si="8"/>
        <v>339.8674466201702</v>
      </c>
      <c r="BI19" s="60">
        <f ca="1">AVERAGE(OFFSET($BH$3,0,0,'Données projet'!$E$11+1,1))-AVERAGE(OFFSET($H$3,0,0,'Données projet'!$E$11+1,1))</f>
        <v>294.2815419338562</v>
      </c>
      <c r="BJ19" s="60">
        <f t="shared" si="38"/>
        <v>173.99850582760712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0.76190476190476186</v>
      </c>
      <c r="BY19" s="13">
        <f>IF('Données projet'!$A$114&gt;35,BY18+BX19-CG18,IF(A19&lt;'Données projet'!$A$114,$BV$205^A19,IF(A19='Données projet'!$A$114,'Données projet'!$B$114,BY18+BX19-CG18)))</f>
        <v>12.190476190476193</v>
      </c>
      <c r="BZ19" s="14">
        <f>BY19*VLOOKUP('Données projet'!$B$12,Paramètres!$A$1:$I$89,3,0)*VLOOKUP('Données projet'!$B$12,Paramètres!$A$1:$I$89,5,0)</f>
        <v>10.459428571428575</v>
      </c>
      <c r="CA19" s="14">
        <f t="shared" si="39"/>
        <v>3.6676619263903016</v>
      </c>
      <c r="CB19" s="22">
        <f t="shared" si="10"/>
        <v>24.604682617034541</v>
      </c>
      <c r="CC19" s="60">
        <f t="shared" si="11"/>
        <v>317.93801595036786</v>
      </c>
      <c r="CD19" s="60">
        <f ca="1">AVERAGE(OFFSET($CC$3,0,0,'Données projet'!$E$12+1,1))-AVERAGE(OFFSET($H$3,0,0,'Données projet'!$E$12+1,1))</f>
        <v>317.48648551307656</v>
      </c>
      <c r="CE19" s="60">
        <f t="shared" si="40"/>
        <v>133.09277301479563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0">
        <f t="shared" si="14"/>
        <v>381.00574898649381</v>
      </c>
      <c r="CY19" s="60">
        <f ca="1">AVERAGE(OFFSET($CX$3,0,0,'Données projet'!$E$13+1,1))-AVERAGE(OFFSET($H$3,0,0,'Données projet'!$E$13+1,1))</f>
        <v>194.42056369374041</v>
      </c>
      <c r="CZ19" s="60">
        <f t="shared" si="42"/>
        <v>185.75045299455371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19.236042156311996</v>
      </c>
      <c r="DQ19" s="14">
        <f t="shared" si="43"/>
        <v>6.2834290449348904</v>
      </c>
      <c r="DR19" s="22">
        <f t="shared" si="16"/>
        <v>44.446412342171662</v>
      </c>
      <c r="DS19" s="60">
        <f t="shared" si="17"/>
        <v>337.77974567550496</v>
      </c>
      <c r="DT19" s="60">
        <f ca="1">AVERAGE(OFFSET($DS$3,0,0,'Données projet'!$E$14+1,1))-AVERAGE(OFFSET($H$3,0,0,'Données projet'!$E$14+1,1))</f>
        <v>274.31056057602081</v>
      </c>
      <c r="DU19" s="60">
        <f t="shared" si="44"/>
        <v>163.41029152029387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6.2820512820512819</v>
      </c>
      <c r="EJ19" s="13">
        <f>IF('Données projet'!$A$192&gt;35,EJ18+EI19-ER18,IF(A19&lt;'Données projet'!$A$192,$EG$205^A19,IF(A19='Données projet'!$A$192,'Données projet'!$B$192,EJ18+EI19-ER18)))</f>
        <v>37.692307692307693</v>
      </c>
      <c r="EK19" s="18">
        <f>EJ19*VLOOKUP('Données projet'!$B$15,Paramètres!$A$1:$I$89,3,0)*VLOOKUP('Données projet'!$B$15,Paramètres!$A$1:$I$89,5,0)</f>
        <v>25.284000000000002</v>
      </c>
      <c r="EL19" s="14">
        <f t="shared" si="45"/>
        <v>8.0003059834643206</v>
      </c>
      <c r="EM19" s="22">
        <f t="shared" si="19"/>
        <v>57.970166254533687</v>
      </c>
      <c r="EN19" s="60">
        <f t="shared" si="20"/>
        <v>351.30349958786701</v>
      </c>
      <c r="EO19" s="60">
        <f ca="1">AVERAGE(OFFSET($EN$3,0,0,'Données projet'!$E$15+1,1))-AVERAGE(OFFSET($H$3,0,0,'Données projet'!$E$15+1,1))</f>
        <v>120.18668518376586</v>
      </c>
      <c r="EP19" s="60">
        <f t="shared" si="46"/>
        <v>110.24821114898037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8">
        <f t="shared" si="1"/>
        <v>328.50565300530388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3.4358974358974361</v>
      </c>
      <c r="N20" s="14">
        <f>IF('Données projet'!$A$36&gt;35,N19+M20-V19,IF(A20&lt;'Données projet'!$A$36,$K$205^A20,IF(A20='Données projet'!$A$36,'Données projet'!$B$36,N19+M20-V19)))</f>
        <v>13.82902259141513</v>
      </c>
      <c r="O20" s="14">
        <f>N20*VLOOKUP('Données projet'!$B$9,Paramètres!$A$1:$I$89,3,0)*VLOOKUP('Données projet'!$B$9,Paramètres!$A$1:$I$89,5,0)</f>
        <v>6.4719825727822808</v>
      </c>
      <c r="P20" s="14">
        <f t="shared" si="33"/>
        <v>2.399853096169215</v>
      </c>
      <c r="Q20" s="22">
        <f t="shared" si="2"/>
        <v>15.45178045675719</v>
      </c>
      <c r="R20" s="60">
        <f t="shared" si="0"/>
        <v>308.78511379009052</v>
      </c>
      <c r="S20" s="60">
        <f ca="1">AVERAGE(OFFSET($R$3,0,0,'Données projet'!$E$9+1,1))-AVERAGE(OFFSET($H$3,0,0,'Données projet'!$E$9+1,1))</f>
        <v>106.50743833854523</v>
      </c>
      <c r="T20" s="60">
        <f t="shared" si="34"/>
        <v>47.606751325129608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0">
        <f t="shared" si="5"/>
        <v>343.28469438075035</v>
      </c>
      <c r="AN20" s="60">
        <f ca="1">AVERAGE(OFFSET($AM$3,0,0,'Données projet'!$E$10+1,1))-AVERAGE(OFFSET($H$3,0,0,'Données projet'!$E$10+1,1))</f>
        <v>247.65126267995316</v>
      </c>
      <c r="AO20" s="60">
        <f t="shared" si="36"/>
        <v>149.27472147904314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24.31083366209619</v>
      </c>
      <c r="BF20" s="14">
        <f t="shared" si="37"/>
        <v>7.7276032052466093</v>
      </c>
      <c r="BG20" s="22">
        <f t="shared" si="7"/>
        <v>55.800277543955367</v>
      </c>
      <c r="BH20" s="60">
        <f t="shared" si="8"/>
        <v>349.13361087728867</v>
      </c>
      <c r="BI20" s="60">
        <f ca="1">AVERAGE(OFFSET($BH$3,0,0,'Données projet'!$E$11+1,1))-AVERAGE(OFFSET($H$3,0,0,'Données projet'!$E$11+1,1))</f>
        <v>294.2815419338562</v>
      </c>
      <c r="BJ20" s="60">
        <f t="shared" si="38"/>
        <v>173.99850582760712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0.76190476190476186</v>
      </c>
      <c r="BY20" s="13">
        <f>IF('Données projet'!$A$114&gt;35,BY19+BX20-CG19,IF(A20&lt;'Données projet'!$A$114,$BV$205^A20,IF(A20='Données projet'!$A$114,'Données projet'!$B$114,BY19+BX20-CG19)))</f>
        <v>12.952380952380956</v>
      </c>
      <c r="BZ20" s="14">
        <f>BY20*VLOOKUP('Données projet'!$B$12,Paramètres!$A$1:$I$89,3,0)*VLOOKUP('Données projet'!$B$12,Paramètres!$A$1:$I$89,5,0)</f>
        <v>11.113142857142861</v>
      </c>
      <c r="CA20" s="14">
        <f t="shared" si="39"/>
        <v>3.8694883833036409</v>
      </c>
      <c r="CB20" s="22">
        <f t="shared" si="10"/>
        <v>26.094749410444322</v>
      </c>
      <c r="CC20" s="60">
        <f t="shared" si="11"/>
        <v>319.42808274377762</v>
      </c>
      <c r="CD20" s="60">
        <f ca="1">AVERAGE(OFFSET($CC$3,0,0,'Données projet'!$E$12+1,1))-AVERAGE(OFFSET($H$3,0,0,'Données projet'!$E$12+1,1))</f>
        <v>317.48648551307656</v>
      </c>
      <c r="CE20" s="60">
        <f t="shared" si="40"/>
        <v>133.09277301479563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0">
        <f t="shared" si="14"/>
        <v>397.48093978929131</v>
      </c>
      <c r="CY20" s="60">
        <f ca="1">AVERAGE(OFFSET($CX$3,0,0,'Données projet'!$E$13+1,1))-AVERAGE(OFFSET($H$3,0,0,'Données projet'!$E$13+1,1))</f>
        <v>194.42056369374041</v>
      </c>
      <c r="CZ20" s="60">
        <f t="shared" si="42"/>
        <v>185.75045299455371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23.188795185384055</v>
      </c>
      <c r="DQ20" s="14">
        <f t="shared" si="43"/>
        <v>7.4115982288884323</v>
      </c>
      <c r="DR20" s="22">
        <f t="shared" si="16"/>
        <v>53.29568519652458</v>
      </c>
      <c r="DS20" s="60">
        <f t="shared" si="17"/>
        <v>346.62901852985789</v>
      </c>
      <c r="DT20" s="60">
        <f ca="1">AVERAGE(OFFSET($DS$3,0,0,'Données projet'!$E$14+1,1))-AVERAGE(OFFSET($H$3,0,0,'Données projet'!$E$14+1,1))</f>
        <v>274.31056057602081</v>
      </c>
      <c r="DU20" s="60">
        <f t="shared" si="44"/>
        <v>163.41029152029387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6.2820512820512819</v>
      </c>
      <c r="EJ20" s="13">
        <f>IF('Données projet'!$A$192&gt;35,EJ19+EI20-ER19,IF(A20&lt;'Données projet'!$A$192,$EG$205^A20,IF(A20='Données projet'!$A$192,'Données projet'!$B$192,EJ19+EI20-ER19)))</f>
        <v>43.974358974358978</v>
      </c>
      <c r="EK20" s="18">
        <f>EJ20*VLOOKUP('Données projet'!$B$15,Paramètres!$A$1:$I$89,3,0)*VLOOKUP('Données projet'!$B$15,Paramètres!$A$1:$I$89,5,0)</f>
        <v>29.498000000000005</v>
      </c>
      <c r="EL20" s="14">
        <f t="shared" si="45"/>
        <v>9.1677081835777017</v>
      </c>
      <c r="EM20" s="22">
        <f t="shared" si="19"/>
        <v>67.342775086397836</v>
      </c>
      <c r="EN20" s="60">
        <f t="shared" si="20"/>
        <v>360.67610841973112</v>
      </c>
      <c r="EO20" s="60">
        <f ca="1">AVERAGE(OFFSET($EN$3,0,0,'Données projet'!$E$15+1,1))-AVERAGE(OFFSET($H$3,0,0,'Données projet'!$E$15+1,1))</f>
        <v>120.18668518376586</v>
      </c>
      <c r="EP20" s="60">
        <f t="shared" si="46"/>
        <v>110.24821114898037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8">
        <f t="shared" si="1"/>
        <v>330.51251314469152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3.4358974358974361</v>
      </c>
      <c r="N21" s="14">
        <f>IF('Données projet'!$A$36&gt;35,N20+M21-V20,IF(A21&lt;'Données projet'!$A$36,$K$205^A21,IF(A21='Données projet'!$A$36,'Données projet'!$B$36,N20+M21-V20)))</f>
        <v>16.139752389254127</v>
      </c>
      <c r="O21" s="14">
        <f>N21*VLOOKUP('Données projet'!$B$9,Paramètres!$A$1:$I$89,3,0)*VLOOKUP('Données projet'!$B$9,Paramètres!$A$1:$I$89,5,0)</f>
        <v>7.5534041181709313</v>
      </c>
      <c r="P21" s="14">
        <f t="shared" si="33"/>
        <v>2.7509264109465743</v>
      </c>
      <c r="Q21" s="22">
        <f t="shared" si="2"/>
        <v>17.946709004879654</v>
      </c>
      <c r="R21" s="60">
        <f t="shared" si="0"/>
        <v>311.28004233821298</v>
      </c>
      <c r="S21" s="60">
        <f ca="1">AVERAGE(OFFSET($R$3,0,0,'Données projet'!$E$9+1,1))-AVERAGE(OFFSET($H$3,0,0,'Données projet'!$E$9+1,1))</f>
        <v>106.50743833854523</v>
      </c>
      <c r="T21" s="60">
        <f t="shared" si="34"/>
        <v>47.606751325129608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0">
        <f t="shared" si="5"/>
        <v>353.23335406291386</v>
      </c>
      <c r="AN21" s="60">
        <f ca="1">AVERAGE(OFFSET($AM$3,0,0,'Données projet'!$E$10+1,1))-AVERAGE(OFFSET($H$3,0,0,'Données projet'!$E$10+1,1))</f>
        <v>247.65126267995316</v>
      </c>
      <c r="AO21" s="60">
        <f t="shared" si="36"/>
        <v>149.27472147904314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29.306389432677911</v>
      </c>
      <c r="BF21" s="14">
        <f t="shared" si="37"/>
        <v>9.1150691477493808</v>
      </c>
      <c r="BG21" s="22">
        <f t="shared" si="7"/>
        <v>66.917373694244205</v>
      </c>
      <c r="BH21" s="60">
        <f t="shared" si="8"/>
        <v>360.2507070275775</v>
      </c>
      <c r="BI21" s="60">
        <f ca="1">AVERAGE(OFFSET($BH$3,0,0,'Données projet'!$E$11+1,1))-AVERAGE(OFFSET($H$3,0,0,'Données projet'!$E$11+1,1))</f>
        <v>294.2815419338562</v>
      </c>
      <c r="BJ21" s="60">
        <f t="shared" si="38"/>
        <v>173.99850582760712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0.76190476190476186</v>
      </c>
      <c r="BY21" s="13">
        <f>IF('Données projet'!$A$114&gt;35,BY20+BX21-CG20,IF(A21&lt;'Données projet'!$A$114,$BV$205^A21,IF(A21='Données projet'!$A$114,'Données projet'!$B$114,BY20+BX21-CG20)))</f>
        <v>13.714285714285719</v>
      </c>
      <c r="BZ21" s="14">
        <f>BY21*VLOOKUP('Données projet'!$B$12,Paramètres!$A$1:$I$89,3,0)*VLOOKUP('Données projet'!$B$12,Paramètres!$A$1:$I$89,5,0)</f>
        <v>11.766857142857148</v>
      </c>
      <c r="CA21" s="14">
        <f t="shared" si="39"/>
        <v>4.0699368040546435</v>
      </c>
      <c r="CB21" s="22">
        <f t="shared" si="10"/>
        <v>27.582416124204702</v>
      </c>
      <c r="CC21" s="60">
        <f t="shared" si="11"/>
        <v>320.91574945753803</v>
      </c>
      <c r="CD21" s="60">
        <f ca="1">AVERAGE(OFFSET($CC$3,0,0,'Données projet'!$E$12+1,1))-AVERAGE(OFFSET($H$3,0,0,'Données projet'!$E$12+1,1))</f>
        <v>317.48648551307656</v>
      </c>
      <c r="CE21" s="60">
        <f t="shared" si="40"/>
        <v>133.09277301479563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0">
        <f t="shared" si="14"/>
        <v>413.89162884711146</v>
      </c>
      <c r="CY21" s="60">
        <f ca="1">AVERAGE(OFFSET($CX$3,0,0,'Données projet'!$E$13+1,1))-AVERAGE(OFFSET($H$3,0,0,'Données projet'!$E$13+1,1))</f>
        <v>194.42056369374041</v>
      </c>
      <c r="CZ21" s="60">
        <f t="shared" si="42"/>
        <v>185.75045299455371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27.953786843477392</v>
      </c>
      <c r="DQ21" s="14">
        <f t="shared" si="43"/>
        <v>8.7423265089215931</v>
      </c>
      <c r="DR21" s="22">
        <f t="shared" si="16"/>
        <v>63.912397422094891</v>
      </c>
      <c r="DS21" s="60">
        <f t="shared" si="17"/>
        <v>357.24573075542821</v>
      </c>
      <c r="DT21" s="60">
        <f ca="1">AVERAGE(OFFSET($DS$3,0,0,'Données projet'!$E$14+1,1))-AVERAGE(OFFSET($H$3,0,0,'Données projet'!$E$14+1,1))</f>
        <v>274.31056057602081</v>
      </c>
      <c r="DU21" s="60">
        <f t="shared" si="44"/>
        <v>163.41029152029387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6.2820512820512819</v>
      </c>
      <c r="EJ21" s="13">
        <f>IF('Données projet'!$A$192&gt;35,EJ20+EI21-ER20,IF(A21&lt;'Données projet'!$A$192,$EG$205^A21,IF(A21='Données projet'!$A$192,'Données projet'!$B$192,EJ20+EI21-ER20)))</f>
        <v>50.256410256410263</v>
      </c>
      <c r="EK21" s="18">
        <f>EJ21*VLOOKUP('Données projet'!$B$15,Paramètres!$A$1:$I$89,3,0)*VLOOKUP('Données projet'!$B$15,Paramètres!$A$1:$I$89,5,0)</f>
        <v>33.712000000000003</v>
      </c>
      <c r="EL21" s="14">
        <f t="shared" si="45"/>
        <v>10.315789350263621</v>
      </c>
      <c r="EM21" s="22">
        <f t="shared" si="19"/>
        <v>76.681733118375817</v>
      </c>
      <c r="EN21" s="60">
        <f t="shared" si="20"/>
        <v>370.01506645170912</v>
      </c>
      <c r="EO21" s="60">
        <f ca="1">AVERAGE(OFFSET($EN$3,0,0,'Données projet'!$E$15+1,1))-AVERAGE(OFFSET($H$3,0,0,'Données projet'!$E$15+1,1))</f>
        <v>120.18668518376586</v>
      </c>
      <c r="EP21" s="60">
        <f t="shared" si="46"/>
        <v>110.24821114898037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8">
        <f t="shared" si="1"/>
        <v>332.51641840525372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3.4358974358974361</v>
      </c>
      <c r="N22" s="14">
        <f>IF('Données projet'!$A$36&gt;35,N21+M22-V21,IF(A22&lt;'Données projet'!$A$36,$K$205^A22,IF(A22='Données projet'!$A$36,'Données projet'!$B$36,N21+M22-V21)))</f>
        <v>18.836588447555499</v>
      </c>
      <c r="O22" s="14">
        <f>N22*VLOOKUP('Données projet'!$B$9,Paramètres!$A$1:$I$89,3,0)*VLOOKUP('Données projet'!$B$9,Paramètres!$A$1:$I$89,5,0)</f>
        <v>8.8155233934559742</v>
      </c>
      <c r="P22" s="14">
        <f t="shared" si="33"/>
        <v>3.153358066176315</v>
      </c>
      <c r="Q22" s="22">
        <f t="shared" si="2"/>
        <v>20.845801875526238</v>
      </c>
      <c r="R22" s="60">
        <f t="shared" si="0"/>
        <v>314.17913520885958</v>
      </c>
      <c r="S22" s="60">
        <f ca="1">AVERAGE(OFFSET($R$3,0,0,'Données projet'!$E$9+1,1))-AVERAGE(OFFSET($H$3,0,0,'Données projet'!$E$9+1,1))</f>
        <v>106.50743833854523</v>
      </c>
      <c r="T22" s="60">
        <f t="shared" si="34"/>
        <v>47.606751325129608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0">
        <f t="shared" si="5"/>
        <v>365.16965167242461</v>
      </c>
      <c r="AN22" s="60">
        <f ca="1">AVERAGE(OFFSET($AM$3,0,0,'Données projet'!$E$10+1,1))-AVERAGE(OFFSET($H$3,0,0,'Données projet'!$E$10+1,1))</f>
        <v>247.65126267995316</v>
      </c>
      <c r="AO22" s="60">
        <f t="shared" si="36"/>
        <v>149.27472147904314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35.328466045936516</v>
      </c>
      <c r="BF22" s="14">
        <f t="shared" si="37"/>
        <v>10.751650073316766</v>
      </c>
      <c r="BG22" s="22">
        <f t="shared" si="7"/>
        <v>80.256202241032796</v>
      </c>
      <c r="BH22" s="60">
        <f t="shared" si="8"/>
        <v>373.5895355743661</v>
      </c>
      <c r="BI22" s="60">
        <f ca="1">AVERAGE(OFFSET($BH$3,0,0,'Données projet'!$E$11+1,1))-AVERAGE(OFFSET($H$3,0,0,'Données projet'!$E$11+1,1))</f>
        <v>294.2815419338562</v>
      </c>
      <c r="BJ22" s="60">
        <f t="shared" si="38"/>
        <v>173.99850582760712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0.76190476190476186</v>
      </c>
      <c r="BY22" s="13">
        <f>IF('Données projet'!$A$114&gt;35,BY21+BX22-CG21,IF(A22&lt;'Données projet'!$A$114,$BV$205^A22,IF(A22='Données projet'!$A$114,'Données projet'!$B$114,BY21+BX22-CG21)))</f>
        <v>14.476190476190482</v>
      </c>
      <c r="BZ22" s="14">
        <f>BY22*VLOOKUP('Données projet'!$B$12,Paramètres!$A$1:$I$89,3,0)*VLOOKUP('Données projet'!$B$12,Paramètres!$A$1:$I$89,5,0)</f>
        <v>12.420571428571435</v>
      </c>
      <c r="CA22" s="14">
        <f t="shared" si="39"/>
        <v>4.2690924718670509</v>
      </c>
      <c r="CB22" s="22">
        <f t="shared" si="10"/>
        <v>29.067831293263694</v>
      </c>
      <c r="CC22" s="60">
        <f t="shared" si="11"/>
        <v>322.40116462659699</v>
      </c>
      <c r="CD22" s="60">
        <f ca="1">AVERAGE(OFFSET($CC$3,0,0,'Données projet'!$E$12+1,1))-AVERAGE(OFFSET($H$3,0,0,'Données projet'!$E$12+1,1))</f>
        <v>317.48648551307656</v>
      </c>
      <c r="CE22" s="60">
        <f t="shared" si="40"/>
        <v>133.09277301479563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0">
        <f t="shared" si="14"/>
        <v>430.24785322111575</v>
      </c>
      <c r="CY22" s="60">
        <f ca="1">AVERAGE(OFFSET($CX$3,0,0,'Données projet'!$E$13+1,1))-AVERAGE(OFFSET($H$3,0,0,'Données projet'!$E$13+1,1))</f>
        <v>194.42056369374041</v>
      </c>
      <c r="CZ22" s="60">
        <f t="shared" si="42"/>
        <v>185.75045299455371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33.697921459200977</v>
      </c>
      <c r="DQ22" s="14">
        <f t="shared" si="43"/>
        <v>10.31198270984201</v>
      </c>
      <c r="DR22" s="22">
        <f t="shared" si="16"/>
        <v>76.650583094416518</v>
      </c>
      <c r="DS22" s="60">
        <f t="shared" si="17"/>
        <v>369.98391642774982</v>
      </c>
      <c r="DT22" s="60">
        <f ca="1">AVERAGE(OFFSET($DS$3,0,0,'Données projet'!$E$14+1,1))-AVERAGE(OFFSET($H$3,0,0,'Données projet'!$E$14+1,1))</f>
        <v>274.31056057602081</v>
      </c>
      <c r="DU22" s="60">
        <f t="shared" si="44"/>
        <v>163.41029152029387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6.2820512820512819</v>
      </c>
      <c r="EJ22" s="13">
        <f>IF('Données projet'!$A$192&gt;35,EJ21+EI22-ER21,IF(A22&lt;'Données projet'!$A$192,$EG$205^A22,IF(A22='Données projet'!$A$192,'Données projet'!$B$192,EJ21+EI22-ER21)))</f>
        <v>56.538461538461547</v>
      </c>
      <c r="EK22" s="18">
        <f>EJ22*VLOOKUP('Données projet'!$B$15,Paramètres!$A$1:$I$89,3,0)*VLOOKUP('Données projet'!$B$15,Paramètres!$A$1:$I$89,5,0)</f>
        <v>37.926000000000009</v>
      </c>
      <c r="EL22" s="14">
        <f t="shared" si="45"/>
        <v>11.447241207652395</v>
      </c>
      <c r="EM22" s="22">
        <f t="shared" si="19"/>
        <v>85.991728436661276</v>
      </c>
      <c r="EN22" s="60">
        <f t="shared" si="20"/>
        <v>379.32506176999459</v>
      </c>
      <c r="EO22" s="60">
        <f ca="1">AVERAGE(OFFSET($EN$3,0,0,'Données projet'!$E$15+1,1))-AVERAGE(OFFSET($H$3,0,0,'Données projet'!$E$15+1,1))</f>
        <v>120.18668518376586</v>
      </c>
      <c r="EP22" s="60">
        <f t="shared" si="46"/>
        <v>110.24821114898037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8">
        <f t="shared" si="1"/>
        <v>334.51754204275585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3.4358974358974361</v>
      </c>
      <c r="N23" s="14">
        <f>IF('Données projet'!$A$36&gt;35,N22+M23-V22,IF(A23&lt;'Données projet'!$A$36,$K$205^A23,IF(A23='Données projet'!$A$36,'Données projet'!$B$36,N22+M23-V22)))</f>
        <v>21.984046333871831</v>
      </c>
      <c r="O23" s="14">
        <f>N23*VLOOKUP('Données projet'!$B$9,Paramètres!$A$1:$I$89,3,0)*VLOOKUP('Données projet'!$B$9,Paramètres!$A$1:$I$89,5,0)</f>
        <v>10.288533684252016</v>
      </c>
      <c r="P23" s="14">
        <f t="shared" si="33"/>
        <v>3.6146612479167253</v>
      </c>
      <c r="Q23" s="22">
        <f t="shared" si="2"/>
        <v>24.214731173527223</v>
      </c>
      <c r="R23" s="60">
        <f t="shared" si="0"/>
        <v>317.54806450686056</v>
      </c>
      <c r="S23" s="60">
        <f ca="1">AVERAGE(OFFSET($R$3,0,0,'Données projet'!$E$9+1,1))-AVERAGE(OFFSET($H$3,0,0,'Données projet'!$E$9+1,1))</f>
        <v>106.50743833854523</v>
      </c>
      <c r="T23" s="60">
        <f t="shared" si="34"/>
        <v>47.606751325129608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0">
        <f t="shared" si="5"/>
        <v>379.49184380384929</v>
      </c>
      <c r="AN23" s="60">
        <f ca="1">AVERAGE(OFFSET($AM$3,0,0,'Données projet'!$E$10+1,1))-AVERAGE(OFFSET($H$3,0,0,'Données projet'!$E$10+1,1))</f>
        <v>247.65126267995316</v>
      </c>
      <c r="AO23" s="60">
        <f t="shared" si="36"/>
        <v>149.27472147904314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42.588000000000001</v>
      </c>
      <c r="BF23" s="14">
        <f t="shared" si="37"/>
        <v>12.682073764365764</v>
      </c>
      <c r="BG23" s="22">
        <f t="shared" si="7"/>
        <v>96.262045139603686</v>
      </c>
      <c r="BH23" s="60">
        <f t="shared" si="8"/>
        <v>389.595378472937</v>
      </c>
      <c r="BI23" s="60">
        <f ca="1">AVERAGE(OFFSET($BH$3,0,0,'Données projet'!$E$11+1,1))-AVERAGE(OFFSET($H$3,0,0,'Données projet'!$E$11+1,1))</f>
        <v>294.2815419338562</v>
      </c>
      <c r="BJ23" s="60">
        <f t="shared" si="38"/>
        <v>173.99850582760712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0.76190476190476186</v>
      </c>
      <c r="BY23" s="13">
        <f>IF('Données projet'!$A$114&gt;35,BY22+BX23-CG22,IF(A23&lt;'Données projet'!$A$114,$BV$205^A23,IF(A23='Données projet'!$A$114,'Données projet'!$B$114,BY22+BX23-CG22)))</f>
        <v>15.238095238095244</v>
      </c>
      <c r="BZ23" s="14">
        <f>BY23*VLOOKUP('Données projet'!$B$12,Paramètres!$A$1:$I$89,3,0)*VLOOKUP('Données projet'!$B$12,Paramètres!$A$1:$I$89,5,0)</f>
        <v>13.07428571428572</v>
      </c>
      <c r="CA23" s="14">
        <f t="shared" si="39"/>
        <v>4.4670311857543119</v>
      </c>
      <c r="CB23" s="22">
        <f t="shared" si="10"/>
        <v>30.55112693423639</v>
      </c>
      <c r="CC23" s="60">
        <f t="shared" si="11"/>
        <v>323.88446026756969</v>
      </c>
      <c r="CD23" s="60">
        <f ca="1">AVERAGE(OFFSET($CC$3,0,0,'Données projet'!$E$12+1,1))-AVERAGE(OFFSET($H$3,0,0,'Données projet'!$E$12+1,1))</f>
        <v>317.48648551307656</v>
      </c>
      <c r="CE23" s="60">
        <f t="shared" si="40"/>
        <v>133.09277301479563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0">
        <f t="shared" si="14"/>
        <v>446.55704519948165</v>
      </c>
      <c r="CY23" s="60">
        <f ca="1">AVERAGE(OFFSET($CX$3,0,0,'Données projet'!$E$13+1,1))-AVERAGE(OFFSET($H$3,0,0,'Données projet'!$E$13+1,1))</f>
        <v>194.42056369374041</v>
      </c>
      <c r="CZ23" s="60">
        <f t="shared" si="42"/>
        <v>185.75045299455371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40.622399999999999</v>
      </c>
      <c r="DQ23" s="14">
        <f t="shared" si="43"/>
        <v>12.163465560290264</v>
      </c>
      <c r="DR23" s="22">
        <f t="shared" si="16"/>
        <v>91.935382517505545</v>
      </c>
      <c r="DS23" s="60">
        <f t="shared" si="17"/>
        <v>385.26871585083887</v>
      </c>
      <c r="DT23" s="60">
        <f ca="1">AVERAGE(OFFSET($DS$3,0,0,'Données projet'!$E$14+1,1))-AVERAGE(OFFSET($H$3,0,0,'Données projet'!$E$14+1,1))</f>
        <v>274.31056057602081</v>
      </c>
      <c r="DU23" s="60">
        <f t="shared" si="44"/>
        <v>163.41029152029387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62.820512820512818</v>
      </c>
      <c r="EH23" s="13">
        <f>VLOOKUP(A23,'Données projet'!$A$191:$I$211,9,0)</f>
        <v>6.2820512820512819</v>
      </c>
      <c r="EI23" s="13">
        <f t="array" ref="EI23">INDEX(EH:EH,MIN(IF(ISNUMBER(EH23:EH219),ROW(EH23:EH219),"")))</f>
        <v>6.2820512820512819</v>
      </c>
      <c r="EJ23" s="13">
        <f>IF('Données projet'!$A$192&gt;35,EJ22+EI23-ER22,IF(A23&lt;'Données projet'!$A$192,$EG$205^A23,IF(A23='Données projet'!$A$192,'Données projet'!$B$192,EJ22+EI23-ER22)))</f>
        <v>62.820512820512832</v>
      </c>
      <c r="EK23" s="18">
        <f>EJ23*VLOOKUP('Données projet'!$B$15,Paramètres!$A$1:$I$89,3,0)*VLOOKUP('Données projet'!$B$15,Paramètres!$A$1:$I$89,5,0)</f>
        <v>42.140000000000008</v>
      </c>
      <c r="EL23" s="14">
        <f t="shared" si="45"/>
        <v>12.564122227768271</v>
      </c>
      <c r="EM23" s="22">
        <f t="shared" si="19"/>
        <v>95.276346213363084</v>
      </c>
      <c r="EN23" s="60">
        <f t="shared" si="20"/>
        <v>388.60967954669638</v>
      </c>
      <c r="EO23" s="60">
        <f ca="1">AVERAGE(OFFSET($EN$3,0,0,'Données projet'!$E$15+1,1))-AVERAGE(OFFSET($H$3,0,0,'Données projet'!$E$15+1,1))</f>
        <v>120.18668518376586</v>
      </c>
      <c r="EP23" s="60">
        <f t="shared" si="46"/>
        <v>110.24821114898037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17.307692307692307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8">
        <f t="shared" si="1"/>
        <v>336.51603900867377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3.4358974358974361</v>
      </c>
      <c r="N24" s="14">
        <f>IF('Données projet'!$A$36&gt;35,N23+M24-V23,IF(A24&lt;'Données projet'!$A$36,$K$205^A24,IF(A24='Données projet'!$A$36,'Données projet'!$B$36,N23+M24-V23)))</f>
        <v>25.657421701143715</v>
      </c>
      <c r="O24" s="14">
        <f>N24*VLOOKUP('Données projet'!$B$9,Paramètres!$A$1:$I$89,3,0)*VLOOKUP('Données projet'!$B$9,Paramètres!$A$1:$I$89,5,0)</f>
        <v>12.007673356135259</v>
      </c>
      <c r="P24" s="14">
        <f t="shared" si="33"/>
        <v>4.1434482424744576</v>
      </c>
      <c r="Q24" s="22">
        <f t="shared" si="2"/>
        <v>28.129870117578587</v>
      </c>
      <c r="R24" s="60">
        <f t="shared" si="0"/>
        <v>321.46320345091192</v>
      </c>
      <c r="S24" s="60">
        <f ca="1">AVERAGE(OFFSET($R$3,0,0,'Données projet'!$E$9+1,1))-AVERAGE(OFFSET($H$3,0,0,'Données projet'!$E$9+1,1))</f>
        <v>106.50743833854523</v>
      </c>
      <c r="T24" s="60">
        <f t="shared" si="34"/>
        <v>47.606751325129608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0">
        <f t="shared" si="5"/>
        <v>390.65226125630295</v>
      </c>
      <c r="AN24" s="60">
        <f ca="1">AVERAGE(OFFSET($AM$3,0,0,'Données projet'!$E$10+1,1))-AVERAGE(OFFSET($H$3,0,0,'Données projet'!$E$10+1,1))</f>
        <v>247.65126267995316</v>
      </c>
      <c r="AO24" s="60">
        <f t="shared" si="36"/>
        <v>149.27472147904314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48.266400000000004</v>
      </c>
      <c r="BF24" s="14">
        <f t="shared" si="37"/>
        <v>14.165134590154434</v>
      </c>
      <c r="BG24" s="22">
        <f t="shared" si="7"/>
        <v>108.73492274451898</v>
      </c>
      <c r="BH24" s="60">
        <f t="shared" si="8"/>
        <v>402.06825607785231</v>
      </c>
      <c r="BI24" s="60">
        <f ca="1">AVERAGE(OFFSET($BH$3,0,0,'Données projet'!$E$11+1,1))-AVERAGE(OFFSET($H$3,0,0,'Données projet'!$E$11+1,1))</f>
        <v>294.2815419338562</v>
      </c>
      <c r="BJ24" s="60">
        <f t="shared" si="38"/>
        <v>173.99850582760712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>
        <f>VLOOKUP(A24,'Données projet'!$A$113:$I$133,2,0)</f>
        <v>16</v>
      </c>
      <c r="BW24" s="13">
        <f>VLOOKUP(A24,'Données projet'!$A$113:$I$133,9,0)</f>
        <v>0.76190476190476186</v>
      </c>
      <c r="BX24" s="13">
        <f t="array" ref="BX24">INDEX(BW:BW,MIN(IF(ISNUMBER(BW24:BW220),ROW(BW24:BW220),"")))</f>
        <v>0.76190476190476186</v>
      </c>
      <c r="BY24" s="13">
        <f>IF('Données projet'!$A$114&gt;35,BY23+BX24-CG23,IF(A24&lt;'Données projet'!$A$114,$BV$205^A24,IF(A24='Données projet'!$A$114,'Données projet'!$B$114,BY23+BX24-CG23)))</f>
        <v>16.000000000000007</v>
      </c>
      <c r="BZ24" s="14">
        <f>BY24*VLOOKUP('Données projet'!$B$12,Paramètres!$A$1:$I$89,3,0)*VLOOKUP('Données projet'!$B$12,Paramètres!$A$1:$I$89,5,0)</f>
        <v>13.728000000000007</v>
      </c>
      <c r="CA24" s="14">
        <f t="shared" si="39"/>
        <v>4.663820736643733</v>
      </c>
      <c r="CB24" s="22">
        <f t="shared" si="10"/>
        <v>32.032421116321181</v>
      </c>
      <c r="CC24" s="60">
        <f t="shared" si="11"/>
        <v>325.3657544496545</v>
      </c>
      <c r="CD24" s="60">
        <f ca="1">AVERAGE(OFFSET($CC$3,0,0,'Données projet'!$E$12+1,1))-AVERAGE(OFFSET($H$3,0,0,'Données projet'!$E$12+1,1))</f>
        <v>317.48648551307656</v>
      </c>
      <c r="CE24" s="60">
        <f t="shared" si="40"/>
        <v>133.09277301479563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98.59999999999998</v>
      </c>
      <c r="CU24" s="18">
        <f>CT24*VLOOKUP('Données projet'!$B$13,Paramètres!$A$1:$I$89,3,0)*VLOOKUP('Données projet'!$B$13,Paramètres!$A$1:$I$89,5,0)</f>
        <v>76.907999999999987</v>
      </c>
      <c r="CV24" s="14">
        <f t="shared" si="41"/>
        <v>21.379448490435635</v>
      </c>
      <c r="CW24" s="22">
        <f t="shared" si="13"/>
        <v>171.18397278750868</v>
      </c>
      <c r="CX24" s="60">
        <f t="shared" si="14"/>
        <v>464.51730612084202</v>
      </c>
      <c r="CY24" s="60">
        <f ca="1">AVERAGE(OFFSET($CX$3,0,0,'Données projet'!$E$13+1,1))-AVERAGE(OFFSET($H$3,0,0,'Données projet'!$E$13+1,1))</f>
        <v>194.42056369374041</v>
      </c>
      <c r="CZ24" s="60">
        <f t="shared" si="42"/>
        <v>185.75045299455371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46.038720000000005</v>
      </c>
      <c r="DQ24" s="14">
        <f t="shared" si="43"/>
        <v>13.585879560828786</v>
      </c>
      <c r="DR24" s="22">
        <f t="shared" si="16"/>
        <v>103.84617756844348</v>
      </c>
      <c r="DS24" s="60">
        <f t="shared" si="17"/>
        <v>397.17951090177678</v>
      </c>
      <c r="DT24" s="60">
        <f ca="1">AVERAGE(OFFSET($DS$3,0,0,'Données projet'!$E$14+1,1))-AVERAGE(OFFSET($H$3,0,0,'Données projet'!$E$14+1,1))</f>
        <v>274.31056057602081</v>
      </c>
      <c r="DU24" s="60">
        <f t="shared" si="44"/>
        <v>163.41029152029387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6.9230769230769225</v>
      </c>
      <c r="EJ24" s="13">
        <f>IF('Données projet'!$A$192&gt;35,EJ23+EI24-ER23,IF(A24&lt;'Données projet'!$A$192,$EG$205^A24,IF(A24='Données projet'!$A$192,'Données projet'!$B$192,EJ23+EI24-ER23)))</f>
        <v>52.435897435897445</v>
      </c>
      <c r="EK24" s="18">
        <f>EJ24*VLOOKUP('Données projet'!$B$15,Paramètres!$A$1:$I$89,3,0)*VLOOKUP('Données projet'!$B$15,Paramètres!$A$1:$I$89,5,0)</f>
        <v>35.174000000000007</v>
      </c>
      <c r="EL24" s="14">
        <f t="shared" si="45"/>
        <v>10.710102108349531</v>
      </c>
      <c r="EM24" s="22">
        <f t="shared" si="19"/>
        <v>79.914811172042121</v>
      </c>
      <c r="EN24" s="60">
        <f t="shared" si="20"/>
        <v>373.24814450537542</v>
      </c>
      <c r="EO24" s="60">
        <f ca="1">AVERAGE(OFFSET($EN$3,0,0,'Données projet'!$E$15+1,1))-AVERAGE(OFFSET($H$3,0,0,'Données projet'!$E$15+1,1))</f>
        <v>120.18668518376586</v>
      </c>
      <c r="EP24" s="60">
        <f t="shared" si="46"/>
        <v>110.24821114898037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8">
        <f t="shared" si="1"/>
        <v>338.51204866333012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3.4358974358974361</v>
      </c>
      <c r="N25" s="14">
        <f>IF('Données projet'!$A$36&gt;35,N24+M25-V24,IF(A25&lt;'Données projet'!$A$36,$K$205^A25,IF(A25='Données projet'!$A$36,'Données projet'!$B$36,N24+M25-V24)))</f>
        <v>29.944591562111224</v>
      </c>
      <c r="O25" s="14">
        <f>N25*VLOOKUP('Données projet'!$B$9,Paramètres!$A$1:$I$89,3,0)*VLOOKUP('Données projet'!$B$9,Paramètres!$A$1:$I$89,5,0)</f>
        <v>14.014068851068053</v>
      </c>
      <c r="P25" s="14">
        <f t="shared" si="33"/>
        <v>4.749591223232712</v>
      </c>
      <c r="Q25" s="22">
        <f t="shared" si="2"/>
        <v>32.680041296073831</v>
      </c>
      <c r="R25" s="60">
        <f t="shared" si="0"/>
        <v>326.01337462940717</v>
      </c>
      <c r="S25" s="60">
        <f ca="1">AVERAGE(OFFSET($R$3,0,0,'Données projet'!$E$9+1,1))-AVERAGE(OFFSET($H$3,0,0,'Données projet'!$E$9+1,1))</f>
        <v>106.50743833854523</v>
      </c>
      <c r="T25" s="60">
        <f t="shared" si="34"/>
        <v>47.606751325129608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0">
        <f t="shared" si="5"/>
        <v>401.7808352462539</v>
      </c>
      <c r="AN25" s="60">
        <f ca="1">AVERAGE(OFFSET($AM$3,0,0,'Données projet'!$E$10+1,1))-AVERAGE(OFFSET($H$3,0,0,'Données projet'!$E$10+1,1))</f>
        <v>247.65126267995316</v>
      </c>
      <c r="AO25" s="60">
        <f t="shared" si="36"/>
        <v>149.27472147904314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53.944800000000008</v>
      </c>
      <c r="BF25" s="14">
        <f t="shared" si="37"/>
        <v>15.627975445731321</v>
      </c>
      <c r="BG25" s="22">
        <f t="shared" si="7"/>
        <v>121.17258390131538</v>
      </c>
      <c r="BH25" s="60">
        <f t="shared" si="8"/>
        <v>414.50591723464868</v>
      </c>
      <c r="BI25" s="60">
        <f ca="1">AVERAGE(OFFSET($BH$3,0,0,'Données projet'!$E$11+1,1))-AVERAGE(OFFSET($H$3,0,0,'Données projet'!$E$11+1,1))</f>
        <v>294.2815419338562</v>
      </c>
      <c r="BJ25" s="60">
        <f t="shared" si="38"/>
        <v>173.99850582760712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10.166666666666666</v>
      </c>
      <c r="BY25" s="13">
        <f>IF('Données projet'!$A$114&gt;35,BY24+BX25-CG24,IF(A25&lt;'Données projet'!$A$114,$BV$205^A25,IF(A25='Données projet'!$A$114,'Données projet'!$B$114,BY24+BX25-CG24)))</f>
        <v>26.166666666666671</v>
      </c>
      <c r="BZ25" s="14">
        <f>BY25*VLOOKUP('Données projet'!$B$12,Paramètres!$A$1:$I$89,3,0)*VLOOKUP('Données projet'!$B$12,Paramètres!$A$1:$I$89,5,0)</f>
        <v>22.451000000000008</v>
      </c>
      <c r="CA25" s="14">
        <f t="shared" si="39"/>
        <v>7.2028425332472574</v>
      </c>
      <c r="CB25" s="22">
        <f t="shared" si="10"/>
        <v>51.647109078738985</v>
      </c>
      <c r="CC25" s="60">
        <f t="shared" si="11"/>
        <v>344.98044241207231</v>
      </c>
      <c r="CD25" s="60">
        <f ca="1">AVERAGE(OFFSET($CC$3,0,0,'Données projet'!$E$12+1,1))-AVERAGE(OFFSET($H$3,0,0,'Données projet'!$E$12+1,1))</f>
        <v>317.48648551307656</v>
      </c>
      <c r="CE25" s="60">
        <f t="shared" si="40"/>
        <v>133.09277301479563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109.19999999999997</v>
      </c>
      <c r="CU25" s="18">
        <f>CT25*VLOOKUP('Données projet'!$B$13,Paramètres!$A$1:$I$89,3,0)*VLOOKUP('Données projet'!$B$13,Paramètres!$A$1:$I$89,5,0)</f>
        <v>85.175999999999988</v>
      </c>
      <c r="CV25" s="14">
        <f t="shared" si="41"/>
        <v>23.398088487656434</v>
      </c>
      <c r="CW25" s="22">
        <f t="shared" si="13"/>
        <v>189.09987078266826</v>
      </c>
      <c r="CX25" s="60">
        <f t="shared" si="14"/>
        <v>482.43320411600155</v>
      </c>
      <c r="CY25" s="60">
        <f ca="1">AVERAGE(OFFSET($CX$3,0,0,'Données projet'!$E$13+1,1))-AVERAGE(OFFSET($H$3,0,0,'Données projet'!$E$13+1,1))</f>
        <v>194.42056369374041</v>
      </c>
      <c r="CZ25" s="60">
        <f t="shared" si="42"/>
        <v>185.75045299455371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51.455040000000004</v>
      </c>
      <c r="DQ25" s="14">
        <f t="shared" si="43"/>
        <v>14.988900446655085</v>
      </c>
      <c r="DR25" s="22">
        <f t="shared" si="16"/>
        <v>115.72319627792427</v>
      </c>
      <c r="DS25" s="60">
        <f t="shared" si="17"/>
        <v>409.05652961125759</v>
      </c>
      <c r="DT25" s="60">
        <f ca="1">AVERAGE(OFFSET($DS$3,0,0,'Données projet'!$E$14+1,1))-AVERAGE(OFFSET($H$3,0,0,'Données projet'!$E$14+1,1))</f>
        <v>274.31056057602081</v>
      </c>
      <c r="DU25" s="60">
        <f t="shared" si="44"/>
        <v>163.41029152029387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6.9230769230769225</v>
      </c>
      <c r="EJ25" s="13">
        <f>IF('Données projet'!$A$192&gt;35,EJ24+EI25-ER24,IF(A25&lt;'Données projet'!$A$192,$EG$205^A25,IF(A25='Données projet'!$A$192,'Données projet'!$B$192,EJ24+EI25-ER24)))</f>
        <v>59.358974358974365</v>
      </c>
      <c r="EK25" s="18">
        <f>EJ25*VLOOKUP('Données projet'!$B$15,Paramètres!$A$1:$I$89,3,0)*VLOOKUP('Données projet'!$B$15,Paramètres!$A$1:$I$89,5,0)</f>
        <v>39.818000000000005</v>
      </c>
      <c r="EL25" s="14">
        <f t="shared" si="45"/>
        <v>11.950394990762812</v>
      </c>
      <c r="EM25" s="22">
        <f t="shared" si="19"/>
        <v>90.163287942245233</v>
      </c>
      <c r="EN25" s="60">
        <f t="shared" si="20"/>
        <v>383.49662127557855</v>
      </c>
      <c r="EO25" s="60">
        <f ca="1">AVERAGE(OFFSET($EN$3,0,0,'Données projet'!$E$15+1,1))-AVERAGE(OFFSET($H$3,0,0,'Données projet'!$E$15+1,1))</f>
        <v>120.18668518376586</v>
      </c>
      <c r="EP25" s="60">
        <f t="shared" si="46"/>
        <v>110.24821114898037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8">
        <f t="shared" si="1"/>
        <v>340.5056969817893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3.4358974358974361</v>
      </c>
      <c r="N26" s="14">
        <f>IF('Données projet'!$A$36&gt;35,N25+M26-V25,IF(A26&lt;'Données projet'!$A$36,$K$205^A26,IF(A26='Données projet'!$A$36,'Données projet'!$B$36,N25+M26-V25)))</f>
        <v>34.948116543670167</v>
      </c>
      <c r="O26" s="14">
        <f>N26*VLOOKUP('Données projet'!$B$9,Paramètres!$A$1:$I$89,3,0)*VLOOKUP('Données projet'!$B$9,Paramètres!$A$1:$I$89,5,0)</f>
        <v>16.355718542437639</v>
      </c>
      <c r="P26" s="14">
        <f t="shared" si="33"/>
        <v>5.4444065589044843</v>
      </c>
      <c r="Q26" s="22">
        <f t="shared" si="2"/>
        <v>37.968551218170866</v>
      </c>
      <c r="R26" s="60">
        <f t="shared" si="0"/>
        <v>331.3018845515042</v>
      </c>
      <c r="S26" s="60">
        <f ca="1">AVERAGE(OFFSET($R$3,0,0,'Données projet'!$E$9+1,1))-AVERAGE(OFFSET($H$3,0,0,'Données projet'!$E$9+1,1))</f>
        <v>106.50743833854523</v>
      </c>
      <c r="T26" s="60">
        <f t="shared" si="34"/>
        <v>47.606751325129608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0">
        <f t="shared" si="5"/>
        <v>412.88129961889177</v>
      </c>
      <c r="AN26" s="60">
        <f ca="1">AVERAGE(OFFSET($AM$3,0,0,'Données projet'!$E$10+1,1))-AVERAGE(OFFSET($H$3,0,0,'Données projet'!$E$10+1,1))</f>
        <v>247.65126267995316</v>
      </c>
      <c r="AO26" s="60">
        <f t="shared" si="36"/>
        <v>149.27472147904314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59.623200000000011</v>
      </c>
      <c r="BF26" s="14">
        <f t="shared" si="37"/>
        <v>17.072967249098898</v>
      </c>
      <c r="BG26" s="22">
        <f t="shared" si="7"/>
        <v>133.57915795884725</v>
      </c>
      <c r="BH26" s="60">
        <f t="shared" si="8"/>
        <v>426.91249129218056</v>
      </c>
      <c r="BI26" s="60">
        <f ca="1">AVERAGE(OFFSET($BH$3,0,0,'Données projet'!$E$11+1,1))-AVERAGE(OFFSET($H$3,0,0,'Données projet'!$E$11+1,1))</f>
        <v>294.2815419338562</v>
      </c>
      <c r="BJ26" s="60">
        <f t="shared" si="38"/>
        <v>173.99850582760712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10.166666666666666</v>
      </c>
      <c r="BY26" s="13">
        <f>IF('Données projet'!$A$114&gt;35,BY25+BX26-CG25,IF(A26&lt;'Données projet'!$A$114,$BV$205^A26,IF(A26='Données projet'!$A$114,'Données projet'!$B$114,BY25+BX26-CG25)))</f>
        <v>36.333333333333336</v>
      </c>
      <c r="BZ26" s="14">
        <f>BY26*VLOOKUP('Données projet'!$B$12,Paramètres!$A$1:$I$89,3,0)*VLOOKUP('Données projet'!$B$12,Paramètres!$A$1:$I$89,5,0)</f>
        <v>31.174000000000007</v>
      </c>
      <c r="CA26" s="14">
        <f t="shared" si="39"/>
        <v>9.6264718529466791</v>
      </c>
      <c r="CB26" s="22">
        <f t="shared" si="10"/>
        <v>71.060821810548802</v>
      </c>
      <c r="CC26" s="60">
        <f t="shared" si="11"/>
        <v>364.39415514388213</v>
      </c>
      <c r="CD26" s="60">
        <f ca="1">AVERAGE(OFFSET($CC$3,0,0,'Données projet'!$E$12+1,1))-AVERAGE(OFFSET($H$3,0,0,'Données projet'!$E$12+1,1))</f>
        <v>317.48648551307656</v>
      </c>
      <c r="CE26" s="60">
        <f t="shared" si="40"/>
        <v>133.09277301479563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119.79999999999997</v>
      </c>
      <c r="CU26" s="18">
        <f>CT26*VLOOKUP('Données projet'!$B$13,Paramètres!$A$1:$I$89,3,0)*VLOOKUP('Données projet'!$B$13,Paramètres!$A$1:$I$89,5,0)</f>
        <v>93.443999999999974</v>
      </c>
      <c r="CV26" s="14">
        <f t="shared" si="41"/>
        <v>25.394010816431489</v>
      </c>
      <c r="CW26" s="22">
        <f t="shared" si="13"/>
        <v>206.97620217195148</v>
      </c>
      <c r="CX26" s="60">
        <f t="shared" si="14"/>
        <v>500.30953550528477</v>
      </c>
      <c r="CY26" s="60">
        <f ca="1">AVERAGE(OFFSET($CX$3,0,0,'Données projet'!$E$13+1,1))-AVERAGE(OFFSET($H$3,0,0,'Données projet'!$E$13+1,1))</f>
        <v>194.42056369374041</v>
      </c>
      <c r="CZ26" s="60">
        <f t="shared" si="42"/>
        <v>185.75045299455371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56.87136000000001</v>
      </c>
      <c r="DQ26" s="14">
        <f t="shared" si="43"/>
        <v>16.374802181791551</v>
      </c>
      <c r="DR26" s="22">
        <f t="shared" si="16"/>
        <v>127.57039913328697</v>
      </c>
      <c r="DS26" s="60">
        <f t="shared" si="17"/>
        <v>420.90373246662028</v>
      </c>
      <c r="DT26" s="60">
        <f ca="1">AVERAGE(OFFSET($DS$3,0,0,'Données projet'!$E$14+1,1))-AVERAGE(OFFSET($H$3,0,0,'Données projet'!$E$14+1,1))</f>
        <v>274.31056057602081</v>
      </c>
      <c r="DU26" s="60">
        <f t="shared" si="44"/>
        <v>163.41029152029387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6.9230769230769225</v>
      </c>
      <c r="EJ26" s="13">
        <f>IF('Données projet'!$A$192&gt;35,EJ25+EI26-ER25,IF(A26&lt;'Données projet'!$A$192,$EG$205^A26,IF(A26='Données projet'!$A$192,'Données projet'!$B$192,EJ25+EI26-ER25)))</f>
        <v>66.282051282051285</v>
      </c>
      <c r="EK26" s="18">
        <f>EJ26*VLOOKUP('Données projet'!$B$15,Paramètres!$A$1:$I$89,3,0)*VLOOKUP('Données projet'!$B$15,Paramètres!$A$1:$I$89,5,0)</f>
        <v>44.462000000000003</v>
      </c>
      <c r="EL26" s="14">
        <f t="shared" si="45"/>
        <v>13.173923593104782</v>
      </c>
      <c r="EM26" s="22">
        <f t="shared" si="19"/>
        <v>100.3825669246575</v>
      </c>
      <c r="EN26" s="60">
        <f t="shared" si="20"/>
        <v>393.71590025799082</v>
      </c>
      <c r="EO26" s="60">
        <f ca="1">AVERAGE(OFFSET($EN$3,0,0,'Données projet'!$E$15+1,1))-AVERAGE(OFFSET($H$3,0,0,'Données projet'!$E$15+1,1))</f>
        <v>120.18668518376586</v>
      </c>
      <c r="EP26" s="60">
        <f t="shared" si="46"/>
        <v>110.24821114898037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8">
        <f t="shared" si="1"/>
        <v>342.49709836529308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3.4358974358974361</v>
      </c>
      <c r="N27" s="14">
        <f>IF('Données projet'!$A$36&gt;35,N26+M27-V26,IF(A27&lt;'Données projet'!$A$36,$K$205^A27,IF(A27='Données projet'!$A$36,'Données projet'!$B$36,N26+M27-V26)))</f>
        <v>40.787694412748245</v>
      </c>
      <c r="O27" s="14">
        <f>N27*VLOOKUP('Données projet'!$B$9,Paramètres!$A$1:$I$89,3,0)*VLOOKUP('Données projet'!$B$9,Paramètres!$A$1:$I$89,5,0)</f>
        <v>19.08864098516618</v>
      </c>
      <c r="P27" s="14">
        <f t="shared" si="33"/>
        <v>6.2408660841484478</v>
      </c>
      <c r="Q27" s="22">
        <f t="shared" si="2"/>
        <v>44.115558145722979</v>
      </c>
      <c r="R27" s="60">
        <f t="shared" si="0"/>
        <v>337.44889147905627</v>
      </c>
      <c r="S27" s="60">
        <f ca="1">AVERAGE(OFFSET($R$3,0,0,'Données projet'!$E$9+1,1))-AVERAGE(OFFSET($H$3,0,0,'Données projet'!$E$9+1,1))</f>
        <v>106.50743833854523</v>
      </c>
      <c r="T27" s="60">
        <f t="shared" si="34"/>
        <v>47.606751325129608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0">
        <f t="shared" si="5"/>
        <v>423.95663605630523</v>
      </c>
      <c r="AN27" s="60">
        <f ca="1">AVERAGE(OFFSET($AM$3,0,0,'Données projet'!$E$10+1,1))-AVERAGE(OFFSET($H$3,0,0,'Données projet'!$E$10+1,1))</f>
        <v>247.65126267995316</v>
      </c>
      <c r="AO27" s="60">
        <f t="shared" si="36"/>
        <v>149.27472147904314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65.301600000000008</v>
      </c>
      <c r="BF27" s="14">
        <f t="shared" si="37"/>
        <v>18.502003309535596</v>
      </c>
      <c r="BG27" s="22">
        <f t="shared" si="7"/>
        <v>145.95794243077449</v>
      </c>
      <c r="BH27" s="60">
        <f t="shared" si="8"/>
        <v>439.29127576410781</v>
      </c>
      <c r="BI27" s="60">
        <f ca="1">AVERAGE(OFFSET($BH$3,0,0,'Données projet'!$E$11+1,1))-AVERAGE(OFFSET($H$3,0,0,'Données projet'!$E$11+1,1))</f>
        <v>294.2815419338562</v>
      </c>
      <c r="BJ27" s="60">
        <f t="shared" si="38"/>
        <v>173.99850582760712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10.166666666666666</v>
      </c>
      <c r="BY27" s="13">
        <f>IF('Données projet'!$A$114&gt;35,BY26+BX27-CG26,IF(A27&lt;'Données projet'!$A$114,$BV$205^A27,IF(A27='Données projet'!$A$114,'Données projet'!$B$114,BY26+BX27-CG26)))</f>
        <v>46.5</v>
      </c>
      <c r="BZ27" s="14">
        <f>BY27*VLOOKUP('Données projet'!$B$12,Paramètres!$A$1:$I$89,3,0)*VLOOKUP('Données projet'!$B$12,Paramètres!$A$1:$I$89,5,0)</f>
        <v>39.897000000000006</v>
      </c>
      <c r="CA27" s="14">
        <f t="shared" si="39"/>
        <v>11.971342650084589</v>
      </c>
      <c r="CB27" s="22">
        <f t="shared" si="10"/>
        <v>90.337363448897335</v>
      </c>
      <c r="CC27" s="60">
        <f t="shared" si="11"/>
        <v>383.67069678223066</v>
      </c>
      <c r="CD27" s="60">
        <f ca="1">AVERAGE(OFFSET($CC$3,0,0,'Données projet'!$E$12+1,1))-AVERAGE(OFFSET($H$3,0,0,'Données projet'!$E$12+1,1))</f>
        <v>317.48648551307656</v>
      </c>
      <c r="CE27" s="60">
        <f t="shared" si="40"/>
        <v>133.09277301479563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130.39999999999998</v>
      </c>
      <c r="CU27" s="18">
        <f>CT27*VLOOKUP('Données projet'!$B$13,Paramètres!$A$1:$I$89,3,0)*VLOOKUP('Données projet'!$B$13,Paramètres!$A$1:$I$89,5,0)</f>
        <v>101.71199999999999</v>
      </c>
      <c r="CV27" s="14">
        <f t="shared" si="41"/>
        <v>27.369454120725656</v>
      </c>
      <c r="CW27" s="22">
        <f t="shared" si="13"/>
        <v>224.81686592693052</v>
      </c>
      <c r="CX27" s="60">
        <f t="shared" si="14"/>
        <v>518.15019926026389</v>
      </c>
      <c r="CY27" s="60">
        <f ca="1">AVERAGE(OFFSET($CX$3,0,0,'Données projet'!$E$13+1,1))-AVERAGE(OFFSET($H$3,0,0,'Données projet'!$E$13+1,1))</f>
        <v>194.42056369374041</v>
      </c>
      <c r="CZ27" s="60">
        <f t="shared" si="42"/>
        <v>185.75045299455371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62.287680000000009</v>
      </c>
      <c r="DQ27" s="14">
        <f t="shared" si="43"/>
        <v>17.745400652396182</v>
      </c>
      <c r="DR27" s="22">
        <f t="shared" si="16"/>
        <v>139.39094880292336</v>
      </c>
      <c r="DS27" s="60">
        <f t="shared" si="17"/>
        <v>432.72428213625665</v>
      </c>
      <c r="DT27" s="60">
        <f ca="1">AVERAGE(OFFSET($DS$3,0,0,'Données projet'!$E$14+1,1))-AVERAGE(OFFSET($H$3,0,0,'Données projet'!$E$14+1,1))</f>
        <v>274.31056057602081</v>
      </c>
      <c r="DU27" s="60">
        <f t="shared" si="44"/>
        <v>163.41029152029387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6.9230769230769225</v>
      </c>
      <c r="EJ27" s="13">
        <f>IF('Données projet'!$A$192&gt;35,EJ26+EI27-ER26,IF(A27&lt;'Données projet'!$A$192,$EG$205^A27,IF(A27='Données projet'!$A$192,'Données projet'!$B$192,EJ26+EI27-ER26)))</f>
        <v>73.205128205128204</v>
      </c>
      <c r="EK27" s="18">
        <f>EJ27*VLOOKUP('Données projet'!$B$15,Paramètres!$A$1:$I$89,3,0)*VLOOKUP('Données projet'!$B$15,Paramètres!$A$1:$I$89,5,0)</f>
        <v>49.106000000000002</v>
      </c>
      <c r="EL27" s="14">
        <f t="shared" si="45"/>
        <v>14.382638394225781</v>
      </c>
      <c r="EM27" s="22">
        <f t="shared" si="19"/>
        <v>110.57604520327656</v>
      </c>
      <c r="EN27" s="60">
        <f t="shared" si="20"/>
        <v>403.90937853660989</v>
      </c>
      <c r="EO27" s="60">
        <f ca="1">AVERAGE(OFFSET($EN$3,0,0,'Données projet'!$E$15+1,1))-AVERAGE(OFFSET($H$3,0,0,'Données projet'!$E$15+1,1))</f>
        <v>120.18668518376586</v>
      </c>
      <c r="EP27" s="60">
        <f t="shared" si="46"/>
        <v>110.24821114898037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8">
        <f t="shared" si="1"/>
        <v>344.4863571422834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3.4358974358974361</v>
      </c>
      <c r="N28" s="14">
        <f>IF('Données projet'!$A$36&gt;35,N27+M28-V27,IF(A28&lt;'Données projet'!$A$36,$K$205^A28,IF(A28='Données projet'!$A$36,'Données projet'!$B$36,N27+M28-V27)))</f>
        <v>47.603023568635017</v>
      </c>
      <c r="O28" s="14">
        <f>N28*VLOOKUP('Données projet'!$B$9,Paramètres!$A$1:$I$89,3,0)*VLOOKUP('Données projet'!$B$9,Paramètres!$A$1:$I$89,5,0)</f>
        <v>22.278215030121189</v>
      </c>
      <c r="P28" s="14">
        <f t="shared" si="33"/>
        <v>7.1538392768580321</v>
      </c>
      <c r="Q28" s="22">
        <f t="shared" si="2"/>
        <v>51.260827917988813</v>
      </c>
      <c r="R28" s="60">
        <f t="shared" si="0"/>
        <v>344.59416125132213</v>
      </c>
      <c r="S28" s="60">
        <f ca="1">AVERAGE(OFFSET($R$3,0,0,'Données projet'!$E$9+1,1))-AVERAGE(OFFSET($H$3,0,0,'Données projet'!$E$9+1,1))</f>
        <v>106.50743833854523</v>
      </c>
      <c r="T28" s="60">
        <f t="shared" si="34"/>
        <v>47.606751325129608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0">
        <f t="shared" si="5"/>
        <v>435.00927803996467</v>
      </c>
      <c r="AN28" s="60">
        <f ca="1">AVERAGE(OFFSET($AM$3,0,0,'Données projet'!$E$10+1,1))-AVERAGE(OFFSET($H$3,0,0,'Données projet'!$E$10+1,1))</f>
        <v>247.65126267995316</v>
      </c>
      <c r="AO28" s="60">
        <f t="shared" si="36"/>
        <v>149.27472147904314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70.98</v>
      </c>
      <c r="BF28" s="14">
        <f t="shared" si="37"/>
        <v>19.916628839746853</v>
      </c>
      <c r="BG28" s="22">
        <f t="shared" si="7"/>
        <v>158.31162856255909</v>
      </c>
      <c r="BH28" s="60">
        <f t="shared" si="8"/>
        <v>451.64496189589238</v>
      </c>
      <c r="BI28" s="60">
        <f ca="1">AVERAGE(OFFSET($BH$3,0,0,'Données projet'!$E$11+1,1))-AVERAGE(OFFSET($H$3,0,0,'Données projet'!$E$11+1,1))</f>
        <v>294.2815419338562</v>
      </c>
      <c r="BJ28" s="60">
        <f t="shared" si="38"/>
        <v>173.99850582760712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10.166666666666666</v>
      </c>
      <c r="BY28" s="13">
        <f>IF('Données projet'!$A$114&gt;35,BY27+BX28-CG27,IF(A28&lt;'Données projet'!$A$114,$BV$205^A28,IF(A28='Données projet'!$A$114,'Données projet'!$B$114,BY27+BX28-CG27)))</f>
        <v>56.666666666666664</v>
      </c>
      <c r="BZ28" s="14">
        <f>BY28*VLOOKUP('Données projet'!$B$12,Paramètres!$A$1:$I$89,3,0)*VLOOKUP('Données projet'!$B$12,Paramètres!$A$1:$I$89,5,0)</f>
        <v>48.620000000000005</v>
      </c>
      <c r="CA28" s="14">
        <f t="shared" si="39"/>
        <v>14.256790200344739</v>
      </c>
      <c r="CB28" s="22">
        <f t="shared" si="10"/>
        <v>109.51040959893375</v>
      </c>
      <c r="CC28" s="60">
        <f t="shared" si="11"/>
        <v>402.84374293226705</v>
      </c>
      <c r="CD28" s="60">
        <f ca="1">AVERAGE(OFFSET($CC$3,0,0,'Données projet'!$E$12+1,1))-AVERAGE(OFFSET($H$3,0,0,'Données projet'!$E$12+1,1))</f>
        <v>317.48648551307656</v>
      </c>
      <c r="CE28" s="60">
        <f t="shared" si="40"/>
        <v>133.09277301479563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141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140.99999999999997</v>
      </c>
      <c r="CU28" s="18">
        <f>CT28*VLOOKUP('Données projet'!$B$13,Paramètres!$A$1:$I$89,3,0)*VLOOKUP('Données projet'!$B$13,Paramètres!$A$1:$I$89,5,0)</f>
        <v>109.97999999999998</v>
      </c>
      <c r="CV28" s="14">
        <f t="shared" si="41"/>
        <v>29.326272366698234</v>
      </c>
      <c r="CW28" s="22">
        <f t="shared" si="13"/>
        <v>242.62509103866606</v>
      </c>
      <c r="CX28" s="60">
        <f t="shared" si="14"/>
        <v>535.9584243719994</v>
      </c>
      <c r="CY28" s="60">
        <f ca="1">AVERAGE(OFFSET($CX$3,0,0,'Données projet'!$E$13+1,1))-AVERAGE(OFFSET($H$3,0,0,'Données projet'!$E$13+1,1))</f>
        <v>194.42056369374041</v>
      </c>
      <c r="CZ28" s="60">
        <f t="shared" si="42"/>
        <v>185.75045299455371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55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67.703999999999994</v>
      </c>
      <c r="DQ28" s="14">
        <f t="shared" si="43"/>
        <v>19.102177882771514</v>
      </c>
      <c r="DR28" s="22">
        <f t="shared" si="16"/>
        <v>151.18742647916039</v>
      </c>
      <c r="DS28" s="60">
        <f t="shared" si="17"/>
        <v>444.52075981249368</v>
      </c>
      <c r="DT28" s="60">
        <f ca="1">AVERAGE(OFFSET($DS$3,0,0,'Données projet'!$E$14+1,1))-AVERAGE(OFFSET($H$3,0,0,'Données projet'!$E$14+1,1))</f>
        <v>274.31056057602081</v>
      </c>
      <c r="DU28" s="60">
        <f t="shared" si="44"/>
        <v>163.41029152029387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80.128205128205124</v>
      </c>
      <c r="EH28" s="13">
        <f>VLOOKUP(A28,'Données projet'!$A$191:$I$211,9,0)</f>
        <v>6.9230769230769225</v>
      </c>
      <c r="EI28" s="13">
        <f t="array" ref="EI28">INDEX(EH:EH,MIN(IF(ISNUMBER(EH28:EH224),ROW(EH28:EH224),"")))</f>
        <v>6.9230769230769225</v>
      </c>
      <c r="EJ28" s="13">
        <f>IF('Données projet'!$A$192&gt;35,EJ27+EI28-ER27,IF(A28&lt;'Données projet'!$A$192,$EG$205^A28,IF(A28='Données projet'!$A$192,'Données projet'!$B$192,EJ27+EI28-ER27)))</f>
        <v>80.128205128205124</v>
      </c>
      <c r="EK28" s="18">
        <f>EJ28*VLOOKUP('Données projet'!$B$15,Paramètres!$A$1:$I$89,3,0)*VLOOKUP('Données projet'!$B$15,Paramètres!$A$1:$I$89,5,0)</f>
        <v>53.75</v>
      </c>
      <c r="EL28" s="14">
        <f t="shared" si="45"/>
        <v>15.578099725539307</v>
      </c>
      <c r="EM28" s="22">
        <f t="shared" si="19"/>
        <v>120.74644035531428</v>
      </c>
      <c r="EN28" s="60">
        <f t="shared" si="20"/>
        <v>414.07977368864761</v>
      </c>
      <c r="EO28" s="60">
        <f ca="1">AVERAGE(OFFSET($EN$3,0,0,'Données projet'!$E$15+1,1))-AVERAGE(OFFSET($H$3,0,0,'Données projet'!$E$15+1,1))</f>
        <v>120.18668518376586</v>
      </c>
      <c r="EP28" s="60">
        <f t="shared" si="46"/>
        <v>110.24821114898037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8">
        <f t="shared" si="1"/>
        <v>346.47356882250091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3.4358974358974361</v>
      </c>
      <c r="N29" s="14">
        <f>IF('Données projet'!$A$36&gt;35,N28+M29-V28,IF(A29&lt;'Données projet'!$A$36,$K$205^A29,IF(A29='Données projet'!$A$36,'Données projet'!$B$36,N28+M29-V28)))</f>
        <v>55.557145004199242</v>
      </c>
      <c r="O29" s="14">
        <f>N29*VLOOKUP('Données projet'!$B$9,Paramètres!$A$1:$I$89,3,0)*VLOOKUP('Données projet'!$B$9,Paramètres!$A$1:$I$89,5,0)</f>
        <v>26.000743861965244</v>
      </c>
      <c r="P29" s="14">
        <f t="shared" si="33"/>
        <v>8.2003708634455794</v>
      </c>
      <c r="Q29" s="22">
        <f t="shared" si="2"/>
        <v>59.56694148009052</v>
      </c>
      <c r="R29" s="60">
        <f t="shared" si="0"/>
        <v>352.90027481342383</v>
      </c>
      <c r="S29" s="60">
        <f ca="1">AVERAGE(OFFSET($R$3,0,0,'Données projet'!$E$9+1,1))-AVERAGE(OFFSET($H$3,0,0,'Données projet'!$E$9+1,1))</f>
        <v>106.50743833854523</v>
      </c>
      <c r="T29" s="60">
        <f t="shared" si="34"/>
        <v>47.606751325129608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0">
        <f t="shared" si="5"/>
        <v>448.79621558952238</v>
      </c>
      <c r="AN29" s="60">
        <f ca="1">AVERAGE(OFFSET($AM$3,0,0,'Données projet'!$E$10+1,1))-AVERAGE(OFFSET($H$3,0,0,'Données projet'!$E$10+1,1))</f>
        <v>247.65126267995316</v>
      </c>
      <c r="AO29" s="60">
        <f t="shared" si="36"/>
        <v>149.27472147904314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78.078000000000003</v>
      </c>
      <c r="BF29" s="14">
        <f t="shared" si="37"/>
        <v>21.666582091642084</v>
      </c>
      <c r="BG29" s="22">
        <f t="shared" si="7"/>
        <v>173.72181380960993</v>
      </c>
      <c r="BH29" s="60">
        <f t="shared" si="8"/>
        <v>467.05514714294327</v>
      </c>
      <c r="BI29" s="60">
        <f ca="1">AVERAGE(OFFSET($BH$3,0,0,'Données projet'!$E$11+1,1))-AVERAGE(OFFSET($H$3,0,0,'Données projet'!$E$11+1,1))</f>
        <v>294.2815419338562</v>
      </c>
      <c r="BJ29" s="60">
        <f t="shared" si="38"/>
        <v>173.99850582760712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10.166666666666666</v>
      </c>
      <c r="BY29" s="13">
        <f>IF('Données projet'!$A$114&gt;35,BY28+BX29-CG28,IF(A29&lt;'Données projet'!$A$114,$BV$205^A29,IF(A29='Données projet'!$A$114,'Données projet'!$B$114,BY28+BX29-CG28)))</f>
        <v>66.833333333333329</v>
      </c>
      <c r="BZ29" s="14">
        <f>BY29*VLOOKUP('Données projet'!$B$12,Paramètres!$A$1:$I$89,3,0)*VLOOKUP('Données projet'!$B$12,Paramètres!$A$1:$I$89,5,0)</f>
        <v>57.343000000000004</v>
      </c>
      <c r="CA29" s="14">
        <f t="shared" si="39"/>
        <v>16.494735476368202</v>
      </c>
      <c r="CB29" s="22">
        <f t="shared" si="10"/>
        <v>128.6007226213413</v>
      </c>
      <c r="CC29" s="60">
        <f t="shared" si="11"/>
        <v>421.93405595467459</v>
      </c>
      <c r="CD29" s="60">
        <f ca="1">AVERAGE(OFFSET($CC$3,0,0,'Données projet'!$E$12+1,1))-AVERAGE(OFFSET($H$3,0,0,'Données projet'!$E$12+1,1))</f>
        <v>317.48648551307656</v>
      </c>
      <c r="CE29" s="60">
        <f t="shared" si="40"/>
        <v>133.09277301479563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0">
        <f t="shared" si="14"/>
        <v>462.65566021805489</v>
      </c>
      <c r="CY29" s="60">
        <f ca="1">AVERAGE(OFFSET($CX$3,0,0,'Données projet'!$E$13+1,1))-AVERAGE(OFFSET($H$3,0,0,'Données projet'!$E$13+1,1))</f>
        <v>194.42056369374041</v>
      </c>
      <c r="CZ29" s="60">
        <f t="shared" si="42"/>
        <v>185.75045299455371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74.474400000000003</v>
      </c>
      <c r="DQ29" s="14">
        <f t="shared" si="43"/>
        <v>20.780570274034375</v>
      </c>
      <c r="DR29" s="22">
        <f t="shared" si="16"/>
        <v>165.90240656060988</v>
      </c>
      <c r="DS29" s="60">
        <f t="shared" si="17"/>
        <v>459.23573989394322</v>
      </c>
      <c r="DT29" s="60">
        <f ca="1">AVERAGE(OFFSET($DS$3,0,0,'Données projet'!$E$14+1,1))-AVERAGE(OFFSET($H$3,0,0,'Données projet'!$E$14+1,1))</f>
        <v>274.31056057602081</v>
      </c>
      <c r="DU29" s="60">
        <f t="shared" si="44"/>
        <v>163.41029152029387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6.9230769230769225</v>
      </c>
      <c r="EJ29" s="13">
        <f>IF('Données projet'!$A$192&gt;35,EJ28+EI29-ER28,IF(A29&lt;'Données projet'!$A$192,$EG$205^A29,IF(A29='Données projet'!$A$192,'Données projet'!$B$192,EJ28+EI29-ER28)))</f>
        <v>87.051282051282044</v>
      </c>
      <c r="EK29" s="18">
        <f>EJ29*VLOOKUP('Données projet'!$B$15,Paramètres!$A$1:$I$89,3,0)*VLOOKUP('Données projet'!$B$15,Paramètres!$A$1:$I$89,5,0)</f>
        <v>58.393999999999991</v>
      </c>
      <c r="EL29" s="14">
        <f t="shared" si="45"/>
        <v>16.761582884414576</v>
      </c>
      <c r="EM29" s="22">
        <f t="shared" si="19"/>
        <v>130.8959735236887</v>
      </c>
      <c r="EN29" s="60">
        <f t="shared" si="20"/>
        <v>424.22930685702204</v>
      </c>
      <c r="EO29" s="60">
        <f ca="1">AVERAGE(OFFSET($EN$3,0,0,'Données projet'!$E$15+1,1))-AVERAGE(OFFSET($H$3,0,0,'Données projet'!$E$15+1,1))</f>
        <v>120.18668518376586</v>
      </c>
      <c r="EP29" s="60">
        <f t="shared" si="46"/>
        <v>110.24821114898037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8">
        <f t="shared" si="1"/>
        <v>348.45882115271871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3.4358974358974361</v>
      </c>
      <c r="N30" s="14">
        <f>IF('Données projet'!$A$36&gt;35,N29+M30-V29,IF(A30&lt;'Données projet'!$A$36,$K$205^A30,IF(A30='Données projet'!$A$36,'Données projet'!$B$36,N29+M30-V29)))</f>
        <v>64.840342684688977</v>
      </c>
      <c r="O30" s="14">
        <f>N30*VLOOKUP('Données projet'!$B$9,Paramètres!$A$1:$I$89,3,0)*VLOOKUP('Données projet'!$B$9,Paramètres!$A$1:$I$89,5,0)</f>
        <v>30.345280376434442</v>
      </c>
      <c r="P30" s="14">
        <f t="shared" si="33"/>
        <v>9.3999990348653313</v>
      </c>
      <c r="Q30" s="22">
        <f t="shared" si="2"/>
        <v>69.223028308013781</v>
      </c>
      <c r="R30" s="60">
        <f t="shared" si="0"/>
        <v>362.55636164134711</v>
      </c>
      <c r="S30" s="60">
        <f ca="1">AVERAGE(OFFSET($R$3,0,0,'Données projet'!$E$9+1,1))-AVERAGE(OFFSET($H$3,0,0,'Données projet'!$E$9+1,1))</f>
        <v>106.50743833854523</v>
      </c>
      <c r="T30" s="60">
        <f t="shared" si="34"/>
        <v>47.606751325129608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0">
        <f t="shared" si="5"/>
        <v>462.55410206940076</v>
      </c>
      <c r="AN30" s="60">
        <f ca="1">AVERAGE(OFFSET($AM$3,0,0,'Données projet'!$E$10+1,1))-AVERAGE(OFFSET($H$3,0,0,'Données projet'!$E$10+1,1))</f>
        <v>247.65126267995316</v>
      </c>
      <c r="AO30" s="60">
        <f t="shared" si="36"/>
        <v>149.27472147904314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85.176000000000002</v>
      </c>
      <c r="BF30" s="14">
        <f t="shared" si="37"/>
        <v>23.398088487656441</v>
      </c>
      <c r="BG30" s="22">
        <f t="shared" si="7"/>
        <v>189.09987078266829</v>
      </c>
      <c r="BH30" s="60">
        <f t="shared" si="8"/>
        <v>482.4332041160016</v>
      </c>
      <c r="BI30" s="60">
        <f ca="1">AVERAGE(OFFSET($BH$3,0,0,'Données projet'!$E$11+1,1))-AVERAGE(OFFSET($H$3,0,0,'Données projet'!$E$11+1,1))</f>
        <v>294.2815419338562</v>
      </c>
      <c r="BJ30" s="60">
        <f t="shared" si="38"/>
        <v>173.99850582760712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>
        <f>VLOOKUP(A30,'Données projet'!$A$113:$I$133,2,0)</f>
        <v>77</v>
      </c>
      <c r="BW30" s="13">
        <f>VLOOKUP(A30,'Données projet'!$A$113:$I$133,9,0)</f>
        <v>10.166666666666666</v>
      </c>
      <c r="BX30" s="13">
        <f t="array" ref="BX30">INDEX(BW:BW,MIN(IF(ISNUMBER(BW30:BW226),ROW(BW30:BW226),"")))</f>
        <v>10.166666666666666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66.066000000000003</v>
      </c>
      <c r="CA30" s="14">
        <f t="shared" si="39"/>
        <v>18.69324238096624</v>
      </c>
      <c r="CB30" s="22">
        <f t="shared" si="10"/>
        <v>147.62234714684953</v>
      </c>
      <c r="CC30" s="60">
        <f t="shared" si="11"/>
        <v>440.95568048018288</v>
      </c>
      <c r="CD30" s="60">
        <f ca="1">AVERAGE(OFFSET($CC$3,0,0,'Données projet'!$E$12+1,1))-AVERAGE(OFFSET($H$3,0,0,'Données projet'!$E$12+1,1))</f>
        <v>317.48648551307656</v>
      </c>
      <c r="CE30" s="60">
        <f t="shared" si="40"/>
        <v>133.09277301479563</v>
      </c>
      <c r="CF30" s="16">
        <f>IF(ISNA(VLOOKUP(A30,'Données projet'!$A$113:$I$133,3,0)),0,VLOOKUP(A30,'Données projet'!$A$113:$I$133,3,0))</f>
        <v>1</v>
      </c>
      <c r="CG30" s="16">
        <f>IF(ISNA(VLOOKUP(A30,'Données projet'!$A$113:$I$133,4,0)),0,VLOOKUP(A30,'Données projet'!$A$113:$I$133,4,0))</f>
        <v>12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0">
        <f t="shared" si="14"/>
        <v>482.09554804062378</v>
      </c>
      <c r="CY30" s="60">
        <f ca="1">AVERAGE(OFFSET($CX$3,0,0,'Données projet'!$E$13+1,1))-AVERAGE(OFFSET($H$3,0,0,'Données projet'!$E$13+1,1))</f>
        <v>194.42056369374041</v>
      </c>
      <c r="CZ30" s="60">
        <f t="shared" si="42"/>
        <v>185.75045299455371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81.244799999999998</v>
      </c>
      <c r="DQ30" s="14">
        <f t="shared" si="43"/>
        <v>22.441270156928962</v>
      </c>
      <c r="DR30" s="22">
        <f t="shared" si="16"/>
        <v>180.58657218998462</v>
      </c>
      <c r="DS30" s="60">
        <f t="shared" si="17"/>
        <v>473.91990552331794</v>
      </c>
      <c r="DT30" s="60">
        <f ca="1">AVERAGE(OFFSET($DS$3,0,0,'Données projet'!$E$14+1,1))-AVERAGE(OFFSET($H$3,0,0,'Données projet'!$E$14+1,1))</f>
        <v>274.31056057602081</v>
      </c>
      <c r="DU30" s="60">
        <f t="shared" si="44"/>
        <v>163.41029152029387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6.9230769230769225</v>
      </c>
      <c r="EJ30" s="13">
        <f>IF('Données projet'!$A$192&gt;35,EJ29+EI30-ER29,IF(A30&lt;'Données projet'!$A$192,$EG$205^A30,IF(A30='Données projet'!$A$192,'Données projet'!$B$192,EJ29+EI30-ER29)))</f>
        <v>93.974358974358964</v>
      </c>
      <c r="EK30" s="18">
        <f>EJ30*VLOOKUP('Données projet'!$B$15,Paramètres!$A$1:$I$89,3,0)*VLOOKUP('Données projet'!$B$15,Paramètres!$A$1:$I$89,5,0)</f>
        <v>63.037999999999997</v>
      </c>
      <c r="EL30" s="14">
        <f t="shared" si="45"/>
        <v>17.93414878320046</v>
      </c>
      <c r="EM30" s="22">
        <f t="shared" si="19"/>
        <v>141.02649246407412</v>
      </c>
      <c r="EN30" s="60">
        <f t="shared" si="20"/>
        <v>434.35982579740744</v>
      </c>
      <c r="EO30" s="60">
        <f ca="1">AVERAGE(OFFSET($EN$3,0,0,'Données projet'!$E$15+1,1))-AVERAGE(OFFSET($H$3,0,0,'Données projet'!$E$15+1,1))</f>
        <v>120.18668518376586</v>
      </c>
      <c r="EP30" s="60">
        <f t="shared" si="46"/>
        <v>110.24821114898037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8">
        <f t="shared" si="1"/>
        <v>350.44219501167436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3.4358974358974361</v>
      </c>
      <c r="N31" s="14">
        <f>IF('Données projet'!$A$36&gt;35,N30+M31-V30,IF(A31&lt;'Données projet'!$A$36,$K$205^A31,IF(A31='Données projet'!$A$36,'Données projet'!$B$36,N30+M31-V30)))</f>
        <v>75.674695651659619</v>
      </c>
      <c r="O31" s="14">
        <f>N31*VLOOKUP('Données projet'!$B$9,Paramètres!$A$1:$I$89,3,0)*VLOOKUP('Données projet'!$B$9,Paramètres!$A$1:$I$89,5,0)</f>
        <v>35.415757564976701</v>
      </c>
      <c r="P31" s="14">
        <f t="shared" si="33"/>
        <v>10.775120214299996</v>
      </c>
      <c r="Q31" s="22">
        <f t="shared" si="2"/>
        <v>80.449112132240245</v>
      </c>
      <c r="R31" s="60">
        <f t="shared" si="0"/>
        <v>373.78244546557357</v>
      </c>
      <c r="S31" s="60">
        <f ca="1">AVERAGE(OFFSET($R$3,0,0,'Données projet'!$E$9+1,1))-AVERAGE(OFFSET($H$3,0,0,'Données projet'!$E$9+1,1))</f>
        <v>106.50743833854523</v>
      </c>
      <c r="T31" s="60">
        <f t="shared" si="34"/>
        <v>47.606751325129608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0">
        <f t="shared" si="5"/>
        <v>476.28563363945864</v>
      </c>
      <c r="AN31" s="60">
        <f ca="1">AVERAGE(OFFSET($AM$3,0,0,'Données projet'!$E$10+1,1))-AVERAGE(OFFSET($H$3,0,0,'Données projet'!$E$10+1,1))</f>
        <v>247.65126267995316</v>
      </c>
      <c r="AO31" s="60">
        <f t="shared" si="36"/>
        <v>149.27472147904314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92.274000000000001</v>
      </c>
      <c r="BF31" s="14">
        <f t="shared" si="37"/>
        <v>25.112860036087575</v>
      </c>
      <c r="BG31" s="22">
        <f t="shared" si="7"/>
        <v>204.4487812295192</v>
      </c>
      <c r="BH31" s="60">
        <f t="shared" si="8"/>
        <v>497.78211456285248</v>
      </c>
      <c r="BI31" s="60">
        <f ca="1">AVERAGE(OFFSET($BH$3,0,0,'Données projet'!$E$11+1,1))-AVERAGE(OFFSET($H$3,0,0,'Données projet'!$E$11+1,1))</f>
        <v>294.2815419338562</v>
      </c>
      <c r="BJ31" s="60">
        <f t="shared" si="38"/>
        <v>173.99850582760712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12.333333333333334</v>
      </c>
      <c r="BY31" s="13">
        <f>IF('Données projet'!$A$114&gt;35,BY30+BX31-CG30,IF(A31&lt;'Données projet'!$A$114,$BV$205^A31,IF(A31='Données projet'!$A$114,'Données projet'!$B$114,BY30+BX31-CG30)))</f>
        <v>77.333333333333329</v>
      </c>
      <c r="BZ31" s="14">
        <f>BY31*VLOOKUP('Données projet'!$B$12,Paramètres!$A$1:$I$89,3,0)*VLOOKUP('Données projet'!$B$12,Paramètres!$A$1:$I$89,5,0)</f>
        <v>66.352000000000004</v>
      </c>
      <c r="CA31" s="14">
        <f t="shared" si="39"/>
        <v>18.764728069895565</v>
      </c>
      <c r="CB31" s="22">
        <f t="shared" si="10"/>
        <v>148.24496805506811</v>
      </c>
      <c r="CC31" s="60">
        <f t="shared" si="11"/>
        <v>441.57830138840143</v>
      </c>
      <c r="CD31" s="60">
        <f ca="1">AVERAGE(OFFSET($CC$3,0,0,'Données projet'!$E$12+1,1))-AVERAGE(OFFSET($H$3,0,0,'Données projet'!$E$12+1,1))</f>
        <v>317.48648551307656</v>
      </c>
      <c r="CE31" s="60">
        <f t="shared" si="40"/>
        <v>133.09277301479563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0">
        <f t="shared" si="14"/>
        <v>501.48875394772284</v>
      </c>
      <c r="CY31" s="60">
        <f ca="1">AVERAGE(OFFSET($CX$3,0,0,'Données projet'!$E$13+1,1))-AVERAGE(OFFSET($H$3,0,0,'Données projet'!$E$13+1,1))</f>
        <v>194.42056369374041</v>
      </c>
      <c r="CZ31" s="60">
        <f t="shared" si="42"/>
        <v>185.75045299455371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88.015200000000007</v>
      </c>
      <c r="DQ31" s="14">
        <f t="shared" si="43"/>
        <v>24.085919530575829</v>
      </c>
      <c r="DR31" s="22">
        <f t="shared" si="16"/>
        <v>195.24278318241954</v>
      </c>
      <c r="DS31" s="60">
        <f t="shared" si="17"/>
        <v>488.57611651575286</v>
      </c>
      <c r="DT31" s="60">
        <f ca="1">AVERAGE(OFFSET($DS$3,0,0,'Données projet'!$E$14+1,1))-AVERAGE(OFFSET($H$3,0,0,'Données projet'!$E$14+1,1))</f>
        <v>274.31056057602081</v>
      </c>
      <c r="DU31" s="60">
        <f t="shared" si="44"/>
        <v>163.41029152029387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6.9230769230769225</v>
      </c>
      <c r="EJ31" s="13">
        <f>IF('Données projet'!$A$192&gt;35,EJ30+EI31-ER30,IF(A31&lt;'Données projet'!$A$192,$EG$205^A31,IF(A31='Données projet'!$A$192,'Données projet'!$B$192,EJ30+EI31-ER30)))</f>
        <v>100.89743589743588</v>
      </c>
      <c r="EK31" s="18">
        <f>EJ31*VLOOKUP('Données projet'!$B$15,Paramètres!$A$1:$I$89,3,0)*VLOOKUP('Données projet'!$B$15,Paramètres!$A$1:$I$89,5,0)</f>
        <v>67.681999999999988</v>
      </c>
      <c r="EL31" s="14">
        <f t="shared" si="45"/>
        <v>19.096693153956942</v>
      </c>
      <c r="EM31" s="22">
        <f t="shared" si="19"/>
        <v>151.13955724314167</v>
      </c>
      <c r="EN31" s="60">
        <f t="shared" si="20"/>
        <v>444.47289057647498</v>
      </c>
      <c r="EO31" s="60">
        <f ca="1">AVERAGE(OFFSET($EN$3,0,0,'Données projet'!$E$15+1,1))-AVERAGE(OFFSET($H$3,0,0,'Données projet'!$E$15+1,1))</f>
        <v>120.18668518376586</v>
      </c>
      <c r="EP31" s="60">
        <f t="shared" si="46"/>
        <v>110.24821114898037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8">
        <f t="shared" si="1"/>
        <v>352.42376517356132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3.4358974358974361</v>
      </c>
      <c r="N32" s="14">
        <f>IF('Données projet'!$A$36&gt;35,N31+M32-V31,IF(A32&lt;'Données projet'!$A$36,$K$205^A32,IF(A32='Données projet'!$A$36,'Données projet'!$B$36,N31+M32-V31)))</f>
        <v>88.319390750591623</v>
      </c>
      <c r="O32" s="14">
        <f>N32*VLOOKUP('Données projet'!$B$9,Paramètres!$A$1:$I$89,3,0)*VLOOKUP('Données projet'!$B$9,Paramètres!$A$1:$I$89,5,0)</f>
        <v>41.333474871276877</v>
      </c>
      <c r="P32" s="14">
        <f t="shared" si="33"/>
        <v>12.351407186530604</v>
      </c>
      <c r="Q32" s="22">
        <f t="shared" si="2"/>
        <v>93.501169584014704</v>
      </c>
      <c r="R32" s="60">
        <f t="shared" si="0"/>
        <v>386.834502917348</v>
      </c>
      <c r="S32" s="60">
        <f ca="1">AVERAGE(OFFSET($R$3,0,0,'Données projet'!$E$9+1,1))-AVERAGE(OFFSET($H$3,0,0,'Données projet'!$E$9+1,1))</f>
        <v>106.50743833854523</v>
      </c>
      <c r="T32" s="60">
        <f t="shared" si="34"/>
        <v>47.606751325129608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0">
        <f t="shared" si="5"/>
        <v>489.99306810277216</v>
      </c>
      <c r="AN32" s="60">
        <f ca="1">AVERAGE(OFFSET($AM$3,0,0,'Données projet'!$E$10+1,1))-AVERAGE(OFFSET($H$3,0,0,'Données projet'!$E$10+1,1))</f>
        <v>247.65126267995316</v>
      </c>
      <c r="AO32" s="60">
        <f t="shared" si="36"/>
        <v>149.27472147904314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99.372000000000014</v>
      </c>
      <c r="BF32" s="14">
        <f t="shared" si="37"/>
        <v>26.812330397327713</v>
      </c>
      <c r="BG32" s="22">
        <f t="shared" si="7"/>
        <v>219.7710421086791</v>
      </c>
      <c r="BH32" s="60">
        <f t="shared" si="8"/>
        <v>513.10437544201238</v>
      </c>
      <c r="BI32" s="60">
        <f ca="1">AVERAGE(OFFSET($BH$3,0,0,'Données projet'!$E$11+1,1))-AVERAGE(OFFSET($H$3,0,0,'Données projet'!$E$11+1,1))</f>
        <v>294.2815419338562</v>
      </c>
      <c r="BJ32" s="60">
        <f t="shared" si="38"/>
        <v>173.99850582760712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12.333333333333334</v>
      </c>
      <c r="BY32" s="13">
        <f>IF('Données projet'!$A$114&gt;35,BY31+BX32-CG31,IF(A32&lt;'Données projet'!$A$114,$BV$205^A32,IF(A32='Données projet'!$A$114,'Données projet'!$B$114,BY31+BX32-CG31)))</f>
        <v>89.666666666666657</v>
      </c>
      <c r="BZ32" s="14">
        <f>BY32*VLOOKUP('Données projet'!$B$12,Paramètres!$A$1:$I$89,3,0)*VLOOKUP('Données projet'!$B$12,Paramètres!$A$1:$I$89,5,0)</f>
        <v>76.933999999999997</v>
      </c>
      <c r="CA32" s="14">
        <f t="shared" si="39"/>
        <v>21.385834734197029</v>
      </c>
      <c r="CB32" s="22">
        <f t="shared" si="10"/>
        <v>171.24037882872651</v>
      </c>
      <c r="CC32" s="60">
        <f t="shared" si="11"/>
        <v>464.57371216205979</v>
      </c>
      <c r="CD32" s="60">
        <f ca="1">AVERAGE(OFFSET($CC$3,0,0,'Données projet'!$E$12+1,1))-AVERAGE(OFFSET($H$3,0,0,'Données projet'!$E$12+1,1))</f>
        <v>317.48648551307656</v>
      </c>
      <c r="CE32" s="60">
        <f t="shared" si="40"/>
        <v>133.09277301479563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0">
        <f t="shared" si="14"/>
        <v>520.84023993165238</v>
      </c>
      <c r="CY32" s="60">
        <f ca="1">AVERAGE(OFFSET($CX$3,0,0,'Données projet'!$E$13+1,1))-AVERAGE(OFFSET($H$3,0,0,'Données projet'!$E$13+1,1))</f>
        <v>194.42056369374041</v>
      </c>
      <c r="CZ32" s="60">
        <f t="shared" si="42"/>
        <v>185.75045299455371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94.785600000000002</v>
      </c>
      <c r="DQ32" s="14">
        <f t="shared" si="43"/>
        <v>25.715893428674526</v>
      </c>
      <c r="DR32" s="22">
        <f t="shared" si="16"/>
        <v>209.87343438827483</v>
      </c>
      <c r="DS32" s="60">
        <f t="shared" si="17"/>
        <v>503.20676772160812</v>
      </c>
      <c r="DT32" s="60">
        <f ca="1">AVERAGE(OFFSET($DS$3,0,0,'Données projet'!$E$14+1,1))-AVERAGE(OFFSET($H$3,0,0,'Données projet'!$E$14+1,1))</f>
        <v>274.31056057602081</v>
      </c>
      <c r="DU32" s="60">
        <f t="shared" si="44"/>
        <v>163.41029152029387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6.9230769230769225</v>
      </c>
      <c r="EJ32" s="13">
        <f>IF('Données projet'!$A$192&gt;35,EJ31+EI32-ER31,IF(A32&lt;'Données projet'!$A$192,$EG$205^A32,IF(A32='Données projet'!$A$192,'Données projet'!$B$192,EJ31+EI32-ER31)))</f>
        <v>107.8205128205128</v>
      </c>
      <c r="EK32" s="18">
        <f>EJ32*VLOOKUP('Données projet'!$B$15,Paramètres!$A$1:$I$89,3,0)*VLOOKUP('Données projet'!$B$15,Paramètres!$A$1:$I$89,5,0)</f>
        <v>72.325999999999993</v>
      </c>
      <c r="EL32" s="14">
        <f t="shared" si="45"/>
        <v>20.249981849133913</v>
      </c>
      <c r="EM32" s="22">
        <f t="shared" si="19"/>
        <v>161.23650172057486</v>
      </c>
      <c r="EN32" s="60">
        <f t="shared" si="20"/>
        <v>454.56983505390815</v>
      </c>
      <c r="EO32" s="60">
        <f ca="1">AVERAGE(OFFSET($EN$3,0,0,'Données projet'!$E$15+1,1))-AVERAGE(OFFSET($H$3,0,0,'Données projet'!$E$15+1,1))</f>
        <v>120.18668518376586</v>
      </c>
      <c r="EP32" s="60">
        <f t="shared" si="46"/>
        <v>110.24821114898037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8">
        <f t="shared" si="1"/>
        <v>354.40360096325321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103.07692307692308</v>
      </c>
      <c r="L33" s="13">
        <f>VLOOKUP(A33,'Données projet'!$A$35:$I$55,9,0)</f>
        <v>3.4358974358974361</v>
      </c>
      <c r="M33" s="13">
        <f t="array" ref="M33">INDEX(L:L,MIN(IF(ISNUMBER(L33:L229),ROW(L33:L229),"")))</f>
        <v>3.4358974358974361</v>
      </c>
      <c r="N33" s="14">
        <f>IF('Données projet'!$A$36&gt;35,N32+M33-V32,IF(A33&lt;'Données projet'!$A$36,$K$205^A33,IF(A33='Données projet'!$A$36,'Données projet'!$B$36,N32+M33-V32)))</f>
        <v>103.07692307692308</v>
      </c>
      <c r="O33" s="14">
        <f>N33*VLOOKUP('Données projet'!$B$9,Paramètres!$A$1:$I$89,3,0)*VLOOKUP('Données projet'!$B$9,Paramètres!$A$1:$I$89,5,0)</f>
        <v>48.240000000000009</v>
      </c>
      <c r="P33" s="14">
        <f t="shared" si="33"/>
        <v>14.15828839524373</v>
      </c>
      <c r="Q33" s="22">
        <f t="shared" si="2"/>
        <v>108.6770189550495</v>
      </c>
      <c r="R33" s="60">
        <f t="shared" si="0"/>
        <v>402.01035228838282</v>
      </c>
      <c r="S33" s="60">
        <f ca="1">AVERAGE(OFFSET($R$3,0,0,'Données projet'!$E$9+1,1))-AVERAGE(OFFSET($H$3,0,0,'Données projet'!$E$9+1,1))</f>
        <v>106.50743833854523</v>
      </c>
      <c r="T33" s="60">
        <f t="shared" si="34"/>
        <v>47.606751325129608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0">
        <f t="shared" si="5"/>
        <v>503.67832244229635</v>
      </c>
      <c r="AN33" s="60">
        <f ca="1">AVERAGE(OFFSET($AM$3,0,0,'Données projet'!$E$10+1,1))-AVERAGE(OFFSET($H$3,0,0,'Données projet'!$E$10+1,1))</f>
        <v>247.65126267995316</v>
      </c>
      <c r="AO33" s="60">
        <f t="shared" si="36"/>
        <v>149.27472147904314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106.47</v>
      </c>
      <c r="BF33" s="14">
        <f t="shared" si="37"/>
        <v>28.49771681771891</v>
      </c>
      <c r="BG33" s="22">
        <f t="shared" si="7"/>
        <v>235.06877345752704</v>
      </c>
      <c r="BH33" s="60">
        <f t="shared" si="8"/>
        <v>528.40210679086033</v>
      </c>
      <c r="BI33" s="60">
        <f ca="1">AVERAGE(OFFSET($BH$3,0,0,'Données projet'!$E$11+1,1))-AVERAGE(OFFSET($H$3,0,0,'Données projet'!$E$11+1,1))</f>
        <v>294.2815419338562</v>
      </c>
      <c r="BJ33" s="60">
        <f t="shared" si="38"/>
        <v>173.99850582760712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102</v>
      </c>
      <c r="BW33" s="13">
        <f>VLOOKUP(A33,'Données projet'!$A$113:$I$133,9,0)</f>
        <v>12.333333333333334</v>
      </c>
      <c r="BX33" s="13">
        <f t="array" ref="BX33">INDEX(BW:BW,MIN(IF(ISNUMBER(BW33:BW229),ROW(BW33:BW229),"")))</f>
        <v>12.333333333333334</v>
      </c>
      <c r="BY33" s="13">
        <f>IF('Données projet'!$A$114&gt;35,BY32+BX33-CG32,IF(A33&lt;'Données projet'!$A$114,$BV$205^A33,IF(A33='Données projet'!$A$114,'Données projet'!$B$114,BY32+BX33-CG32)))</f>
        <v>101.99999999999999</v>
      </c>
      <c r="BZ33" s="14">
        <f>BY33*VLOOKUP('Données projet'!$B$12,Paramètres!$A$1:$I$89,3,0)*VLOOKUP('Données projet'!$B$12,Paramètres!$A$1:$I$89,5,0)</f>
        <v>87.515999999999991</v>
      </c>
      <c r="CA33" s="14">
        <f t="shared" si="39"/>
        <v>23.965171662037644</v>
      </c>
      <c r="CB33" s="22">
        <f t="shared" si="10"/>
        <v>194.16304064471555</v>
      </c>
      <c r="CC33" s="60">
        <f t="shared" si="11"/>
        <v>487.49637397804884</v>
      </c>
      <c r="CD33" s="60">
        <f ca="1">AVERAGE(OFFSET($CC$3,0,0,'Données projet'!$E$12+1,1))-AVERAGE(OFFSET($H$3,0,0,'Données projet'!$E$12+1,1))</f>
        <v>317.48648551307656</v>
      </c>
      <c r="CE33" s="60">
        <f t="shared" si="40"/>
        <v>133.09277301479563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13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0">
        <f t="shared" si="14"/>
        <v>540.15405395780692</v>
      </c>
      <c r="CY33" s="60">
        <f ca="1">AVERAGE(OFFSET($CX$3,0,0,'Données projet'!$E$13+1,1))-AVERAGE(OFFSET($H$3,0,0,'Données projet'!$E$13+1,1))</f>
        <v>194.42056369374041</v>
      </c>
      <c r="CZ33" s="60">
        <f t="shared" si="42"/>
        <v>185.75045299455371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101.556</v>
      </c>
      <c r="DQ33" s="14">
        <f t="shared" si="43"/>
        <v>27.332359320696909</v>
      </c>
      <c r="DR33" s="22">
        <f t="shared" si="16"/>
        <v>224.48055915021379</v>
      </c>
      <c r="DS33" s="60">
        <f t="shared" si="17"/>
        <v>517.81389248354708</v>
      </c>
      <c r="DT33" s="60">
        <f ca="1">AVERAGE(OFFSET($DS$3,0,0,'Données projet'!$E$14+1,1))-AVERAGE(OFFSET($H$3,0,0,'Données projet'!$E$14+1,1))</f>
        <v>274.31056057602081</v>
      </c>
      <c r="DU33" s="60">
        <f t="shared" si="44"/>
        <v>163.41029152029387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114.74358974358974</v>
      </c>
      <c r="EH33" s="13">
        <f>VLOOKUP(A33,'Données projet'!$A$191:$I$211,9,0)</f>
        <v>6.9230769230769225</v>
      </c>
      <c r="EI33" s="13">
        <f t="array" ref="EI33">INDEX(EH:EH,MIN(IF(ISNUMBER(EH33:EH229),ROW(EH33:EH229),"")))</f>
        <v>6.9230769230769225</v>
      </c>
      <c r="EJ33" s="13">
        <f>IF('Données projet'!$A$192&gt;35,EJ32+EI33-ER32,IF(A33&lt;'Données projet'!$A$192,$EG$205^A33,IF(A33='Données projet'!$A$192,'Données projet'!$B$192,EJ32+EI33-ER32)))</f>
        <v>114.74358974358972</v>
      </c>
      <c r="EK33" s="18">
        <f>EJ33*VLOOKUP('Données projet'!$B$15,Paramètres!$A$1:$I$89,3,0)*VLOOKUP('Données projet'!$B$15,Paramètres!$A$1:$I$89,5,0)</f>
        <v>76.969999999999985</v>
      </c>
      <c r="EL33" s="14">
        <f t="shared" si="45"/>
        <v>21.394676810851863</v>
      </c>
      <c r="EM33" s="22">
        <f t="shared" si="19"/>
        <v>171.31847877890027</v>
      </c>
      <c r="EN33" s="60">
        <f t="shared" si="20"/>
        <v>464.65181211223359</v>
      </c>
      <c r="EO33" s="60">
        <f ca="1">AVERAGE(OFFSET($EN$3,0,0,'Données projet'!$E$15+1,1))-AVERAGE(OFFSET($H$3,0,0,'Données projet'!$E$15+1,1))</f>
        <v>120.18668518376586</v>
      </c>
      <c r="EP33" s="60">
        <f t="shared" si="46"/>
        <v>110.24821114898037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26.282051282051281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8">
        <f t="shared" si="1"/>
        <v>356.38176682171019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10.402930402930403</v>
      </c>
      <c r="N34" s="14">
        <f>IF('Données projet'!$A$36&gt;35,N33+M34-V33,IF(A34&lt;'Données projet'!$A$36,$K$205^A34,IF(A34='Données projet'!$A$36,'Données projet'!$B$36,N33+M34-V33)))</f>
        <v>113.47985347985349</v>
      </c>
      <c r="O34" s="14">
        <f>N34*VLOOKUP('Données projet'!$B$9,Paramètres!$A$1:$I$89,3,0)*VLOOKUP('Données projet'!$B$9,Paramètres!$A$1:$I$89,5,0)</f>
        <v>53.108571428571437</v>
      </c>
      <c r="P34" s="14">
        <f t="shared" si="33"/>
        <v>15.413722027781299</v>
      </c>
      <c r="Q34" s="22">
        <f t="shared" si="2"/>
        <v>119.34299443648099</v>
      </c>
      <c r="R34" s="60">
        <f t="shared" si="0"/>
        <v>412.67632776981429</v>
      </c>
      <c r="S34" s="60">
        <f ca="1">AVERAGE(OFFSET($R$3,0,0,'Données projet'!$E$9+1,1))-AVERAGE(OFFSET($H$3,0,0,'Données projet'!$E$9+1,1))</f>
        <v>106.50743833854523</v>
      </c>
      <c r="T34" s="60">
        <f t="shared" si="34"/>
        <v>47.606751325129608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0">
        <f t="shared" si="5"/>
        <v>462.55410206940076</v>
      </c>
      <c r="AN34" s="60">
        <f ca="1">AVERAGE(OFFSET($AM$3,0,0,'Données projet'!$E$10+1,1))-AVERAGE(OFFSET($H$3,0,0,'Données projet'!$E$10+1,1))</f>
        <v>247.65126267995316</v>
      </c>
      <c r="AO34" s="60">
        <f t="shared" si="36"/>
        <v>149.27472147904314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85.176000000000002</v>
      </c>
      <c r="BF34" s="14">
        <f t="shared" si="37"/>
        <v>23.398088487656441</v>
      </c>
      <c r="BG34" s="22">
        <f t="shared" si="7"/>
        <v>189.09987078266829</v>
      </c>
      <c r="BH34" s="60">
        <f t="shared" si="8"/>
        <v>482.4332041160016</v>
      </c>
      <c r="BI34" s="60">
        <f ca="1">AVERAGE(OFFSET($BH$3,0,0,'Données projet'!$E$11+1,1))-AVERAGE(OFFSET($H$3,0,0,'Données projet'!$E$11+1,1))</f>
        <v>294.2815419338562</v>
      </c>
      <c r="BJ34" s="60">
        <f t="shared" si="38"/>
        <v>173.99850582760712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14.166666666666666</v>
      </c>
      <c r="BY34" s="13">
        <f>IF('Données projet'!$A$114&gt;35,BY33+BX34-CG33,IF(A34&lt;'Données projet'!$A$114,$BV$205^A34,IF(A34='Données projet'!$A$114,'Données projet'!$B$114,BY33+BX34-CG33)))</f>
        <v>103.16666666666666</v>
      </c>
      <c r="BZ34" s="14">
        <f>BY34*VLOOKUP('Données projet'!$B$12,Paramètres!$A$1:$I$89,3,0)*VLOOKUP('Données projet'!$B$12,Paramètres!$A$1:$I$89,5,0)</f>
        <v>88.51700000000001</v>
      </c>
      <c r="CA34" s="14">
        <f t="shared" si="39"/>
        <v>24.207215980626653</v>
      </c>
      <c r="CB34" s="22">
        <f t="shared" si="10"/>
        <v>196.32800949959145</v>
      </c>
      <c r="CC34" s="60">
        <f t="shared" si="11"/>
        <v>489.66134283292479</v>
      </c>
      <c r="CD34" s="60">
        <f ca="1">AVERAGE(OFFSET($CC$3,0,0,'Données projet'!$E$12+1,1))-AVERAGE(OFFSET($H$3,0,0,'Données projet'!$E$12+1,1))</f>
        <v>317.48648551307656</v>
      </c>
      <c r="CE34" s="60">
        <f t="shared" si="40"/>
        <v>133.09277301479563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0">
        <f t="shared" si="14"/>
        <v>559.43355826633729</v>
      </c>
      <c r="CY34" s="60">
        <f ca="1">AVERAGE(OFFSET($CX$3,0,0,'Données projet'!$E$13+1,1))-AVERAGE(OFFSET($H$3,0,0,'Données projet'!$E$13+1,1))</f>
        <v>194.42056369374041</v>
      </c>
      <c r="CZ34" s="60">
        <f t="shared" si="42"/>
        <v>185.75045299455371</v>
      </c>
      <c r="DA34" s="16">
        <f>IF(ISNA(VLOOKUP(A34,'Données projet'!$A$139:$I$159,3,0)),0,VLOOKUP(A34,'Données projet'!$A$139:$I$159,3,0))</f>
        <v>2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81.244799999999998</v>
      </c>
      <c r="DQ34" s="14">
        <f t="shared" si="43"/>
        <v>22.441270156928962</v>
      </c>
      <c r="DR34" s="22">
        <f t="shared" si="16"/>
        <v>180.58657218998462</v>
      </c>
      <c r="DS34" s="60">
        <f t="shared" si="17"/>
        <v>473.91990552331794</v>
      </c>
      <c r="DT34" s="60">
        <f ca="1">AVERAGE(OFFSET($DS$3,0,0,'Données projet'!$E$14+1,1))-AVERAGE(OFFSET($H$3,0,0,'Données projet'!$E$14+1,1))</f>
        <v>274.31056057602081</v>
      </c>
      <c r="DU34" s="60">
        <f t="shared" si="44"/>
        <v>163.41029152029387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6.5384615384615383</v>
      </c>
      <c r="EJ34" s="13">
        <f>IF('Données projet'!$A$192&gt;35,EJ33+EI34-ER33,IF(A34&lt;'Données projet'!$A$192,$EG$205^A34,IF(A34='Données projet'!$A$192,'Données projet'!$B$192,EJ33+EI34-ER33)))</f>
        <v>94.999999999999972</v>
      </c>
      <c r="EK34" s="18">
        <f>EJ34*VLOOKUP('Données projet'!$B$15,Paramètres!$A$1:$I$89,3,0)*VLOOKUP('Données projet'!$B$15,Paramètres!$A$1:$I$89,5,0)</f>
        <v>63.725999999999985</v>
      </c>
      <c r="EL34" s="14">
        <f t="shared" si="45"/>
        <v>18.106990134115833</v>
      </c>
      <c r="EM34" s="22">
        <f t="shared" si="19"/>
        <v>142.52579115025171</v>
      </c>
      <c r="EN34" s="60">
        <f t="shared" si="20"/>
        <v>435.85912448358499</v>
      </c>
      <c r="EO34" s="60">
        <f ca="1">AVERAGE(OFFSET($EN$3,0,0,'Données projet'!$E$15+1,1))-AVERAGE(OFFSET($H$3,0,0,'Données projet'!$E$15+1,1))</f>
        <v>120.18668518376586</v>
      </c>
      <c r="EP34" s="60">
        <f t="shared" si="46"/>
        <v>110.24821114898037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8">
        <f t="shared" si="1"/>
        <v>358.35832279638072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10.402930402930403</v>
      </c>
      <c r="N35" s="14">
        <f>IF('Données projet'!$A$36&gt;35,N34+M35-V34,IF(A35&lt;'Données projet'!$A$36,$K$205^A35,IF(A35='Données projet'!$A$36,'Données projet'!$B$36,N34+M35-V34)))</f>
        <v>123.8827838827839</v>
      </c>
      <c r="O35" s="14">
        <f>N35*VLOOKUP('Données projet'!$B$9,Paramètres!$A$1:$I$89,3,0)*VLOOKUP('Données projet'!$B$9,Paramètres!$A$1:$I$89,5,0)</f>
        <v>57.977142857142866</v>
      </c>
      <c r="P35" s="14">
        <f t="shared" si="33"/>
        <v>16.655810903261287</v>
      </c>
      <c r="Q35" s="22">
        <f t="shared" ref="Q35:Q66" si="53">(O35+P35)*0.475*44/12</f>
        <v>129.98572779937055</v>
      </c>
      <c r="R35" s="60">
        <f t="shared" si="0"/>
        <v>423.31906113270384</v>
      </c>
      <c r="S35" s="60">
        <f ca="1">AVERAGE(OFFSET($R$3,0,0,'Données projet'!$E$9+1,1))-AVERAGE(OFFSET($H$3,0,0,'Données projet'!$E$9+1,1))</f>
        <v>106.50743833854523</v>
      </c>
      <c r="T35" s="60">
        <f t="shared" si="34"/>
        <v>47.606751325129608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0">
        <f t="shared" si="5"/>
        <v>478.24526587136597</v>
      </c>
      <c r="AN35" s="60">
        <f ca="1">AVERAGE(OFFSET($AM$3,0,0,'Données projet'!$E$10+1,1))-AVERAGE(OFFSET($H$3,0,0,'Données projet'!$E$10+1,1))</f>
        <v>247.65126267995316</v>
      </c>
      <c r="AO35" s="60">
        <f t="shared" si="36"/>
        <v>149.27472147904314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93.288000000000011</v>
      </c>
      <c r="BF35" s="14">
        <f t="shared" si="37"/>
        <v>25.356547829040977</v>
      </c>
      <c r="BG35" s="22">
        <f t="shared" si="7"/>
        <v>206.63925413557971</v>
      </c>
      <c r="BH35" s="60">
        <f t="shared" si="8"/>
        <v>499.97258746891305</v>
      </c>
      <c r="BI35" s="60">
        <f ca="1">AVERAGE(OFFSET($BH$3,0,0,'Données projet'!$E$11+1,1))-AVERAGE(OFFSET($H$3,0,0,'Données projet'!$E$11+1,1))</f>
        <v>294.2815419338562</v>
      </c>
      <c r="BJ35" s="60">
        <f t="shared" si="38"/>
        <v>173.99850582760712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14.166666666666666</v>
      </c>
      <c r="BY35" s="13">
        <f>IF('Données projet'!$A$114&gt;35,BY34+BX35-CG34,IF(A35&lt;'Données projet'!$A$114,$BV$205^A35,IF(A35='Données projet'!$A$114,'Données projet'!$B$114,BY34+BX35-CG34)))</f>
        <v>117.33333333333333</v>
      </c>
      <c r="BZ35" s="14">
        <f>BY35*VLOOKUP('Données projet'!$B$12,Paramètres!$A$1:$I$89,3,0)*VLOOKUP('Données projet'!$B$12,Paramètres!$A$1:$I$89,5,0)</f>
        <v>100.672</v>
      </c>
      <c r="CA35" s="14">
        <f t="shared" si="39"/>
        <v>27.122029824032914</v>
      </c>
      <c r="CB35" s="22">
        <f t="shared" si="10"/>
        <v>222.57460194352402</v>
      </c>
      <c r="CC35" s="60">
        <f t="shared" si="11"/>
        <v>515.9079352768573</v>
      </c>
      <c r="CD35" s="60">
        <f ca="1">AVERAGE(OFFSET($CC$3,0,0,'Données projet'!$E$12+1,1))-AVERAGE(OFFSET($H$3,0,0,'Données projet'!$E$12+1,1))</f>
        <v>317.48648551307656</v>
      </c>
      <c r="CE35" s="60">
        <f t="shared" si="40"/>
        <v>133.09277301479563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0">
        <f t="shared" si="14"/>
        <v>518.31834832248774</v>
      </c>
      <c r="CY35" s="60">
        <f ca="1">AVERAGE(OFFSET($CX$3,0,0,'Données projet'!$E$13+1,1))-AVERAGE(OFFSET($H$3,0,0,'Données projet'!$E$13+1,1))</f>
        <v>194.42056369374041</v>
      </c>
      <c r="CZ35" s="60">
        <f t="shared" si="42"/>
        <v>185.75045299455371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88.982399999999998</v>
      </c>
      <c r="DQ35" s="14">
        <f t="shared" si="43"/>
        <v>24.31964219550628</v>
      </c>
      <c r="DR35" s="22">
        <f t="shared" si="16"/>
        <v>197.3343901571734</v>
      </c>
      <c r="DS35" s="60">
        <f t="shared" si="17"/>
        <v>490.66772349050672</v>
      </c>
      <c r="DT35" s="60">
        <f ca="1">AVERAGE(OFFSET($DS$3,0,0,'Données projet'!$E$14+1,1))-AVERAGE(OFFSET($H$3,0,0,'Données projet'!$E$14+1,1))</f>
        <v>274.31056057602081</v>
      </c>
      <c r="DU35" s="60">
        <f t="shared" si="44"/>
        <v>163.41029152029387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6.5384615384615383</v>
      </c>
      <c r="EJ35" s="13">
        <f>IF('Données projet'!$A$192&gt;35,EJ34+EI35-ER34,IF(A35&lt;'Données projet'!$A$192,$EG$205^A35,IF(A35='Données projet'!$A$192,'Données projet'!$B$192,EJ34+EI35-ER34)))</f>
        <v>101.5384615384615</v>
      </c>
      <c r="EK35" s="18">
        <f>EJ35*VLOOKUP('Données projet'!$B$15,Paramètres!$A$1:$I$89,3,0)*VLOOKUP('Données projet'!$B$15,Paramètres!$A$1:$I$89,5,0)</f>
        <v>68.111999999999981</v>
      </c>
      <c r="EL35" s="14">
        <f t="shared" si="45"/>
        <v>19.203857153488375</v>
      </c>
      <c r="EM35" s="22">
        <f t="shared" si="19"/>
        <v>152.07511787565889</v>
      </c>
      <c r="EN35" s="60">
        <f t="shared" si="20"/>
        <v>445.40845120899223</v>
      </c>
      <c r="EO35" s="60">
        <f ca="1">AVERAGE(OFFSET($EN$3,0,0,'Données projet'!$E$15+1,1))-AVERAGE(OFFSET($H$3,0,0,'Données projet'!$E$15+1,1))</f>
        <v>120.18668518376586</v>
      </c>
      <c r="EP35" s="60">
        <f t="shared" si="46"/>
        <v>110.24821114898037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8">
        <f t="shared" si="1"/>
        <v>360.33332496858065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10.402930402930403</v>
      </c>
      <c r="N36" s="14">
        <f>IF('Données projet'!$A$36&gt;35,N35+M36-V35,IF(A36&lt;'Données projet'!$A$36,$K$205^A36,IF(A36='Données projet'!$A$36,'Données projet'!$B$36,N35+M36-V35)))</f>
        <v>134.28571428571431</v>
      </c>
      <c r="O36" s="14">
        <f>N36*VLOOKUP('Données projet'!$B$9,Paramètres!$A$1:$I$89,3,0)*VLOOKUP('Données projet'!$B$9,Paramètres!$A$1:$I$89,5,0)</f>
        <v>62.845714285714294</v>
      </c>
      <c r="P36" s="14">
        <f t="shared" si="33"/>
        <v>17.885803038990584</v>
      </c>
      <c r="Q36" s="22">
        <f t="shared" si="53"/>
        <v>140.60739267386097</v>
      </c>
      <c r="R36" s="60">
        <f t="shared" si="0"/>
        <v>433.94072600719426</v>
      </c>
      <c r="S36" s="60">
        <f ca="1">AVERAGE(OFFSET($R$3,0,0,'Données projet'!$E$9+1,1))-AVERAGE(OFFSET($H$3,0,0,'Données projet'!$E$9+1,1))</f>
        <v>106.50743833854523</v>
      </c>
      <c r="T36" s="60">
        <f t="shared" si="34"/>
        <v>47.606751325129608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0">
        <f t="shared" si="5"/>
        <v>493.9053274736159</v>
      </c>
      <c r="AN36" s="60">
        <f ca="1">AVERAGE(OFFSET($AM$3,0,0,'Données projet'!$E$10+1,1))-AVERAGE(OFFSET($H$3,0,0,'Données projet'!$E$10+1,1))</f>
        <v>247.65126267995316</v>
      </c>
      <c r="AO36" s="60">
        <f t="shared" si="36"/>
        <v>149.27472147904314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101.4</v>
      </c>
      <c r="BF36" s="14">
        <f t="shared" si="37"/>
        <v>27.295257887453797</v>
      </c>
      <c r="BG36" s="22">
        <f t="shared" si="7"/>
        <v>224.14424082064872</v>
      </c>
      <c r="BH36" s="60">
        <f t="shared" si="8"/>
        <v>517.477574153982</v>
      </c>
      <c r="BI36" s="60">
        <f ca="1">AVERAGE(OFFSET($BH$3,0,0,'Données projet'!$E$11+1,1))-AVERAGE(OFFSET($H$3,0,0,'Données projet'!$E$11+1,1))</f>
        <v>294.2815419338562</v>
      </c>
      <c r="BJ36" s="60">
        <f t="shared" si="38"/>
        <v>173.99850582760712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14.166666666666666</v>
      </c>
      <c r="BY36" s="13">
        <f>IF('Données projet'!$A$114&gt;35,BY35+BX36-CG35,IF(A36&lt;'Données projet'!$A$114,$BV$205^A36,IF(A36='Données projet'!$A$114,'Données projet'!$B$114,BY35+BX36-CG35)))</f>
        <v>131.5</v>
      </c>
      <c r="BZ36" s="14">
        <f>BY36*VLOOKUP('Données projet'!$B$12,Paramètres!$A$1:$I$89,3,0)*VLOOKUP('Données projet'!$B$12,Paramètres!$A$1:$I$89,5,0)</f>
        <v>112.82700000000001</v>
      </c>
      <c r="CA36" s="14">
        <f t="shared" si="39"/>
        <v>29.996060965411449</v>
      </c>
      <c r="CB36" s="22">
        <f t="shared" si="10"/>
        <v>248.75016451475827</v>
      </c>
      <c r="CC36" s="60">
        <f t="shared" si="11"/>
        <v>542.08349784809161</v>
      </c>
      <c r="CD36" s="60">
        <f ca="1">AVERAGE(OFFSET($CC$3,0,0,'Données projet'!$E$12+1,1))-AVERAGE(OFFSET($H$3,0,0,'Données projet'!$E$12+1,1))</f>
        <v>317.48648551307656</v>
      </c>
      <c r="CE36" s="60">
        <f t="shared" si="40"/>
        <v>133.09277301479563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0">
        <f t="shared" si="14"/>
        <v>537.63687257178208</v>
      </c>
      <c r="CY36" s="60">
        <f ca="1">AVERAGE(OFFSET($CX$3,0,0,'Données projet'!$E$13+1,1))-AVERAGE(OFFSET($H$3,0,0,'Données projet'!$E$13+1,1))</f>
        <v>194.42056369374041</v>
      </c>
      <c r="CZ36" s="60">
        <f t="shared" si="42"/>
        <v>185.75045299455371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96.72</v>
      </c>
      <c r="DQ36" s="14">
        <f t="shared" si="43"/>
        <v>26.179072558792139</v>
      </c>
      <c r="DR36" s="22">
        <f t="shared" si="16"/>
        <v>214.04921803989632</v>
      </c>
      <c r="DS36" s="60">
        <f t="shared" si="17"/>
        <v>507.3825513732296</v>
      </c>
      <c r="DT36" s="60">
        <f ca="1">AVERAGE(OFFSET($DS$3,0,0,'Données projet'!$E$14+1,1))-AVERAGE(OFFSET($H$3,0,0,'Données projet'!$E$14+1,1))</f>
        <v>274.31056057602081</v>
      </c>
      <c r="DU36" s="60">
        <f t="shared" si="44"/>
        <v>163.41029152029387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6.5384615384615383</v>
      </c>
      <c r="EJ36" s="13">
        <f>IF('Données projet'!$A$192&gt;35,EJ35+EI36-ER35,IF(A36&lt;'Données projet'!$A$192,$EG$205^A36,IF(A36='Données projet'!$A$192,'Données projet'!$B$192,EJ35+EI36-ER35)))</f>
        <v>108.07692307692304</v>
      </c>
      <c r="EK36" s="18">
        <f>EJ36*VLOOKUP('Données projet'!$B$15,Paramètres!$A$1:$I$89,3,0)*VLOOKUP('Données projet'!$B$15,Paramètres!$A$1:$I$89,5,0)</f>
        <v>72.497999999999976</v>
      </c>
      <c r="EL36" s="14">
        <f t="shared" si="45"/>
        <v>20.292527413120823</v>
      </c>
      <c r="EM36" s="22">
        <f t="shared" si="19"/>
        <v>161.61016857785205</v>
      </c>
      <c r="EN36" s="60">
        <f t="shared" si="20"/>
        <v>454.94350191118536</v>
      </c>
      <c r="EO36" s="60">
        <f ca="1">AVERAGE(OFFSET($EN$3,0,0,'Données projet'!$E$15+1,1))-AVERAGE(OFFSET($H$3,0,0,'Données projet'!$E$15+1,1))</f>
        <v>120.18668518376586</v>
      </c>
      <c r="EP36" s="60">
        <f t="shared" si="46"/>
        <v>110.24821114898037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8">
        <f t="shared" si="1"/>
        <v>362.30682582761347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10.402930402930403</v>
      </c>
      <c r="N37" s="14">
        <f>IF('Données projet'!$A$36&gt;35,N36+M37-V36,IF(A37&lt;'Données projet'!$A$36,$K$205^A37,IF(A37='Données projet'!$A$36,'Données projet'!$B$36,N36+M37-V36)))</f>
        <v>144.6886446886447</v>
      </c>
      <c r="O37" s="14">
        <f>N37*VLOOKUP('Données projet'!$B$9,Paramètres!$A$1:$I$89,3,0)*VLOOKUP('Données projet'!$B$9,Paramètres!$A$1:$I$89,5,0)</f>
        <v>67.714285714285722</v>
      </c>
      <c r="P37" s="14">
        <f t="shared" si="33"/>
        <v>19.104742100396511</v>
      </c>
      <c r="Q37" s="22">
        <f t="shared" si="53"/>
        <v>151.20980677723819</v>
      </c>
      <c r="R37" s="60">
        <f t="shared" si="0"/>
        <v>444.54314011057147</v>
      </c>
      <c r="S37" s="60">
        <f ca="1">AVERAGE(OFFSET($R$3,0,0,'Données projet'!$E$9+1,1))-AVERAGE(OFFSET($H$3,0,0,'Données projet'!$E$9+1,1))</f>
        <v>106.50743833854523</v>
      </c>
      <c r="T37" s="60">
        <f t="shared" si="34"/>
        <v>47.606751325129608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0">
        <f t="shared" si="5"/>
        <v>509.537057935093</v>
      </c>
      <c r="AN37" s="60">
        <f ca="1">AVERAGE(OFFSET($AM$3,0,0,'Données projet'!$E$10+1,1))-AVERAGE(OFFSET($H$3,0,0,'Données projet'!$E$10+1,1))</f>
        <v>247.65126267995316</v>
      </c>
      <c r="AO37" s="60">
        <f t="shared" si="36"/>
        <v>149.27472147904314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109.51200000000001</v>
      </c>
      <c r="BF37" s="14">
        <f t="shared" si="37"/>
        <v>29.215978230632555</v>
      </c>
      <c r="BG37" s="22">
        <f t="shared" si="7"/>
        <v>241.61789541835174</v>
      </c>
      <c r="BH37" s="60">
        <f t="shared" si="8"/>
        <v>534.95122875168499</v>
      </c>
      <c r="BI37" s="60">
        <f ca="1">AVERAGE(OFFSET($BH$3,0,0,'Données projet'!$E$11+1,1))-AVERAGE(OFFSET($H$3,0,0,'Données projet'!$E$11+1,1))</f>
        <v>294.2815419338562</v>
      </c>
      <c r="BJ37" s="60">
        <f t="shared" si="38"/>
        <v>173.99850582760712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14.166666666666666</v>
      </c>
      <c r="BY37" s="13">
        <f>IF('Données projet'!$A$114&gt;35,BY36+BX37-CG36,IF(A37&lt;'Données projet'!$A$114,$BV$205^A37,IF(A37='Données projet'!$A$114,'Données projet'!$B$114,BY36+BX37-CG36)))</f>
        <v>145.66666666666666</v>
      </c>
      <c r="BZ37" s="14">
        <f>BY37*VLOOKUP('Données projet'!$B$12,Paramètres!$A$1:$I$89,3,0)*VLOOKUP('Données projet'!$B$12,Paramètres!$A$1:$I$89,5,0)</f>
        <v>124.98200000000001</v>
      </c>
      <c r="CA37" s="14">
        <f t="shared" si="39"/>
        <v>32.834203796212122</v>
      </c>
      <c r="CB37" s="22">
        <f t="shared" si="10"/>
        <v>274.86322161173609</v>
      </c>
      <c r="CC37" s="60">
        <f t="shared" si="11"/>
        <v>568.19655494506947</v>
      </c>
      <c r="CD37" s="60">
        <f ca="1">AVERAGE(OFFSET($CC$3,0,0,'Données projet'!$E$12+1,1))-AVERAGE(OFFSET($H$3,0,0,'Données projet'!$E$12+1,1))</f>
        <v>317.48648551307656</v>
      </c>
      <c r="CE37" s="60">
        <f t="shared" si="40"/>
        <v>133.09277301479563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0">
        <f t="shared" si="14"/>
        <v>556.92068130609346</v>
      </c>
      <c r="CY37" s="60">
        <f ca="1">AVERAGE(OFFSET($CX$3,0,0,'Données projet'!$E$13+1,1))-AVERAGE(OFFSET($H$3,0,0,'Données projet'!$E$13+1,1))</f>
        <v>194.42056369374041</v>
      </c>
      <c r="CZ37" s="60">
        <f t="shared" si="42"/>
        <v>185.75045299455371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104.4576</v>
      </c>
      <c r="DQ37" s="14">
        <f t="shared" si="43"/>
        <v>28.021248860498272</v>
      </c>
      <c r="DR37" s="22">
        <f t="shared" si="16"/>
        <v>230.73399509870114</v>
      </c>
      <c r="DS37" s="60">
        <f t="shared" si="17"/>
        <v>524.0673284320344</v>
      </c>
      <c r="DT37" s="60">
        <f ca="1">AVERAGE(OFFSET($DS$3,0,0,'Données projet'!$E$14+1,1))-AVERAGE(OFFSET($H$3,0,0,'Données projet'!$E$14+1,1))</f>
        <v>274.31056057602081</v>
      </c>
      <c r="DU37" s="60">
        <f t="shared" si="44"/>
        <v>163.41029152029387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6.5384615384615383</v>
      </c>
      <c r="EJ37" s="13">
        <f>IF('Données projet'!$A$192&gt;35,EJ36+EI37-ER36,IF(A37&lt;'Données projet'!$A$192,$EG$205^A37,IF(A37='Données projet'!$A$192,'Données projet'!$B$192,EJ36+EI37-ER36)))</f>
        <v>114.61538461538457</v>
      </c>
      <c r="EK37" s="18">
        <f>EJ37*VLOOKUP('Données projet'!$B$15,Paramètres!$A$1:$I$89,3,0)*VLOOKUP('Données projet'!$B$15,Paramètres!$A$1:$I$89,5,0)</f>
        <v>76.883999999999972</v>
      </c>
      <c r="EL37" s="14">
        <f t="shared" si="45"/>
        <v>21.373553273140757</v>
      </c>
      <c r="EM37" s="22">
        <f t="shared" si="19"/>
        <v>171.13190528405343</v>
      </c>
      <c r="EN37" s="60">
        <f t="shared" si="20"/>
        <v>464.46523861738672</v>
      </c>
      <c r="EO37" s="60">
        <f ca="1">AVERAGE(OFFSET($EN$3,0,0,'Données projet'!$E$15+1,1))-AVERAGE(OFFSET($H$3,0,0,'Données projet'!$E$15+1,1))</f>
        <v>120.18668518376586</v>
      </c>
      <c r="EP37" s="60">
        <f t="shared" si="46"/>
        <v>110.24821114898037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8">
        <f t="shared" si="1"/>
        <v>364.27887459963966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10.402930402930403</v>
      </c>
      <c r="N38" s="14">
        <f>IF('Données projet'!$A$36&gt;35,N37+M38-V37,IF(A38&lt;'Données projet'!$A$36,$K$205^A38,IF(A38='Données projet'!$A$36,'Données projet'!$B$36,N37+M38-V37)))</f>
        <v>155.09157509157509</v>
      </c>
      <c r="O38" s="14">
        <f>N38*VLOOKUP('Données projet'!$B$9,Paramètres!$A$1:$I$89,3,0)*VLOOKUP('Données projet'!$B$9,Paramètres!$A$1:$I$89,5,0)</f>
        <v>72.582857142857151</v>
      </c>
      <c r="P38" s="14">
        <f t="shared" si="33"/>
        <v>20.31351317084026</v>
      </c>
      <c r="Q38" s="22">
        <f t="shared" si="53"/>
        <v>161.79451162968965</v>
      </c>
      <c r="R38" s="60">
        <f t="shared" si="0"/>
        <v>455.12784496302299</v>
      </c>
      <c r="S38" s="60">
        <f ca="1">AVERAGE(OFFSET($R$3,0,0,'Données projet'!$E$9+1,1))-AVERAGE(OFFSET($H$3,0,0,'Données projet'!$E$9+1,1))</f>
        <v>106.50743833854523</v>
      </c>
      <c r="T38" s="60">
        <f t="shared" si="34"/>
        <v>47.606751325129608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0">
        <f t="shared" si="5"/>
        <v>525.14279449916307</v>
      </c>
      <c r="AN38" s="60">
        <f ca="1">AVERAGE(OFFSET($AM$3,0,0,'Données projet'!$E$10+1,1))-AVERAGE(OFFSET($H$3,0,0,'Données projet'!$E$10+1,1))</f>
        <v>247.65126267995316</v>
      </c>
      <c r="AO38" s="60">
        <f t="shared" si="36"/>
        <v>149.27472147904314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117.62400000000001</v>
      </c>
      <c r="BF38" s="14">
        <f t="shared" si="37"/>
        <v>31.120192961985413</v>
      </c>
      <c r="BG38" s="22">
        <f t="shared" si="7"/>
        <v>259.06280274212457</v>
      </c>
      <c r="BH38" s="60">
        <f t="shared" si="8"/>
        <v>552.39613607545789</v>
      </c>
      <c r="BI38" s="60">
        <f ca="1">AVERAGE(OFFSET($BH$3,0,0,'Données projet'!$E$11+1,1))-AVERAGE(OFFSET($H$3,0,0,'Données projet'!$E$11+1,1))</f>
        <v>294.2815419338562</v>
      </c>
      <c r="BJ38" s="60">
        <f t="shared" si="38"/>
        <v>173.99850582760712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14.166666666666666</v>
      </c>
      <c r="BY38" s="13">
        <f>IF('Données projet'!$A$114&gt;35,BY37+BX38-CG37,IF(A38&lt;'Données projet'!$A$114,$BV$205^A38,IF(A38='Données projet'!$A$114,'Données projet'!$B$114,BY37+BX38-CG37)))</f>
        <v>159.83333333333331</v>
      </c>
      <c r="BZ38" s="14">
        <f>BY38*VLOOKUP('Données projet'!$B$12,Paramètres!$A$1:$I$89,3,0)*VLOOKUP('Données projet'!$B$12,Paramètres!$A$1:$I$89,5,0)</f>
        <v>137.137</v>
      </c>
      <c r="CA38" s="14">
        <f t="shared" si="39"/>
        <v>35.64034577929781</v>
      </c>
      <c r="CB38" s="22">
        <f t="shared" si="10"/>
        <v>300.92054389894366</v>
      </c>
      <c r="CC38" s="60">
        <f t="shared" si="11"/>
        <v>594.25387723227698</v>
      </c>
      <c r="CD38" s="60">
        <f ca="1">AVERAGE(OFFSET($CC$3,0,0,'Données projet'!$E$12+1,1))-AVERAGE(OFFSET($H$3,0,0,'Données projet'!$E$12+1,1))</f>
        <v>317.48648551307656</v>
      </c>
      <c r="CE38" s="60">
        <f t="shared" si="40"/>
        <v>133.09277301479563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0">
        <f t="shared" si="14"/>
        <v>576.17267110008243</v>
      </c>
      <c r="CY38" s="60">
        <f ca="1">AVERAGE(OFFSET($CX$3,0,0,'Données projet'!$E$13+1,1))-AVERAGE(OFFSET($H$3,0,0,'Données projet'!$E$13+1,1))</f>
        <v>194.42056369374041</v>
      </c>
      <c r="CZ38" s="60">
        <f t="shared" si="42"/>
        <v>185.75045299455371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112.1952</v>
      </c>
      <c r="DQ38" s="14">
        <f t="shared" si="43"/>
        <v>29.847594514573263</v>
      </c>
      <c r="DR38" s="22">
        <f t="shared" si="16"/>
        <v>247.39120044621509</v>
      </c>
      <c r="DS38" s="60">
        <f t="shared" si="17"/>
        <v>540.72453377954844</v>
      </c>
      <c r="DT38" s="60">
        <f ca="1">AVERAGE(OFFSET($DS$3,0,0,'Données projet'!$E$14+1,1))-AVERAGE(OFFSET($H$3,0,0,'Données projet'!$E$14+1,1))</f>
        <v>274.31056057602081</v>
      </c>
      <c r="DU38" s="60">
        <f t="shared" si="44"/>
        <v>163.41029152029387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121.15384615384615</v>
      </c>
      <c r="EH38" s="13">
        <f>VLOOKUP(A38,'Données projet'!$A$191:$I$211,9,0)</f>
        <v>6.5384615384615383</v>
      </c>
      <c r="EI38" s="13">
        <f t="array" ref="EI38">INDEX(EH:EH,MIN(IF(ISNUMBER(EH38:EH234),ROW(EH38:EH234),"")))</f>
        <v>6.5384615384615383</v>
      </c>
      <c r="EJ38" s="13">
        <f>IF('Données projet'!$A$192&gt;35,EJ37+EI38-ER37,IF(A38&lt;'Données projet'!$A$192,$EG$205^A38,IF(A38='Données projet'!$A$192,'Données projet'!$B$192,EJ37+EI38-ER37)))</f>
        <v>121.1538461538461</v>
      </c>
      <c r="EK38" s="18">
        <f>EJ38*VLOOKUP('Données projet'!$B$15,Paramètres!$A$1:$I$89,3,0)*VLOOKUP('Données projet'!$B$15,Paramètres!$A$1:$I$89,5,0)</f>
        <v>81.269999999999968</v>
      </c>
      <c r="EL38" s="14">
        <f t="shared" si="45"/>
        <v>22.447420513130801</v>
      </c>
      <c r="EM38" s="22">
        <f t="shared" si="19"/>
        <v>180.64117406036942</v>
      </c>
      <c r="EN38" s="60">
        <f t="shared" si="20"/>
        <v>473.97450739370277</v>
      </c>
      <c r="EO38" s="60">
        <f ca="1">AVERAGE(OFFSET($EN$3,0,0,'Données projet'!$E$15+1,1))-AVERAGE(OFFSET($H$3,0,0,'Données projet'!$E$15+1,1))</f>
        <v>120.18668518376586</v>
      </c>
      <c r="EP38" s="60">
        <f t="shared" si="46"/>
        <v>110.24821114898037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8">
        <f t="shared" si="1"/>
        <v>366.24951753790458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10.402930402930403</v>
      </c>
      <c r="N39" s="14">
        <f>IF('Données projet'!$A$36&gt;35,N38+M39-V38,IF(A39&lt;'Données projet'!$A$36,$K$205^A39,IF(A39='Données projet'!$A$36,'Données projet'!$B$36,N38+M39-V38)))</f>
        <v>165.49450549450549</v>
      </c>
      <c r="O39" s="14">
        <f>N39*VLOOKUP('Données projet'!$B$9,Paramètres!$A$1:$I$89,3,0)*VLOOKUP('Données projet'!$B$9,Paramètres!$A$1:$I$89,5,0)</f>
        <v>77.451428571428565</v>
      </c>
      <c r="P39" s="14">
        <f t="shared" si="33"/>
        <v>21.512875879677669</v>
      </c>
      <c r="Q39" s="22">
        <f t="shared" si="53"/>
        <v>172.36283025234334</v>
      </c>
      <c r="R39" s="60">
        <f t="shared" si="0"/>
        <v>465.69616358567669</v>
      </c>
      <c r="S39" s="60">
        <f ca="1">AVERAGE(OFFSET($R$3,0,0,'Données projet'!$E$9+1,1))-AVERAGE(OFFSET($H$3,0,0,'Données projet'!$E$9+1,1))</f>
        <v>106.50743833854523</v>
      </c>
      <c r="T39" s="60">
        <f t="shared" si="34"/>
        <v>47.606751325129608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0">
        <f t="shared" si="5"/>
        <v>541.50302276112825</v>
      </c>
      <c r="AN39" s="60">
        <f ca="1">AVERAGE(OFFSET($AM$3,0,0,'Données projet'!$E$10+1,1))-AVERAGE(OFFSET($H$3,0,0,'Données projet'!$E$10+1,1))</f>
        <v>247.65126267995316</v>
      </c>
      <c r="AO39" s="60">
        <f t="shared" si="36"/>
        <v>149.27472147904314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126.1416</v>
      </c>
      <c r="BF39" s="14">
        <f t="shared" si="37"/>
        <v>33.10323903126482</v>
      </c>
      <c r="BG39" s="22">
        <f t="shared" si="7"/>
        <v>277.35142797945286</v>
      </c>
      <c r="BH39" s="60">
        <f t="shared" si="8"/>
        <v>570.68476131278612</v>
      </c>
      <c r="BI39" s="60">
        <f ca="1">AVERAGE(OFFSET($BH$3,0,0,'Données projet'!$E$11+1,1))-AVERAGE(OFFSET($H$3,0,0,'Données projet'!$E$11+1,1))</f>
        <v>294.2815419338562</v>
      </c>
      <c r="BJ39" s="60">
        <f t="shared" si="38"/>
        <v>173.99850582760712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174</v>
      </c>
      <c r="BW39" s="13">
        <f>VLOOKUP(A39,'Données projet'!$A$113:$I$133,9,0)</f>
        <v>14.166666666666666</v>
      </c>
      <c r="BX39" s="13">
        <f t="array" ref="BX39">INDEX(BW:BW,MIN(IF(ISNUMBER(BW39:BW235),ROW(BW39:BW235),"")))</f>
        <v>14.166666666666666</v>
      </c>
      <c r="BY39" s="13">
        <f>IF('Données projet'!$A$114&gt;35,BY38+BX39-CG38,IF(A39&lt;'Données projet'!$A$114,$BV$205^A39,IF(A39='Données projet'!$A$114,'Données projet'!$B$114,BY38+BX39-CG38)))</f>
        <v>173.99999999999997</v>
      </c>
      <c r="BZ39" s="14">
        <f>BY39*VLOOKUP('Données projet'!$B$12,Paramètres!$A$1:$I$89,3,0)*VLOOKUP('Données projet'!$B$12,Paramètres!$A$1:$I$89,5,0)</f>
        <v>149.29199999999997</v>
      </c>
      <c r="CA39" s="14">
        <f t="shared" si="39"/>
        <v>38.417645803815411</v>
      </c>
      <c r="CB39" s="22">
        <f t="shared" si="10"/>
        <v>326.9276331083118</v>
      </c>
      <c r="CC39" s="60">
        <f t="shared" si="11"/>
        <v>620.26096644164511</v>
      </c>
      <c r="CD39" s="60">
        <f ca="1">AVERAGE(OFFSET($CC$3,0,0,'Données projet'!$E$12+1,1))-AVERAGE(OFFSET($H$3,0,0,'Données projet'!$E$12+1,1))</f>
        <v>317.48648551307656</v>
      </c>
      <c r="CE39" s="60">
        <f t="shared" si="40"/>
        <v>133.09277301479563</v>
      </c>
      <c r="CF39" s="16">
        <f>IF(ISNA(VLOOKUP(A39,'Données projet'!$A$113:$I$133,3,0)),0,VLOOKUP(A39,'Données projet'!$A$113:$I$133,3,0))</f>
        <v>3</v>
      </c>
      <c r="CG39" s="16">
        <f>IF(ISNA(VLOOKUP(A39,'Données projet'!$A$113:$I$133,4,0)),0,VLOOKUP(A39,'Données projet'!$A$113:$I$133,4,0))</f>
        <v>60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0">
        <f t="shared" si="14"/>
        <v>595.3953118988635</v>
      </c>
      <c r="CY39" s="60">
        <f ca="1">AVERAGE(OFFSET($CX$3,0,0,'Données projet'!$E$13+1,1))-AVERAGE(OFFSET($H$3,0,0,'Données projet'!$E$13+1,1))</f>
        <v>194.42056369374041</v>
      </c>
      <c r="CZ39" s="60">
        <f t="shared" si="42"/>
        <v>185.75045299455371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120.31968000000001</v>
      </c>
      <c r="DQ39" s="14">
        <f t="shared" si="43"/>
        <v>31.74954785566829</v>
      </c>
      <c r="DR39" s="22">
        <f t="shared" si="16"/>
        <v>264.85390518195555</v>
      </c>
      <c r="DS39" s="60">
        <f t="shared" si="17"/>
        <v>558.18723851528887</v>
      </c>
      <c r="DT39" s="60">
        <f ca="1">AVERAGE(OFFSET($DS$3,0,0,'Données projet'!$E$14+1,1))-AVERAGE(OFFSET($H$3,0,0,'Données projet'!$E$14+1,1))</f>
        <v>274.31056057602081</v>
      </c>
      <c r="DU39" s="60">
        <f t="shared" si="44"/>
        <v>163.41029152029387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6.2820512820512846</v>
      </c>
      <c r="EJ39" s="13">
        <f>IF('Données projet'!$A$192&gt;35,EJ38+EI39-ER38,IF(A39&lt;'Données projet'!$A$192,$EG$205^A39,IF(A39='Données projet'!$A$192,'Données projet'!$B$192,EJ38+EI39-ER38)))</f>
        <v>127.43589743589739</v>
      </c>
      <c r="EK39" s="18">
        <f>EJ39*VLOOKUP('Données projet'!$B$15,Paramètres!$A$1:$I$89,3,0)*VLOOKUP('Données projet'!$B$15,Paramètres!$A$1:$I$89,5,0)</f>
        <v>85.483999999999966</v>
      </c>
      <c r="EL39" s="14">
        <f t="shared" si="45"/>
        <v>23.472832821569867</v>
      </c>
      <c r="EM39" s="22">
        <f t="shared" si="19"/>
        <v>189.7664838309008</v>
      </c>
      <c r="EN39" s="60">
        <f t="shared" si="20"/>
        <v>483.09981716423408</v>
      </c>
      <c r="EO39" s="60">
        <f ca="1">AVERAGE(OFFSET($EN$3,0,0,'Données projet'!$E$15+1,1))-AVERAGE(OFFSET($H$3,0,0,'Données projet'!$E$15+1,1))</f>
        <v>120.18668518376586</v>
      </c>
      <c r="EP39" s="60">
        <f t="shared" si="46"/>
        <v>110.24821114898037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8">
        <f t="shared" si="1"/>
        <v>368.21879817981187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10.402930402930403</v>
      </c>
      <c r="N40" s="14">
        <f>IF('Données projet'!$A$36&gt;35,N39+M40-V39,IF(A40&lt;'Données projet'!$A$36,$K$205^A40,IF(A40='Données projet'!$A$36,'Données projet'!$B$36,N39+M40-V39)))</f>
        <v>175.89743589743588</v>
      </c>
      <c r="O40" s="14">
        <f>N40*VLOOKUP('Données projet'!$B$9,Paramètres!$A$1:$I$89,3,0)*VLOOKUP('Données projet'!$B$9,Paramètres!$A$1:$I$89,5,0)</f>
        <v>82.32</v>
      </c>
      <c r="P40" s="14">
        <f t="shared" si="33"/>
        <v>22.703488958112253</v>
      </c>
      <c r="Q40" s="22">
        <f t="shared" si="53"/>
        <v>182.91590993537883</v>
      </c>
      <c r="R40" s="60">
        <f t="shared" si="0"/>
        <v>476.24924326871212</v>
      </c>
      <c r="S40" s="60">
        <f ca="1">AVERAGE(OFFSET($R$3,0,0,'Données projet'!$E$9+1,1))-AVERAGE(OFFSET($H$3,0,0,'Données projet'!$E$9+1,1))</f>
        <v>106.50743833854523</v>
      </c>
      <c r="T40" s="60">
        <f t="shared" si="34"/>
        <v>47.606751325129608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0">
        <f t="shared" si="5"/>
        <v>557.83878140250943</v>
      </c>
      <c r="AN40" s="60">
        <f ca="1">AVERAGE(OFFSET($AM$3,0,0,'Données projet'!$E$10+1,1))-AVERAGE(OFFSET($H$3,0,0,'Données projet'!$E$10+1,1))</f>
        <v>247.65126267995316</v>
      </c>
      <c r="AO40" s="60">
        <f t="shared" si="36"/>
        <v>149.27472147904314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134.65920000000003</v>
      </c>
      <c r="BF40" s="14">
        <f t="shared" si="37"/>
        <v>35.07074737441733</v>
      </c>
      <c r="BG40" s="22">
        <f t="shared" si="7"/>
        <v>295.61299167711019</v>
      </c>
      <c r="BH40" s="60">
        <f t="shared" si="8"/>
        <v>588.9463250104435</v>
      </c>
      <c r="BI40" s="60">
        <f ca="1">AVERAGE(OFFSET($BH$3,0,0,'Données projet'!$E$11+1,1))-AVERAGE(OFFSET($H$3,0,0,'Données projet'!$E$11+1,1))</f>
        <v>294.2815419338562</v>
      </c>
      <c r="BJ40" s="60">
        <f t="shared" si="38"/>
        <v>173.99850582760712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15.166666666666666</v>
      </c>
      <c r="BY40" s="13">
        <f>IF('Données projet'!$A$114&gt;35,BY39+BX40-CG39,IF(A40&lt;'Données projet'!$A$114,$BV$205^A40,IF(A40='Données projet'!$A$114,'Données projet'!$B$114,BY39+BX40-CG39)))</f>
        <v>129.16666666666663</v>
      </c>
      <c r="BZ40" s="14">
        <f>BY40*VLOOKUP('Données projet'!$B$12,Paramètres!$A$1:$I$89,3,0)*VLOOKUP('Données projet'!$B$12,Paramètres!$A$1:$I$89,5,0)</f>
        <v>110.82499999999999</v>
      </c>
      <c r="CA40" s="14">
        <f t="shared" si="39"/>
        <v>29.525276397875576</v>
      </c>
      <c r="CB40" s="22">
        <f t="shared" si="10"/>
        <v>244.44339805963327</v>
      </c>
      <c r="CC40" s="60">
        <f t="shared" si="11"/>
        <v>537.77673139296655</v>
      </c>
      <c r="CD40" s="60">
        <f ca="1">AVERAGE(OFFSET($CC$3,0,0,'Données projet'!$E$12+1,1))-AVERAGE(OFFSET($H$3,0,0,'Données projet'!$E$12+1,1))</f>
        <v>317.48648551307656</v>
      </c>
      <c r="CE40" s="60">
        <f t="shared" si="40"/>
        <v>133.09277301479563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0">
        <f t="shared" si="14"/>
        <v>614.59073358295768</v>
      </c>
      <c r="CY40" s="60">
        <f ca="1">AVERAGE(OFFSET($CX$3,0,0,'Données projet'!$E$13+1,1))-AVERAGE(OFFSET($H$3,0,0,'Données projet'!$E$13+1,1))</f>
        <v>194.42056369374041</v>
      </c>
      <c r="CZ40" s="60">
        <f t="shared" si="42"/>
        <v>185.75045299455371</v>
      </c>
      <c r="DA40" s="16">
        <f>IF(ISNA(VLOOKUP(A40,'Données projet'!$A$139:$I$159,3,0)),0,VLOOKUP(A40,'Données projet'!$A$139:$I$159,3,0))</f>
        <v>3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128.44416000000001</v>
      </c>
      <c r="DQ40" s="14">
        <f t="shared" si="43"/>
        <v>33.636598855068925</v>
      </c>
      <c r="DR40" s="22">
        <f t="shared" si="16"/>
        <v>282.29065500591173</v>
      </c>
      <c r="DS40" s="60">
        <f t="shared" si="17"/>
        <v>575.62398833924499</v>
      </c>
      <c r="DT40" s="60">
        <f ca="1">AVERAGE(OFFSET($DS$3,0,0,'Données projet'!$E$14+1,1))-AVERAGE(OFFSET($H$3,0,0,'Données projet'!$E$14+1,1))</f>
        <v>274.31056057602081</v>
      </c>
      <c r="DU40" s="60">
        <f t="shared" si="44"/>
        <v>163.41029152029387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6.2820512820512846</v>
      </c>
      <c r="EJ40" s="13">
        <f>IF('Données projet'!$A$192&gt;35,EJ39+EI40-ER39,IF(A40&lt;'Données projet'!$A$192,$EG$205^A40,IF(A40='Données projet'!$A$192,'Données projet'!$B$192,EJ39+EI40-ER39)))</f>
        <v>133.71794871794867</v>
      </c>
      <c r="EK40" s="18">
        <f>EJ40*VLOOKUP('Données projet'!$B$15,Paramètres!$A$1:$I$89,3,0)*VLOOKUP('Données projet'!$B$15,Paramètres!$A$1:$I$89,5,0)</f>
        <v>89.697999999999979</v>
      </c>
      <c r="EL40" s="14">
        <f t="shared" si="45"/>
        <v>24.492375624045465</v>
      </c>
      <c r="EM40" s="22">
        <f t="shared" si="19"/>
        <v>198.88157087854583</v>
      </c>
      <c r="EN40" s="60">
        <f t="shared" si="20"/>
        <v>492.21490421187912</v>
      </c>
      <c r="EO40" s="60">
        <f ca="1">AVERAGE(OFFSET($EN$3,0,0,'Données projet'!$E$15+1,1))-AVERAGE(OFFSET($H$3,0,0,'Données projet'!$E$15+1,1))</f>
        <v>120.18668518376586</v>
      </c>
      <c r="EP40" s="60">
        <f t="shared" si="46"/>
        <v>110.24821114898037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8">
        <f t="shared" si="1"/>
        <v>370.18675757542417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10.402930402930403</v>
      </c>
      <c r="N41" s="14">
        <f>IF('Données projet'!$A$36&gt;35,N40+M41-V40,IF(A41&lt;'Données projet'!$A$36,$K$205^A41,IF(A41='Données projet'!$A$36,'Données projet'!$B$36,N40+M41-V40)))</f>
        <v>186.30036630036628</v>
      </c>
      <c r="O41" s="14">
        <f>N41*VLOOKUP('Données projet'!$B$9,Paramètres!$A$1:$I$89,3,0)*VLOOKUP('Données projet'!$B$9,Paramètres!$A$1:$I$89,5,0)</f>
        <v>87.188571428571422</v>
      </c>
      <c r="P41" s="14">
        <f t="shared" si="33"/>
        <v>23.885928818198035</v>
      </c>
      <c r="Q41" s="22">
        <f t="shared" si="53"/>
        <v>193.45475459645681</v>
      </c>
      <c r="R41" s="60">
        <f t="shared" si="0"/>
        <v>486.78808792979009</v>
      </c>
      <c r="S41" s="60">
        <f ca="1">AVERAGE(OFFSET($R$3,0,0,'Données projet'!$E$9+1,1))-AVERAGE(OFFSET($H$3,0,0,'Données projet'!$E$9+1,1))</f>
        <v>106.50743833854523</v>
      </c>
      <c r="T41" s="60">
        <f t="shared" si="34"/>
        <v>47.606751325129608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0">
        <f t="shared" si="5"/>
        <v>574.15179438724942</v>
      </c>
      <c r="AN41" s="60">
        <f ca="1">AVERAGE(OFFSET($AM$3,0,0,'Données projet'!$E$10+1,1))-AVERAGE(OFFSET($H$3,0,0,'Données projet'!$E$10+1,1))</f>
        <v>247.65126267995316</v>
      </c>
      <c r="AO41" s="60">
        <f t="shared" si="36"/>
        <v>149.27472147904314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143.17680000000004</v>
      </c>
      <c r="BF41" s="14">
        <f t="shared" si="37"/>
        <v>37.023812674521515</v>
      </c>
      <c r="BG41" s="22">
        <f t="shared" si="7"/>
        <v>313.84940040812506</v>
      </c>
      <c r="BH41" s="60">
        <f t="shared" si="8"/>
        <v>607.18273374145838</v>
      </c>
      <c r="BI41" s="60">
        <f ca="1">AVERAGE(OFFSET($BH$3,0,0,'Données projet'!$E$11+1,1))-AVERAGE(OFFSET($H$3,0,0,'Données projet'!$E$11+1,1))</f>
        <v>294.2815419338562</v>
      </c>
      <c r="BJ41" s="60">
        <f t="shared" si="38"/>
        <v>173.99850582760712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15.166666666666666</v>
      </c>
      <c r="BY41" s="13">
        <f>IF('Données projet'!$A$114&gt;35,BY40+BX41-CG40,IF(A41&lt;'Données projet'!$A$114,$BV$205^A41,IF(A41='Données projet'!$A$114,'Données projet'!$B$114,BY40+BX41-CG40)))</f>
        <v>144.33333333333329</v>
      </c>
      <c r="BZ41" s="14">
        <f>BY41*VLOOKUP('Données projet'!$B$12,Paramètres!$A$1:$I$89,3,0)*VLOOKUP('Données projet'!$B$12,Paramètres!$A$1:$I$89,5,0)</f>
        <v>123.83799999999997</v>
      </c>
      <c r="CA41" s="14">
        <f t="shared" si="39"/>
        <v>32.568503009939569</v>
      </c>
      <c r="CB41" s="22">
        <f t="shared" si="10"/>
        <v>272.40799274231136</v>
      </c>
      <c r="CC41" s="60">
        <f t="shared" si="11"/>
        <v>565.74132607564468</v>
      </c>
      <c r="CD41" s="60">
        <f ca="1">AVERAGE(OFFSET($CC$3,0,0,'Données projet'!$E$12+1,1))-AVERAGE(OFFSET($H$3,0,0,'Données projet'!$E$12+1,1))</f>
        <v>317.48648551307656</v>
      </c>
      <c r="CE41" s="60">
        <f t="shared" si="40"/>
        <v>133.09277301479563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0">
        <f t="shared" si="14"/>
        <v>573.06570146912838</v>
      </c>
      <c r="CY41" s="60">
        <f ca="1">AVERAGE(OFFSET($CX$3,0,0,'Données projet'!$E$13+1,1))-AVERAGE(OFFSET($H$3,0,0,'Données projet'!$E$13+1,1))</f>
        <v>194.42056369374041</v>
      </c>
      <c r="CZ41" s="60">
        <f t="shared" si="42"/>
        <v>185.75045299455371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136.56864000000002</v>
      </c>
      <c r="DQ41" s="14">
        <f t="shared" si="43"/>
        <v>35.509797430964703</v>
      </c>
      <c r="DR41" s="22">
        <f t="shared" si="16"/>
        <v>299.70327852559689</v>
      </c>
      <c r="DS41" s="60">
        <f t="shared" si="17"/>
        <v>593.0366118589302</v>
      </c>
      <c r="DT41" s="60">
        <f ca="1">AVERAGE(OFFSET($DS$3,0,0,'Données projet'!$E$14+1,1))-AVERAGE(OFFSET($H$3,0,0,'Données projet'!$E$14+1,1))</f>
        <v>274.31056057602081</v>
      </c>
      <c r="DU41" s="60">
        <f t="shared" si="44"/>
        <v>163.41029152029387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6.2820512820512846</v>
      </c>
      <c r="EJ41" s="13">
        <f>IF('Données projet'!$A$192&gt;35,EJ40+EI41-ER40,IF(A41&lt;'Données projet'!$A$192,$EG$205^A41,IF(A41='Données projet'!$A$192,'Données projet'!$B$192,EJ40+EI41-ER40)))</f>
        <v>139.99999999999994</v>
      </c>
      <c r="EK41" s="18">
        <f>EJ41*VLOOKUP('Données projet'!$B$15,Paramètres!$A$1:$I$89,3,0)*VLOOKUP('Données projet'!$B$15,Paramètres!$A$1:$I$89,5,0)</f>
        <v>93.911999999999964</v>
      </c>
      <c r="EL41" s="14">
        <f t="shared" si="45"/>
        <v>25.506356157232645</v>
      </c>
      <c r="EM41" s="22">
        <f t="shared" si="19"/>
        <v>207.98697030718009</v>
      </c>
      <c r="EN41" s="60">
        <f t="shared" si="20"/>
        <v>501.32030364051343</v>
      </c>
      <c r="EO41" s="60">
        <f ca="1">AVERAGE(OFFSET($EN$3,0,0,'Données projet'!$E$15+1,1))-AVERAGE(OFFSET($H$3,0,0,'Données projet'!$E$15+1,1))</f>
        <v>120.18668518376586</v>
      </c>
      <c r="EP41" s="60">
        <f t="shared" si="46"/>
        <v>110.24821114898037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8">
        <f t="shared" si="1"/>
        <v>372.15343449123395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10.402930402930403</v>
      </c>
      <c r="N42" s="14">
        <f>IF('Données projet'!$A$36&gt;35,N41+M42-V41,IF(A42&lt;'Données projet'!$A$36,$K$205^A42,IF(A42='Données projet'!$A$36,'Données projet'!$B$36,N41+M42-V41)))</f>
        <v>196.70329670329667</v>
      </c>
      <c r="O42" s="14">
        <f>N42*VLOOKUP('Données projet'!$B$9,Paramètres!$A$1:$I$89,3,0)*VLOOKUP('Données projet'!$B$9,Paramètres!$A$1:$I$89,5,0)</f>
        <v>92.05714285714285</v>
      </c>
      <c r="P42" s="14">
        <f t="shared" si="33"/>
        <v>25.060703863036977</v>
      </c>
      <c r="Q42" s="22">
        <f t="shared" si="53"/>
        <v>203.9802497043132</v>
      </c>
      <c r="R42" s="60">
        <f t="shared" si="0"/>
        <v>497.31358303764648</v>
      </c>
      <c r="S42" s="60">
        <f ca="1">AVERAGE(OFFSET($R$3,0,0,'Données projet'!$E$9+1,1))-AVERAGE(OFFSET($H$3,0,0,'Données projet'!$E$9+1,1))</f>
        <v>106.50743833854523</v>
      </c>
      <c r="T42" s="60">
        <f t="shared" si="34"/>
        <v>47.606751325129608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0">
        <f t="shared" si="5"/>
        <v>590.44356897369653</v>
      </c>
      <c r="AN42" s="60">
        <f ca="1">AVERAGE(OFFSET($AM$3,0,0,'Données projet'!$E$10+1,1))-AVERAGE(OFFSET($H$3,0,0,'Données projet'!$E$10+1,1))</f>
        <v>247.65126267995316</v>
      </c>
      <c r="AO42" s="60">
        <f t="shared" si="36"/>
        <v>149.27472147904314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151.69440000000003</v>
      </c>
      <c r="BF42" s="14">
        <f t="shared" si="37"/>
        <v>38.963392010880654</v>
      </c>
      <c r="BG42" s="22">
        <f t="shared" si="7"/>
        <v>332.06232108561716</v>
      </c>
      <c r="BH42" s="60">
        <f t="shared" si="8"/>
        <v>625.39565441895047</v>
      </c>
      <c r="BI42" s="60">
        <f ca="1">AVERAGE(OFFSET($BH$3,0,0,'Données projet'!$E$11+1,1))-AVERAGE(OFFSET($H$3,0,0,'Données projet'!$E$11+1,1))</f>
        <v>294.2815419338562</v>
      </c>
      <c r="BJ42" s="60">
        <f t="shared" si="38"/>
        <v>173.99850582760712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15.166666666666666</v>
      </c>
      <c r="BY42" s="13">
        <f>IF('Données projet'!$A$114&gt;35,BY41+BX42-CG41,IF(A42&lt;'Données projet'!$A$114,$BV$205^A42,IF(A42='Données projet'!$A$114,'Données projet'!$B$114,BY41+BX42-CG41)))</f>
        <v>159.49999999999994</v>
      </c>
      <c r="BZ42" s="14">
        <f>BY42*VLOOKUP('Données projet'!$B$12,Paramètres!$A$1:$I$89,3,0)*VLOOKUP('Données projet'!$B$12,Paramètres!$A$1:$I$89,5,0)</f>
        <v>136.85099999999997</v>
      </c>
      <c r="CA42" s="14">
        <f t="shared" si="39"/>
        <v>35.574661452157265</v>
      </c>
      <c r="CB42" s="22">
        <f t="shared" si="10"/>
        <v>300.30802702917384</v>
      </c>
      <c r="CC42" s="60">
        <f t="shared" si="11"/>
        <v>593.64136036250716</v>
      </c>
      <c r="CD42" s="60">
        <f ca="1">AVERAGE(OFFSET($CC$3,0,0,'Données projet'!$E$12+1,1))-AVERAGE(OFFSET($H$3,0,0,'Données projet'!$E$12+1,1))</f>
        <v>317.48648551307656</v>
      </c>
      <c r="CE42" s="60">
        <f t="shared" si="40"/>
        <v>133.09277301479563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0">
        <f t="shared" si="14"/>
        <v>591.69623561735898</v>
      </c>
      <c r="CY42" s="60">
        <f ca="1">AVERAGE(OFFSET($CX$3,0,0,'Données projet'!$E$13+1,1))-AVERAGE(OFFSET($H$3,0,0,'Données projet'!$E$13+1,1))</f>
        <v>194.42056369374041</v>
      </c>
      <c r="CZ42" s="60">
        <f t="shared" si="42"/>
        <v>185.75045299455371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144.69312000000002</v>
      </c>
      <c r="DQ42" s="14">
        <f t="shared" si="43"/>
        <v>37.370061524802772</v>
      </c>
      <c r="DR42" s="22">
        <f t="shared" si="16"/>
        <v>317.09337448903148</v>
      </c>
      <c r="DS42" s="60">
        <f t="shared" si="17"/>
        <v>610.42670782236473</v>
      </c>
      <c r="DT42" s="60">
        <f ca="1">AVERAGE(OFFSET($DS$3,0,0,'Données projet'!$E$14+1,1))-AVERAGE(OFFSET($H$3,0,0,'Données projet'!$E$14+1,1))</f>
        <v>274.31056057602081</v>
      </c>
      <c r="DU42" s="60">
        <f t="shared" si="44"/>
        <v>163.41029152029387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6.2820512820512846</v>
      </c>
      <c r="EJ42" s="13">
        <f>IF('Données projet'!$A$192&gt;35,EJ41+EI42-ER41,IF(A42&lt;'Données projet'!$A$192,$EG$205^A42,IF(A42='Données projet'!$A$192,'Données projet'!$B$192,EJ41+EI42-ER41)))</f>
        <v>146.28205128205121</v>
      </c>
      <c r="EK42" s="18">
        <f>EJ42*VLOOKUP('Données projet'!$B$15,Paramètres!$A$1:$I$89,3,0)*VLOOKUP('Données projet'!$B$15,Paramètres!$A$1:$I$89,5,0)</f>
        <v>98.125999999999962</v>
      </c>
      <c r="EL42" s="14">
        <f t="shared" si="45"/>
        <v>26.515052526532699</v>
      </c>
      <c r="EM42" s="22">
        <f t="shared" si="19"/>
        <v>217.08316648371104</v>
      </c>
      <c r="EN42" s="60">
        <f t="shared" si="20"/>
        <v>510.41649981704438</v>
      </c>
      <c r="EO42" s="60">
        <f ca="1">AVERAGE(OFFSET($EN$3,0,0,'Données projet'!$E$15+1,1))-AVERAGE(OFFSET($H$3,0,0,'Données projet'!$E$15+1,1))</f>
        <v>120.18668518376586</v>
      </c>
      <c r="EP42" s="60">
        <f t="shared" si="46"/>
        <v>110.24821114898037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8">
        <f t="shared" si="1"/>
        <v>374.11886559244715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10.402930402930403</v>
      </c>
      <c r="N43" s="14">
        <f>IF('Données projet'!$A$36&gt;35,N42+M43-V42,IF(A43&lt;'Données projet'!$A$36,$K$205^A43,IF(A43='Données projet'!$A$36,'Données projet'!$B$36,N42+M43-V42)))</f>
        <v>207.10622710622707</v>
      </c>
      <c r="O43" s="14">
        <f>N43*VLOOKUP('Données projet'!$B$9,Paramètres!$A$1:$I$89,3,0)*VLOOKUP('Données projet'!$B$9,Paramètres!$A$1:$I$89,5,0)</f>
        <v>96.925714285714264</v>
      </c>
      <c r="P43" s="14">
        <f t="shared" si="33"/>
        <v>26.228265683321183</v>
      </c>
      <c r="Q43" s="22">
        <f t="shared" si="53"/>
        <v>214.49318177940339</v>
      </c>
      <c r="R43" s="60">
        <f t="shared" si="0"/>
        <v>507.82651511273673</v>
      </c>
      <c r="S43" s="60">
        <f ca="1">AVERAGE(OFFSET($R$3,0,0,'Données projet'!$E$9+1,1))-AVERAGE(OFFSET($H$3,0,0,'Données projet'!$E$9+1,1))</f>
        <v>106.50743833854523</v>
      </c>
      <c r="T43" s="60">
        <f t="shared" si="34"/>
        <v>47.606751325129608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0">
        <f t="shared" si="5"/>
        <v>606.71543359582972</v>
      </c>
      <c r="AN43" s="60">
        <f ca="1">AVERAGE(OFFSET($AM$3,0,0,'Données projet'!$E$10+1,1))-AVERAGE(OFFSET($H$3,0,0,'Données projet'!$E$10+1,1))</f>
        <v>247.65126267995316</v>
      </c>
      <c r="AO43" s="60">
        <f t="shared" si="36"/>
        <v>149.27472147904314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160.21200000000005</v>
      </c>
      <c r="BF43" s="14">
        <f t="shared" si="37"/>
        <v>40.890328912852695</v>
      </c>
      <c r="BG43" s="22">
        <f t="shared" si="7"/>
        <v>350.25322285655176</v>
      </c>
      <c r="BH43" s="60">
        <f t="shared" si="8"/>
        <v>643.58655618988507</v>
      </c>
      <c r="BI43" s="60">
        <f ca="1">AVERAGE(OFFSET($BH$3,0,0,'Données projet'!$E$11+1,1))-AVERAGE(OFFSET($H$3,0,0,'Données projet'!$E$11+1,1))</f>
        <v>294.2815419338562</v>
      </c>
      <c r="BJ43" s="60">
        <f t="shared" si="38"/>
        <v>173.99850582760712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15.166666666666666</v>
      </c>
      <c r="BY43" s="13">
        <f>IF('Données projet'!$A$114&gt;35,BY42+BX43-CG42,IF(A43&lt;'Données projet'!$A$114,$BV$205^A43,IF(A43='Données projet'!$A$114,'Données projet'!$B$114,BY42+BX43-CG42)))</f>
        <v>174.6666666666666</v>
      </c>
      <c r="BZ43" s="14">
        <f>BY43*VLOOKUP('Données projet'!$B$12,Paramètres!$A$1:$I$89,3,0)*VLOOKUP('Données projet'!$B$12,Paramètres!$A$1:$I$89,5,0)</f>
        <v>149.86399999999995</v>
      </c>
      <c r="CA43" s="14">
        <f t="shared" si="39"/>
        <v>38.547677501412096</v>
      </c>
      <c r="CB43" s="22">
        <f t="shared" si="10"/>
        <v>328.1503383149593</v>
      </c>
      <c r="CC43" s="60">
        <f t="shared" si="11"/>
        <v>621.48367164829256</v>
      </c>
      <c r="CD43" s="60">
        <f ca="1">AVERAGE(OFFSET($CC$3,0,0,'Données projet'!$E$12+1,1))-AVERAGE(OFFSET($H$3,0,0,'Données projet'!$E$12+1,1))</f>
        <v>317.48648551307656</v>
      </c>
      <c r="CE43" s="60">
        <f t="shared" si="40"/>
        <v>133.09277301479563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0">
        <f t="shared" si="14"/>
        <v>610.30085310437994</v>
      </c>
      <c r="CY43" s="60">
        <f ca="1">AVERAGE(OFFSET($CX$3,0,0,'Données projet'!$E$13+1,1))-AVERAGE(OFFSET($H$3,0,0,'Données projet'!$E$13+1,1))</f>
        <v>194.42056369374041</v>
      </c>
      <c r="CZ43" s="60">
        <f t="shared" si="42"/>
        <v>185.75045299455371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152.81760000000003</v>
      </c>
      <c r="DQ43" s="14">
        <f t="shared" si="43"/>
        <v>39.218200171484227</v>
      </c>
      <c r="DR43" s="22">
        <f t="shared" si="16"/>
        <v>334.46235196533502</v>
      </c>
      <c r="DS43" s="60">
        <f t="shared" si="17"/>
        <v>627.79568529866833</v>
      </c>
      <c r="DT43" s="60">
        <f ca="1">AVERAGE(OFFSET($DS$3,0,0,'Données projet'!$E$14+1,1))-AVERAGE(OFFSET($H$3,0,0,'Données projet'!$E$14+1,1))</f>
        <v>274.31056057602081</v>
      </c>
      <c r="DU43" s="60">
        <f t="shared" si="44"/>
        <v>163.41029152029387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152.56410256410257</v>
      </c>
      <c r="EH43" s="13">
        <f>VLOOKUP(A43,'Données projet'!$A$191:$I$211,9,0)</f>
        <v>6.2820512820512846</v>
      </c>
      <c r="EI43" s="13">
        <f t="array" ref="EI43">INDEX(EH:EH,MIN(IF(ISNUMBER(EH43:EH239),ROW(EH43:EH239),"")))</f>
        <v>6.2820512820512846</v>
      </c>
      <c r="EJ43" s="13">
        <f>IF('Données projet'!$A$192&gt;35,EJ42+EI43-ER42,IF(A43&lt;'Données projet'!$A$192,$EG$205^A43,IF(A43='Données projet'!$A$192,'Données projet'!$B$192,EJ42+EI43-ER42)))</f>
        <v>152.56410256410248</v>
      </c>
      <c r="EK43" s="18">
        <f>EJ43*VLOOKUP('Données projet'!$B$15,Paramètres!$A$1:$I$89,3,0)*VLOOKUP('Données projet'!$B$15,Paramètres!$A$1:$I$89,5,0)</f>
        <v>102.33999999999996</v>
      </c>
      <c r="EL43" s="14">
        <f t="shared" si="45"/>
        <v>27.518717600046635</v>
      </c>
      <c r="EM43" s="22">
        <f t="shared" si="19"/>
        <v>226.17059982008115</v>
      </c>
      <c r="EN43" s="60">
        <f t="shared" si="20"/>
        <v>519.50393315341444</v>
      </c>
      <c r="EO43" s="60">
        <f ca="1">AVERAGE(OFFSET($EN$3,0,0,'Données projet'!$E$15+1,1))-AVERAGE(OFFSET($H$3,0,0,'Données projet'!$E$15+1,1))</f>
        <v>120.18668518376586</v>
      </c>
      <c r="EP43" s="60">
        <f t="shared" si="46"/>
        <v>110.24821114898037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28.205128205128204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8">
        <f t="shared" si="1"/>
        <v>376.08308560652495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10.402930402930403</v>
      </c>
      <c r="N44" s="14">
        <f>IF('Données projet'!$A$36&gt;35,N43+M44-V43,IF(A44&lt;'Données projet'!$A$36,$K$205^A44,IF(A44='Données projet'!$A$36,'Données projet'!$B$36,N43+M44-V43)))</f>
        <v>217.50915750915746</v>
      </c>
      <c r="O44" s="14">
        <f>N44*VLOOKUP('Données projet'!$B$9,Paramètres!$A$1:$I$89,3,0)*VLOOKUP('Données projet'!$B$9,Paramètres!$A$1:$I$89,5,0)</f>
        <v>101.79428571428569</v>
      </c>
      <c r="P44" s="14">
        <f t="shared" si="33"/>
        <v>27.389017940319118</v>
      </c>
      <c r="Q44" s="22">
        <f t="shared" si="53"/>
        <v>224.99425386510336</v>
      </c>
      <c r="R44" s="60">
        <f t="shared" si="0"/>
        <v>518.32758719843673</v>
      </c>
      <c r="S44" s="60">
        <f ca="1">AVERAGE(OFFSET($R$3,0,0,'Données projet'!$E$9+1,1))-AVERAGE(OFFSET($H$3,0,0,'Données projet'!$E$9+1,1))</f>
        <v>106.50743833854523</v>
      </c>
      <c r="T44" s="60">
        <f t="shared" si="34"/>
        <v>47.606751325129608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0">
        <f t="shared" si="5"/>
        <v>541.50302276112825</v>
      </c>
      <c r="AN44" s="60">
        <f ca="1">AVERAGE(OFFSET($AM$3,0,0,'Données projet'!$E$10+1,1))-AVERAGE(OFFSET($H$3,0,0,'Données projet'!$E$10+1,1))</f>
        <v>247.65126267995316</v>
      </c>
      <c r="AO44" s="60">
        <f t="shared" si="36"/>
        <v>149.27472147904314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126.14160000000005</v>
      </c>
      <c r="BF44" s="14">
        <f t="shared" si="37"/>
        <v>33.10323903126482</v>
      </c>
      <c r="BG44" s="22">
        <f t="shared" si="7"/>
        <v>277.35142797945298</v>
      </c>
      <c r="BH44" s="60">
        <f t="shared" si="8"/>
        <v>570.68476131278635</v>
      </c>
      <c r="BI44" s="60">
        <f ca="1">AVERAGE(OFFSET($BH$3,0,0,'Données projet'!$E$11+1,1))-AVERAGE(OFFSET($H$3,0,0,'Données projet'!$E$11+1,1))</f>
        <v>294.2815419338562</v>
      </c>
      <c r="BJ44" s="60">
        <f t="shared" si="38"/>
        <v>173.99850582760712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15.166666666666666</v>
      </c>
      <c r="BY44" s="13">
        <f>IF('Données projet'!$A$114&gt;35,BY43+BX44-CG43,IF(A44&lt;'Données projet'!$A$114,$BV$205^A44,IF(A44='Données projet'!$A$114,'Données projet'!$B$114,BY43+BX44-CG43)))</f>
        <v>189.83333333333326</v>
      </c>
      <c r="BZ44" s="14">
        <f>BY44*VLOOKUP('Données projet'!$B$12,Paramètres!$A$1:$I$89,3,0)*VLOOKUP('Données projet'!$B$12,Paramètres!$A$1:$I$89,5,0)</f>
        <v>162.87699999999995</v>
      </c>
      <c r="CA44" s="14">
        <f t="shared" si="39"/>
        <v>41.490756193100523</v>
      </c>
      <c r="CB44" s="22">
        <f t="shared" si="10"/>
        <v>355.94050870298332</v>
      </c>
      <c r="CC44" s="60">
        <f t="shared" si="11"/>
        <v>649.27384203631664</v>
      </c>
      <c r="CD44" s="60">
        <f ca="1">AVERAGE(OFFSET($CC$3,0,0,'Données projet'!$E$12+1,1))-AVERAGE(OFFSET($H$3,0,0,'Données projet'!$E$12+1,1))</f>
        <v>317.48648551307656</v>
      </c>
      <c r="CE44" s="60">
        <f t="shared" si="40"/>
        <v>133.09277301479563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0">
        <f t="shared" si="14"/>
        <v>628.88128868979697</v>
      </c>
      <c r="CY44" s="60">
        <f ca="1">AVERAGE(OFFSET($CX$3,0,0,'Données projet'!$E$13+1,1))-AVERAGE(OFFSET($H$3,0,0,'Données projet'!$E$13+1,1))</f>
        <v>194.42056369374041</v>
      </c>
      <c r="CZ44" s="60">
        <f t="shared" si="42"/>
        <v>185.75045299455371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120.31968000000002</v>
      </c>
      <c r="DQ44" s="14">
        <f t="shared" si="43"/>
        <v>31.74954785566829</v>
      </c>
      <c r="DR44" s="22">
        <f t="shared" si="16"/>
        <v>264.85390518195561</v>
      </c>
      <c r="DS44" s="60">
        <f t="shared" si="17"/>
        <v>558.18723851528898</v>
      </c>
      <c r="DT44" s="60">
        <f ca="1">AVERAGE(OFFSET($DS$3,0,0,'Données projet'!$E$14+1,1))-AVERAGE(OFFSET($H$3,0,0,'Données projet'!$E$14+1,1))</f>
        <v>274.31056057602081</v>
      </c>
      <c r="DU44" s="60">
        <f t="shared" si="44"/>
        <v>163.41029152029387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5.7692307692307683</v>
      </c>
      <c r="EJ44" s="13">
        <f>IF('Données projet'!$A$192&gt;35,EJ43+EI44-ER43,IF(A44&lt;'Données projet'!$A$192,$EG$205^A44,IF(A44='Données projet'!$A$192,'Données projet'!$B$192,EJ43+EI44-ER43)))</f>
        <v>130.12820512820505</v>
      </c>
      <c r="EK44" s="18">
        <f>EJ44*VLOOKUP('Données projet'!$B$15,Paramètres!$A$1:$I$89,3,0)*VLOOKUP('Données projet'!$B$15,Paramètres!$A$1:$I$89,5,0)</f>
        <v>87.289999999999949</v>
      </c>
      <c r="EL44" s="14">
        <f t="shared" si="45"/>
        <v>23.910479818711725</v>
      </c>
      <c r="EM44" s="22">
        <f t="shared" si="19"/>
        <v>193.67416901758949</v>
      </c>
      <c r="EN44" s="60">
        <f t="shared" si="20"/>
        <v>487.00750235092278</v>
      </c>
      <c r="EO44" s="60">
        <f ca="1">AVERAGE(OFFSET($EN$3,0,0,'Données projet'!$E$15+1,1))-AVERAGE(OFFSET($H$3,0,0,'Données projet'!$E$15+1,1))</f>
        <v>120.18668518376586</v>
      </c>
      <c r="EP44" s="60">
        <f t="shared" si="46"/>
        <v>110.24821114898037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8">
        <f t="shared" si="1"/>
        <v>378.04612747032132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10.402930402930403</v>
      </c>
      <c r="N45" s="14">
        <f>IF('Données projet'!$A$36&gt;35,N44+M45-V44,IF(A45&lt;'Données projet'!$A$36,$K$205^A45,IF(A45='Données projet'!$A$36,'Données projet'!$B$36,N44+M45-V44)))</f>
        <v>227.91208791208786</v>
      </c>
      <c r="O45" s="14">
        <f>N45*VLOOKUP('Données projet'!$B$9,Paramètres!$A$1:$I$89,3,0)*VLOOKUP('Données projet'!$B$9,Paramètres!$A$1:$I$89,5,0)</f>
        <v>106.66285714285712</v>
      </c>
      <c r="P45" s="14">
        <f t="shared" si="33"/>
        <v>28.543323501294243</v>
      </c>
      <c r="Q45" s="22">
        <f t="shared" si="53"/>
        <v>235.48409795523028</v>
      </c>
      <c r="R45" s="60">
        <f t="shared" si="0"/>
        <v>528.81743128856363</v>
      </c>
      <c r="S45" s="60">
        <f ca="1">AVERAGE(OFFSET($R$3,0,0,'Données projet'!$E$9+1,1))-AVERAGE(OFFSET($H$3,0,0,'Données projet'!$E$9+1,1))</f>
        <v>106.50743833854523</v>
      </c>
      <c r="T45" s="60">
        <f t="shared" si="34"/>
        <v>47.606751325129608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0">
        <f t="shared" si="5"/>
        <v>557.83878140250954</v>
      </c>
      <c r="AN45" s="60">
        <f ca="1">AVERAGE(OFFSET($AM$3,0,0,'Données projet'!$E$10+1,1))-AVERAGE(OFFSET($H$3,0,0,'Données projet'!$E$10+1,1))</f>
        <v>247.65126267995316</v>
      </c>
      <c r="AO45" s="60">
        <f t="shared" si="36"/>
        <v>149.27472147904314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134.65920000000006</v>
      </c>
      <c r="BF45" s="14">
        <f t="shared" si="37"/>
        <v>35.07074737441733</v>
      </c>
      <c r="BG45" s="22">
        <f t="shared" si="7"/>
        <v>295.61299167711024</v>
      </c>
      <c r="BH45" s="60">
        <f t="shared" si="8"/>
        <v>588.94632501044362</v>
      </c>
      <c r="BI45" s="60">
        <f ca="1">AVERAGE(OFFSET($BH$3,0,0,'Données projet'!$E$11+1,1))-AVERAGE(OFFSET($H$3,0,0,'Données projet'!$E$11+1,1))</f>
        <v>294.2815419338562</v>
      </c>
      <c r="BJ45" s="60">
        <f t="shared" si="38"/>
        <v>173.99850582760712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205</v>
      </c>
      <c r="BW45" s="13">
        <f>VLOOKUP(A45,'Données projet'!$A$113:$I$133,9,0)</f>
        <v>15.166666666666666</v>
      </c>
      <c r="BX45" s="13">
        <f t="array" ref="BX45">INDEX(BW:BW,MIN(IF(ISNUMBER(BW45:BW241),ROW(BW45:BW241),"")))</f>
        <v>15.166666666666666</v>
      </c>
      <c r="BY45" s="13">
        <f>IF('Données projet'!$A$114&gt;35,BY44+BX45-CG44,IF(A45&lt;'Données projet'!$A$114,$BV$205^A45,IF(A45='Données projet'!$A$114,'Données projet'!$B$114,BY44+BX45-CG44)))</f>
        <v>204.99999999999991</v>
      </c>
      <c r="BZ45" s="14">
        <f>BY45*VLOOKUP('Données projet'!$B$12,Paramètres!$A$1:$I$89,3,0)*VLOOKUP('Données projet'!$B$12,Paramètres!$A$1:$I$89,5,0)</f>
        <v>175.88999999999993</v>
      </c>
      <c r="CA45" s="14">
        <f t="shared" si="39"/>
        <v>44.406561291935212</v>
      </c>
      <c r="CB45" s="22">
        <f t="shared" si="10"/>
        <v>383.6831775834537</v>
      </c>
      <c r="CC45" s="60">
        <f t="shared" si="11"/>
        <v>677.01651091678696</v>
      </c>
      <c r="CD45" s="60">
        <f ca="1">AVERAGE(OFFSET($CC$3,0,0,'Données projet'!$E$12+1,1))-AVERAGE(OFFSET($H$3,0,0,'Données projet'!$E$12+1,1))</f>
        <v>317.48648551307656</v>
      </c>
      <c r="CE45" s="60">
        <f t="shared" si="40"/>
        <v>133.09277301479563</v>
      </c>
      <c r="CF45" s="16">
        <f>IF(ISNA(VLOOKUP(A45,'Données projet'!$A$113:$I$133,3,0)),0,VLOOKUP(A45,'Données projet'!$A$113:$I$133,3,0))</f>
        <v>4</v>
      </c>
      <c r="CG45" s="16">
        <f>IF(ISNA(VLOOKUP(A45,'Données projet'!$A$113:$I$133,4,0)),0,VLOOKUP(A45,'Données projet'!$A$113:$I$133,4,0))</f>
        <v>59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0">
        <f t="shared" si="14"/>
        <v>647.43906935148379</v>
      </c>
      <c r="CY45" s="60">
        <f ca="1">AVERAGE(OFFSET($CX$3,0,0,'Données projet'!$E$13+1,1))-AVERAGE(OFFSET($H$3,0,0,'Données projet'!$E$13+1,1))</f>
        <v>194.42056369374041</v>
      </c>
      <c r="CZ45" s="60">
        <f t="shared" si="42"/>
        <v>185.75045299455371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128.44416000000004</v>
      </c>
      <c r="DQ45" s="14">
        <f t="shared" si="43"/>
        <v>33.636598855068954</v>
      </c>
      <c r="DR45" s="22">
        <f t="shared" si="16"/>
        <v>282.29065500591184</v>
      </c>
      <c r="DS45" s="60">
        <f t="shared" si="17"/>
        <v>575.62398833924522</v>
      </c>
      <c r="DT45" s="60">
        <f ca="1">AVERAGE(OFFSET($DS$3,0,0,'Données projet'!$E$14+1,1))-AVERAGE(OFFSET($H$3,0,0,'Données projet'!$E$14+1,1))</f>
        <v>274.31056057602081</v>
      </c>
      <c r="DU45" s="60">
        <f t="shared" si="44"/>
        <v>163.41029152029387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5.7692307692307683</v>
      </c>
      <c r="EJ45" s="13">
        <f>IF('Données projet'!$A$192&gt;35,EJ44+EI45-ER44,IF(A45&lt;'Données projet'!$A$192,$EG$205^A45,IF(A45='Données projet'!$A$192,'Données projet'!$B$192,EJ44+EI45-ER44)))</f>
        <v>135.89743589743583</v>
      </c>
      <c r="EK45" s="18">
        <f>EJ45*VLOOKUP('Données projet'!$B$15,Paramètres!$A$1:$I$89,3,0)*VLOOKUP('Données projet'!$B$15,Paramètres!$A$1:$I$89,5,0)</f>
        <v>91.159999999999954</v>
      </c>
      <c r="EL45" s="14">
        <f t="shared" si="45"/>
        <v>24.844780200578068</v>
      </c>
      <c r="EM45" s="22">
        <f t="shared" si="19"/>
        <v>202.04165884934005</v>
      </c>
      <c r="EN45" s="60">
        <f t="shared" si="20"/>
        <v>495.3749921826734</v>
      </c>
      <c r="EO45" s="60">
        <f ca="1">AVERAGE(OFFSET($EN$3,0,0,'Données projet'!$E$15+1,1))-AVERAGE(OFFSET($H$3,0,0,'Données projet'!$E$15+1,1))</f>
        <v>120.18668518376586</v>
      </c>
      <c r="EP45" s="60">
        <f t="shared" si="46"/>
        <v>110.24821114898037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8">
        <f t="shared" si="1"/>
        <v>380.00802246281268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10.402930402930403</v>
      </c>
      <c r="N46" s="14">
        <f>IF('Données projet'!$A$36&gt;35,N45+M46-V45,IF(A46&lt;'Données projet'!$A$36,$K$205^A46,IF(A46='Données projet'!$A$36,'Données projet'!$B$36,N45+M46-V45)))</f>
        <v>238.31501831501825</v>
      </c>
      <c r="O46" s="14">
        <f>N46*VLOOKUP('Données projet'!$B$9,Paramètres!$A$1:$I$89,3,0)*VLOOKUP('Données projet'!$B$9,Paramètres!$A$1:$I$89,5,0)</f>
        <v>111.53142857142855</v>
      </c>
      <c r="P46" s="14">
        <f t="shared" si="33"/>
        <v>29.691510235320177</v>
      </c>
      <c r="Q46" s="22">
        <f t="shared" si="53"/>
        <v>245.96328508842066</v>
      </c>
      <c r="R46" s="60">
        <f t="shared" si="0"/>
        <v>539.29661842175392</v>
      </c>
      <c r="S46" s="60">
        <f ca="1">AVERAGE(OFFSET($R$3,0,0,'Données projet'!$E$9+1,1))-AVERAGE(OFFSET($H$3,0,0,'Données projet'!$E$9+1,1))</f>
        <v>106.50743833854523</v>
      </c>
      <c r="T46" s="60">
        <f t="shared" si="34"/>
        <v>47.606751325129608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0">
        <f t="shared" si="5"/>
        <v>574.15179438724942</v>
      </c>
      <c r="AN46" s="60">
        <f ca="1">AVERAGE(OFFSET($AM$3,0,0,'Données projet'!$E$10+1,1))-AVERAGE(OFFSET($H$3,0,0,'Données projet'!$E$10+1,1))</f>
        <v>247.65126267995316</v>
      </c>
      <c r="AO46" s="60">
        <f t="shared" si="36"/>
        <v>149.27472147904314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0">
        <f t="shared" si="8"/>
        <v>607.18273374145838</v>
      </c>
      <c r="BI46" s="60">
        <f ca="1">AVERAGE(OFFSET($BH$3,0,0,'Données projet'!$E$11+1,1))-AVERAGE(OFFSET($H$3,0,0,'Données projet'!$E$11+1,1))</f>
        <v>294.2815419338562</v>
      </c>
      <c r="BJ46" s="60">
        <f t="shared" si="38"/>
        <v>173.99850582760712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15.666666666666666</v>
      </c>
      <c r="BY46" s="13">
        <f>IF('Données projet'!$A$114&gt;35,BY45+BX46-CG45,IF(A46&lt;'Données projet'!$A$114,$BV$205^A46,IF(A46='Données projet'!$A$114,'Données projet'!$B$114,BY45+BX46-CG45)))</f>
        <v>161.66666666666657</v>
      </c>
      <c r="BZ46" s="14">
        <f>BY46*VLOOKUP('Données projet'!$B$12,Paramètres!$A$1:$I$89,3,0)*VLOOKUP('Données projet'!$B$12,Paramètres!$A$1:$I$89,5,0)</f>
        <v>138.70999999999995</v>
      </c>
      <c r="CA46" s="14">
        <f t="shared" si="39"/>
        <v>36.00132558429457</v>
      </c>
      <c r="CB46" s="22">
        <f t="shared" si="10"/>
        <v>304.2888920593129</v>
      </c>
      <c r="CC46" s="60">
        <f t="shared" si="11"/>
        <v>597.62222539264621</v>
      </c>
      <c r="CD46" s="60">
        <f ca="1">AVERAGE(OFFSET($CC$3,0,0,'Données projet'!$E$12+1,1))-AVERAGE(OFFSET($H$3,0,0,'Données projet'!$E$12+1,1))</f>
        <v>317.48648551307656</v>
      </c>
      <c r="CE46" s="60">
        <f t="shared" si="40"/>
        <v>133.09277301479563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0">
        <f t="shared" si="14"/>
        <v>665.97554898467797</v>
      </c>
      <c r="CY46" s="60">
        <f ca="1">AVERAGE(OFFSET($CX$3,0,0,'Données projet'!$E$13+1,1))-AVERAGE(OFFSET($H$3,0,0,'Données projet'!$E$13+1,1))</f>
        <v>194.42056369374041</v>
      </c>
      <c r="CZ46" s="60">
        <f t="shared" si="42"/>
        <v>185.75045299455371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136.56864000000004</v>
      </c>
      <c r="DQ46" s="14">
        <f t="shared" si="43"/>
        <v>35.509797430964703</v>
      </c>
      <c r="DR46" s="22">
        <f t="shared" si="16"/>
        <v>299.70327852559694</v>
      </c>
      <c r="DS46" s="60">
        <f t="shared" si="17"/>
        <v>593.0366118589302</v>
      </c>
      <c r="DT46" s="60">
        <f ca="1">AVERAGE(OFFSET($DS$3,0,0,'Données projet'!$E$14+1,1))-AVERAGE(OFFSET($H$3,0,0,'Données projet'!$E$14+1,1))</f>
        <v>274.31056057602081</v>
      </c>
      <c r="DU46" s="60">
        <f t="shared" si="44"/>
        <v>163.41029152029387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5.7692307692307683</v>
      </c>
      <c r="EJ46" s="13">
        <f>IF('Données projet'!$A$192&gt;35,EJ45+EI46-ER45,IF(A46&lt;'Données projet'!$A$192,$EG$205^A46,IF(A46='Données projet'!$A$192,'Données projet'!$B$192,EJ45+EI46-ER45)))</f>
        <v>141.6666666666666</v>
      </c>
      <c r="EK46" s="18">
        <f>EJ46*VLOOKUP('Données projet'!$B$15,Paramètres!$A$1:$I$89,3,0)*VLOOKUP('Données projet'!$B$15,Paramètres!$A$1:$I$89,5,0)</f>
        <v>95.029999999999959</v>
      </c>
      <c r="EL46" s="14">
        <f t="shared" si="45"/>
        <v>25.774473655280186</v>
      </c>
      <c r="EM46" s="22">
        <f t="shared" si="19"/>
        <v>210.40112494961292</v>
      </c>
      <c r="EN46" s="60">
        <f t="shared" si="20"/>
        <v>503.73445828294621</v>
      </c>
      <c r="EO46" s="60">
        <f ca="1">AVERAGE(OFFSET($EN$3,0,0,'Données projet'!$E$15+1,1))-AVERAGE(OFFSET($H$3,0,0,'Données projet'!$E$15+1,1))</f>
        <v>120.18668518376586</v>
      </c>
      <c r="EP46" s="60">
        <f t="shared" si="46"/>
        <v>110.24821114898037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8">
        <f t="shared" si="1"/>
        <v>381.96880032513235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10.402930402930403</v>
      </c>
      <c r="N47" s="14">
        <f>IF('Données projet'!$A$36&gt;35,N46+M47-V46,IF(A47&lt;'Données projet'!$A$36,$K$205^A47,IF(A47='Données projet'!$A$36,'Données projet'!$B$36,N46+M47-V46)))</f>
        <v>248.71794871794864</v>
      </c>
      <c r="O47" s="14">
        <f>N47*VLOOKUP('Données projet'!$B$9,Paramètres!$A$1:$I$89,3,0)*VLOOKUP('Données projet'!$B$9,Paramètres!$A$1:$I$89,5,0)</f>
        <v>116.39999999999996</v>
      </c>
      <c r="P47" s="14">
        <f t="shared" si="33"/>
        <v>30.833875768540434</v>
      </c>
      <c r="Q47" s="22">
        <f t="shared" si="53"/>
        <v>256.43233363020784</v>
      </c>
      <c r="R47" s="60">
        <f t="shared" si="0"/>
        <v>549.76566696354121</v>
      </c>
      <c r="S47" s="60">
        <f ca="1">AVERAGE(OFFSET($R$3,0,0,'Données projet'!$E$9+1,1))-AVERAGE(OFFSET($H$3,0,0,'Données projet'!$E$9+1,1))</f>
        <v>106.50743833854523</v>
      </c>
      <c r="T47" s="60">
        <f t="shared" si="34"/>
        <v>47.606751325129608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0">
        <f t="shared" si="5"/>
        <v>590.44356897369653</v>
      </c>
      <c r="AN47" s="60">
        <f ca="1">AVERAGE(OFFSET($AM$3,0,0,'Données projet'!$E$10+1,1))-AVERAGE(OFFSET($H$3,0,0,'Données projet'!$E$10+1,1))</f>
        <v>247.65126267995316</v>
      </c>
      <c r="AO47" s="60">
        <f t="shared" si="36"/>
        <v>149.27472147904314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151.69440000000006</v>
      </c>
      <c r="BF47" s="14">
        <f t="shared" si="37"/>
        <v>38.963392010880654</v>
      </c>
      <c r="BG47" s="22">
        <f t="shared" si="7"/>
        <v>332.06232108561721</v>
      </c>
      <c r="BH47" s="60">
        <f t="shared" si="8"/>
        <v>625.39565441895047</v>
      </c>
      <c r="BI47" s="60">
        <f ca="1">AVERAGE(OFFSET($BH$3,0,0,'Données projet'!$E$11+1,1))-AVERAGE(OFFSET($H$3,0,0,'Données projet'!$E$11+1,1))</f>
        <v>294.2815419338562</v>
      </c>
      <c r="BJ47" s="60">
        <f t="shared" si="38"/>
        <v>173.99850582760712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15.666666666666666</v>
      </c>
      <c r="BY47" s="13">
        <f>IF('Données projet'!$A$114&gt;35,BY46+BX47-CG46,IF(A47&lt;'Données projet'!$A$114,$BV$205^A47,IF(A47='Données projet'!$A$114,'Données projet'!$B$114,BY46+BX47-CG46)))</f>
        <v>177.33333333333323</v>
      </c>
      <c r="BZ47" s="14">
        <f>BY47*VLOOKUP('Données projet'!$B$12,Paramètres!$A$1:$I$89,3,0)*VLOOKUP('Données projet'!$B$12,Paramètres!$A$1:$I$89,5,0)</f>
        <v>152.15199999999993</v>
      </c>
      <c r="CA47" s="14">
        <f t="shared" si="39"/>
        <v>39.067229161930634</v>
      </c>
      <c r="CB47" s="22">
        <f t="shared" si="10"/>
        <v>333.04015745702907</v>
      </c>
      <c r="CC47" s="60">
        <f t="shared" si="11"/>
        <v>626.37349079036244</v>
      </c>
      <c r="CD47" s="60">
        <f ca="1">AVERAGE(OFFSET($CC$3,0,0,'Données projet'!$E$12+1,1))-AVERAGE(OFFSET($H$3,0,0,'Données projet'!$E$12+1,1))</f>
        <v>317.48648551307656</v>
      </c>
      <c r="CE47" s="60">
        <f t="shared" si="40"/>
        <v>133.09277301479563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0">
        <f t="shared" si="14"/>
        <v>684.49193583334397</v>
      </c>
      <c r="CY47" s="60">
        <f ca="1">AVERAGE(OFFSET($CX$3,0,0,'Données projet'!$E$13+1,1))-AVERAGE(OFFSET($H$3,0,0,'Données projet'!$E$13+1,1))</f>
        <v>194.42056369374041</v>
      </c>
      <c r="CZ47" s="60">
        <f t="shared" si="42"/>
        <v>185.75045299455371</v>
      </c>
      <c r="DA47" s="16">
        <f>IF(ISNA(VLOOKUP(A47,'Données projet'!$A$139:$I$159,3,0)),0,VLOOKUP(A47,'Données projet'!$A$139:$I$159,3,0))</f>
        <v>4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144.69312000000005</v>
      </c>
      <c r="DQ47" s="14">
        <f t="shared" si="43"/>
        <v>37.370061524802772</v>
      </c>
      <c r="DR47" s="22">
        <f t="shared" si="16"/>
        <v>317.09337448903153</v>
      </c>
      <c r="DS47" s="60">
        <f t="shared" si="17"/>
        <v>610.42670782236485</v>
      </c>
      <c r="DT47" s="60">
        <f ca="1">AVERAGE(OFFSET($DS$3,0,0,'Données projet'!$E$14+1,1))-AVERAGE(OFFSET($H$3,0,0,'Données projet'!$E$14+1,1))</f>
        <v>274.31056057602081</v>
      </c>
      <c r="DU47" s="60">
        <f t="shared" si="44"/>
        <v>163.41029152029387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5.7692307692307683</v>
      </c>
      <c r="EJ47" s="13">
        <f>IF('Données projet'!$A$192&gt;35,EJ46+EI47-ER46,IF(A47&lt;'Données projet'!$A$192,$EG$205^A47,IF(A47='Données projet'!$A$192,'Données projet'!$B$192,EJ46+EI47-ER46)))</f>
        <v>147.43589743589737</v>
      </c>
      <c r="EK47" s="18">
        <f>EJ47*VLOOKUP('Données projet'!$B$15,Paramètres!$A$1:$I$89,3,0)*VLOOKUP('Données projet'!$B$15,Paramètres!$A$1:$I$89,5,0)</f>
        <v>98.899999999999963</v>
      </c>
      <c r="EL47" s="14">
        <f t="shared" si="45"/>
        <v>26.699769255487553</v>
      </c>
      <c r="EM47" s="22">
        <f t="shared" si="19"/>
        <v>218.75293145330741</v>
      </c>
      <c r="EN47" s="60">
        <f t="shared" si="20"/>
        <v>512.08626478664075</v>
      </c>
      <c r="EO47" s="60">
        <f ca="1">AVERAGE(OFFSET($EN$3,0,0,'Données projet'!$E$15+1,1))-AVERAGE(OFFSET($H$3,0,0,'Données projet'!$E$15+1,1))</f>
        <v>120.18668518376586</v>
      </c>
      <c r="EP47" s="60">
        <f t="shared" si="46"/>
        <v>110.24821114898037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8">
        <f t="shared" si="1"/>
        <v>383.92848936938583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10.402930402930403</v>
      </c>
      <c r="N48" s="14">
        <f>IF('Données projet'!$A$36&gt;35,N47+M48-V47,IF(A48&lt;'Données projet'!$A$36,$K$205^A48,IF(A48='Données projet'!$A$36,'Données projet'!$B$36,N47+M48-V47)))</f>
        <v>259.12087912087907</v>
      </c>
      <c r="O48" s="14">
        <f>N48*VLOOKUP('Données projet'!$B$9,Paramètres!$A$1:$I$89,3,0)*VLOOKUP('Données projet'!$B$9,Paramètres!$A$1:$I$89,5,0)</f>
        <v>121.26857142857141</v>
      </c>
      <c r="P48" s="14">
        <f t="shared" si="33"/>
        <v>31.970691421429557</v>
      </c>
      <c r="Q48" s="22">
        <f t="shared" si="53"/>
        <v>266.89171613041833</v>
      </c>
      <c r="R48" s="60">
        <f t="shared" si="0"/>
        <v>560.2250494637517</v>
      </c>
      <c r="S48" s="60">
        <f ca="1">AVERAGE(OFFSET($R$3,0,0,'Données projet'!$E$9+1,1))-AVERAGE(OFFSET($H$3,0,0,'Données projet'!$E$9+1,1))</f>
        <v>106.50743833854523</v>
      </c>
      <c r="T48" s="60">
        <f t="shared" si="34"/>
        <v>47.606751325129608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0">
        <f t="shared" si="5"/>
        <v>606.71543359582972</v>
      </c>
      <c r="AN48" s="60">
        <f ca="1">AVERAGE(OFFSET($AM$3,0,0,'Données projet'!$E$10+1,1))-AVERAGE(OFFSET($H$3,0,0,'Données projet'!$E$10+1,1))</f>
        <v>247.65126267995316</v>
      </c>
      <c r="AO48" s="60">
        <f t="shared" si="36"/>
        <v>149.27472147904314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160.21200000000007</v>
      </c>
      <c r="BF48" s="14">
        <f t="shared" si="37"/>
        <v>40.890328912852731</v>
      </c>
      <c r="BG48" s="22">
        <f t="shared" si="7"/>
        <v>350.25322285655193</v>
      </c>
      <c r="BH48" s="60">
        <f t="shared" si="8"/>
        <v>643.58655618988519</v>
      </c>
      <c r="BI48" s="60">
        <f ca="1">AVERAGE(OFFSET($BH$3,0,0,'Données projet'!$E$11+1,1))-AVERAGE(OFFSET($H$3,0,0,'Données projet'!$E$11+1,1))</f>
        <v>294.2815419338562</v>
      </c>
      <c r="BJ48" s="60">
        <f t="shared" si="38"/>
        <v>173.99850582760712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15.666666666666666</v>
      </c>
      <c r="BY48" s="13">
        <f>IF('Données projet'!$A$114&gt;35,BY47+BX48-CG47,IF(A48&lt;'Données projet'!$A$114,$BV$205^A48,IF(A48='Données projet'!$A$114,'Données projet'!$B$114,BY47+BX48-CG47)))</f>
        <v>192.99999999999989</v>
      </c>
      <c r="BZ48" s="14">
        <f>BY48*VLOOKUP('Données projet'!$B$12,Paramètres!$A$1:$I$89,3,0)*VLOOKUP('Données projet'!$B$12,Paramètres!$A$1:$I$89,5,0)</f>
        <v>165.59399999999994</v>
      </c>
      <c r="CA48" s="14">
        <f t="shared" si="39"/>
        <v>42.101723105196754</v>
      </c>
      <c r="CB48" s="22">
        <f t="shared" si="10"/>
        <v>361.73671774155088</v>
      </c>
      <c r="CC48" s="60">
        <f t="shared" si="11"/>
        <v>655.07005107488419</v>
      </c>
      <c r="CD48" s="60">
        <f ca="1">AVERAGE(OFFSET($CC$3,0,0,'Données projet'!$E$12+1,1))-AVERAGE(OFFSET($H$3,0,0,'Données projet'!$E$12+1,1))</f>
        <v>317.48648551307656</v>
      </c>
      <c r="CE48" s="60">
        <f t="shared" si="40"/>
        <v>133.09277301479563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0">
        <f t="shared" si="14"/>
        <v>630.2203310414834</v>
      </c>
      <c r="CY48" s="60">
        <f ca="1">AVERAGE(OFFSET($CX$3,0,0,'Données projet'!$E$13+1,1))-AVERAGE(OFFSET($H$3,0,0,'Données projet'!$E$13+1,1))</f>
        <v>194.42056369374041</v>
      </c>
      <c r="CZ48" s="60">
        <f t="shared" si="42"/>
        <v>185.75045299455371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152.81760000000006</v>
      </c>
      <c r="DQ48" s="14">
        <f t="shared" si="43"/>
        <v>39.218200171484227</v>
      </c>
      <c r="DR48" s="22">
        <f t="shared" si="16"/>
        <v>334.46235196533513</v>
      </c>
      <c r="DS48" s="60">
        <f t="shared" si="17"/>
        <v>627.79568529866845</v>
      </c>
      <c r="DT48" s="60">
        <f ca="1">AVERAGE(OFFSET($DS$3,0,0,'Données projet'!$E$14+1,1))-AVERAGE(OFFSET($H$3,0,0,'Données projet'!$E$14+1,1))</f>
        <v>274.31056057602081</v>
      </c>
      <c r="DU48" s="60">
        <f t="shared" si="44"/>
        <v>163.41029152029387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153.2051282051282</v>
      </c>
      <c r="EH48" s="13">
        <f>VLOOKUP(A48,'Données projet'!$A$191:$I$211,9,0)</f>
        <v>5.7692307692307683</v>
      </c>
      <c r="EI48" s="13">
        <f t="array" ref="EI48">INDEX(EH:EH,MIN(IF(ISNUMBER(EH48:EH244),ROW(EH48:EH244),"")))</f>
        <v>5.7692307692307683</v>
      </c>
      <c r="EJ48" s="13">
        <f>IF('Données projet'!$A$192&gt;35,EJ47+EI48-ER47,IF(A48&lt;'Données projet'!$A$192,$EG$205^A48,IF(A48='Données projet'!$A$192,'Données projet'!$B$192,EJ47+EI48-ER47)))</f>
        <v>153.20512820512815</v>
      </c>
      <c r="EK48" s="18">
        <f>EJ48*VLOOKUP('Données projet'!$B$15,Paramètres!$A$1:$I$89,3,0)*VLOOKUP('Données projet'!$B$15,Paramètres!$A$1:$I$89,5,0)</f>
        <v>102.76999999999995</v>
      </c>
      <c r="EL48" s="14">
        <f t="shared" si="45"/>
        <v>27.62085878525345</v>
      </c>
      <c r="EM48" s="22">
        <f t="shared" si="19"/>
        <v>227.09741238431636</v>
      </c>
      <c r="EN48" s="60">
        <f t="shared" si="20"/>
        <v>520.43074571764964</v>
      </c>
      <c r="EO48" s="60">
        <f ca="1">AVERAGE(OFFSET($EN$3,0,0,'Données projet'!$E$15+1,1))-AVERAGE(OFFSET($H$3,0,0,'Données projet'!$E$15+1,1))</f>
        <v>120.18668518376586</v>
      </c>
      <c r="EP48" s="60">
        <f t="shared" si="46"/>
        <v>110.24821114898037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8">
        <f t="shared" si="1"/>
        <v>385.88711657752037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10.402930402930403</v>
      </c>
      <c r="N49" s="14">
        <f>IF('Données projet'!$A$36&gt;35,N48+M49-V48,IF(A49&lt;'Données projet'!$A$36,$K$205^A49,IF(A49='Données projet'!$A$36,'Données projet'!$B$36,N48+M49-V48)))</f>
        <v>269.52380952380946</v>
      </c>
      <c r="O49" s="14">
        <f>N49*VLOOKUP('Données projet'!$B$9,Paramètres!$A$1:$I$89,3,0)*VLOOKUP('Données projet'!$B$9,Paramètres!$A$1:$I$89,5,0)</f>
        <v>126.13714285714282</v>
      </c>
      <c r="P49" s="14">
        <f t="shared" si="33"/>
        <v>33.102205495977692</v>
      </c>
      <c r="Q49" s="22">
        <f t="shared" si="53"/>
        <v>277.34186504835151</v>
      </c>
      <c r="R49" s="60">
        <f t="shared" si="0"/>
        <v>570.67519838168482</v>
      </c>
      <c r="S49" s="60">
        <f ca="1">AVERAGE(OFFSET($R$3,0,0,'Données projet'!$E$9+1,1))-AVERAGE(OFFSET($H$3,0,0,'Données projet'!$E$9+1,1))</f>
        <v>106.50743833854523</v>
      </c>
      <c r="T49" s="60">
        <f t="shared" si="34"/>
        <v>47.606751325129608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0">
        <f t="shared" si="5"/>
        <v>622.58179746983251</v>
      </c>
      <c r="AN49" s="60">
        <f ca="1">AVERAGE(OFFSET($AM$3,0,0,'Données projet'!$E$10+1,1))-AVERAGE(OFFSET($H$3,0,0,'Données projet'!$E$10+1,1))</f>
        <v>247.65126267995316</v>
      </c>
      <c r="AO49" s="60">
        <f t="shared" si="36"/>
        <v>149.27472147904314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168.52680000000007</v>
      </c>
      <c r="BF49" s="14">
        <f t="shared" si="37"/>
        <v>42.759908842532369</v>
      </c>
      <c r="BG49" s="22">
        <f t="shared" si="7"/>
        <v>367.991017900744</v>
      </c>
      <c r="BH49" s="60">
        <f t="shared" si="8"/>
        <v>661.32435123407731</v>
      </c>
      <c r="BI49" s="60">
        <f ca="1">AVERAGE(OFFSET($BH$3,0,0,'Données projet'!$E$11+1,1))-AVERAGE(OFFSET($H$3,0,0,'Données projet'!$E$11+1,1))</f>
        <v>294.2815419338562</v>
      </c>
      <c r="BJ49" s="60">
        <f t="shared" si="38"/>
        <v>173.99850582760712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15.666666666666666</v>
      </c>
      <c r="BY49" s="13">
        <f>IF('Données projet'!$A$114&gt;35,BY48+BX49-CG48,IF(A49&lt;'Données projet'!$A$114,$BV$205^A49,IF(A49='Données projet'!$A$114,'Données projet'!$B$114,BY48+BX49-CG48)))</f>
        <v>208.66666666666654</v>
      </c>
      <c r="BZ49" s="14">
        <f>BY49*VLOOKUP('Données projet'!$B$12,Paramètres!$A$1:$I$89,3,0)*VLOOKUP('Données projet'!$B$12,Paramètres!$A$1:$I$89,5,0)</f>
        <v>179.03599999999992</v>
      </c>
      <c r="CA49" s="14">
        <f t="shared" si="39"/>
        <v>45.1076469440343</v>
      </c>
      <c r="CB49" s="22">
        <f t="shared" si="10"/>
        <v>390.38351842752627</v>
      </c>
      <c r="CC49" s="60">
        <f t="shared" si="11"/>
        <v>683.71685176085953</v>
      </c>
      <c r="CD49" s="60">
        <f ca="1">AVERAGE(OFFSET($CC$3,0,0,'Données projet'!$E$12+1,1))-AVERAGE(OFFSET($H$3,0,0,'Données projet'!$E$12+1,1))</f>
        <v>317.48648551307656</v>
      </c>
      <c r="CE49" s="60">
        <f t="shared" si="40"/>
        <v>133.09277301479563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0">
        <f t="shared" si="14"/>
        <v>647.49851449037362</v>
      </c>
      <c r="CY49" s="60">
        <f ca="1">AVERAGE(OFFSET($CX$3,0,0,'Données projet'!$E$13+1,1))-AVERAGE(OFFSET($H$3,0,0,'Données projet'!$E$13+1,1))</f>
        <v>194.42056369374041</v>
      </c>
      <c r="CZ49" s="60">
        <f t="shared" si="42"/>
        <v>185.75045299455371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160.74864000000005</v>
      </c>
      <c r="DQ49" s="14">
        <f t="shared" si="43"/>
        <v>41.011327345272264</v>
      </c>
      <c r="DR49" s="22">
        <f t="shared" si="16"/>
        <v>351.39860979301596</v>
      </c>
      <c r="DS49" s="60">
        <f t="shared" si="17"/>
        <v>644.73194312634928</v>
      </c>
      <c r="DT49" s="60">
        <f ca="1">AVERAGE(OFFSET($DS$3,0,0,'Données projet'!$E$14+1,1))-AVERAGE(OFFSET($H$3,0,0,'Données projet'!$E$14+1,1))</f>
        <v>274.31056057602081</v>
      </c>
      <c r="DU49" s="60">
        <f t="shared" si="44"/>
        <v>163.41029152029387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5.5128205128205137</v>
      </c>
      <c r="EJ49" s="13">
        <f>IF('Données projet'!$A$192&gt;35,EJ48+EI49-ER48,IF(A49&lt;'Données projet'!$A$192,$EG$205^A49,IF(A49='Données projet'!$A$192,'Données projet'!$B$192,EJ48+EI49-ER48)))</f>
        <v>158.71794871794867</v>
      </c>
      <c r="EK49" s="18">
        <f>EJ49*VLOOKUP('Données projet'!$B$15,Paramètres!$A$1:$I$89,3,0)*VLOOKUP('Données projet'!$B$15,Paramètres!$A$1:$I$89,5,0)</f>
        <v>106.46799999999996</v>
      </c>
      <c r="EL49" s="14">
        <f t="shared" si="45"/>
        <v>28.497243809169849</v>
      </c>
      <c r="EM49" s="22">
        <f t="shared" si="19"/>
        <v>235.06446630097074</v>
      </c>
      <c r="EN49" s="60">
        <f t="shared" si="20"/>
        <v>528.39779963430408</v>
      </c>
      <c r="EO49" s="60">
        <f ca="1">AVERAGE(OFFSET($EN$3,0,0,'Données projet'!$E$15+1,1))-AVERAGE(OFFSET($H$3,0,0,'Données projet'!$E$15+1,1))</f>
        <v>120.18668518376586</v>
      </c>
      <c r="EP49" s="60">
        <f t="shared" si="46"/>
        <v>110.24821114898037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8">
        <f t="shared" si="1"/>
        <v>387.84470769135481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10.402930402930403</v>
      </c>
      <c r="N50" s="14">
        <f>IF('Données projet'!$A$36&gt;35,N49+M50-V49,IF(A50&lt;'Données projet'!$A$36,$K$205^A50,IF(A50='Données projet'!$A$36,'Données projet'!$B$36,N49+M50-V49)))</f>
        <v>279.92673992673986</v>
      </c>
      <c r="O50" s="14">
        <f>N50*VLOOKUP('Données projet'!$B$9,Paramètres!$A$1:$I$89,3,0)*VLOOKUP('Données projet'!$B$9,Paramètres!$A$1:$I$89,5,0)</f>
        <v>131.00571428571425</v>
      </c>
      <c r="P50" s="14">
        <f t="shared" si="33"/>
        <v>34.228646041091935</v>
      </c>
      <c r="Q50" s="22">
        <f t="shared" si="53"/>
        <v>287.78317756918744</v>
      </c>
      <c r="R50" s="60">
        <f t="shared" si="0"/>
        <v>581.11651090252076</v>
      </c>
      <c r="S50" s="60">
        <f ca="1">AVERAGE(OFFSET($R$3,0,0,'Données projet'!$E$9+1,1))-AVERAGE(OFFSET($H$3,0,0,'Données projet'!$E$9+1,1))</f>
        <v>106.50743833854523</v>
      </c>
      <c r="T50" s="60">
        <f t="shared" si="34"/>
        <v>47.606751325129608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0">
        <f t="shared" si="5"/>
        <v>638.43129351369294</v>
      </c>
      <c r="AN50" s="60">
        <f ca="1">AVERAGE(OFFSET($AM$3,0,0,'Données projet'!$E$10+1,1))-AVERAGE(OFFSET($H$3,0,0,'Données projet'!$E$10+1,1))</f>
        <v>247.65126267995316</v>
      </c>
      <c r="AO50" s="60">
        <f t="shared" si="36"/>
        <v>149.27472147904314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176.84160000000006</v>
      </c>
      <c r="BF50" s="14">
        <f t="shared" si="37"/>
        <v>44.618778032982952</v>
      </c>
      <c r="BG50" s="22">
        <f t="shared" si="7"/>
        <v>385.71015840744536</v>
      </c>
      <c r="BH50" s="60">
        <f t="shared" si="8"/>
        <v>679.04349174077868</v>
      </c>
      <c r="BI50" s="60">
        <f ca="1">AVERAGE(OFFSET($BH$3,0,0,'Données projet'!$E$11+1,1))-AVERAGE(OFFSET($H$3,0,0,'Données projet'!$E$11+1,1))</f>
        <v>294.2815419338562</v>
      </c>
      <c r="BJ50" s="60">
        <f t="shared" si="38"/>
        <v>173.99850582760712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15.666666666666666</v>
      </c>
      <c r="BY50" s="13">
        <f>IF('Données projet'!$A$114&gt;35,BY49+BX50-CG49,IF(A50&lt;'Données projet'!$A$114,$BV$205^A50,IF(A50='Données projet'!$A$114,'Données projet'!$B$114,BY49+BX50-CG49)))</f>
        <v>224.3333333333332</v>
      </c>
      <c r="BZ50" s="14">
        <f>BY50*VLOOKUP('Données projet'!$B$12,Paramètres!$A$1:$I$89,3,0)*VLOOKUP('Données projet'!$B$12,Paramètres!$A$1:$I$89,5,0)</f>
        <v>192.47799999999989</v>
      </c>
      <c r="CA50" s="14">
        <f t="shared" si="39"/>
        <v>48.087389626209038</v>
      </c>
      <c r="CB50" s="22">
        <f t="shared" si="10"/>
        <v>418.98472026564724</v>
      </c>
      <c r="CC50" s="60">
        <f t="shared" si="11"/>
        <v>712.31805359898055</v>
      </c>
      <c r="CD50" s="60">
        <f ca="1">AVERAGE(OFFSET($CC$3,0,0,'Données projet'!$E$12+1,1))-AVERAGE(OFFSET($H$3,0,0,'Données projet'!$E$12+1,1))</f>
        <v>317.48648551307656</v>
      </c>
      <c r="CE50" s="60">
        <f t="shared" si="40"/>
        <v>133.09277301479563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0">
        <f t="shared" si="14"/>
        <v>664.75823642060936</v>
      </c>
      <c r="CY50" s="60">
        <f ca="1">AVERAGE(OFFSET($CX$3,0,0,'Données projet'!$E$13+1,1))-AVERAGE(OFFSET($H$3,0,0,'Données projet'!$E$13+1,1))</f>
        <v>194.42056369374041</v>
      </c>
      <c r="CZ50" s="60">
        <f t="shared" si="42"/>
        <v>185.75045299455371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168.67968000000002</v>
      </c>
      <c r="DQ50" s="14">
        <f t="shared" si="43"/>
        <v>42.794181774227013</v>
      </c>
      <c r="DR50" s="22">
        <f t="shared" si="16"/>
        <v>368.3169759234454</v>
      </c>
      <c r="DS50" s="60">
        <f t="shared" si="17"/>
        <v>661.65030925677866</v>
      </c>
      <c r="DT50" s="60">
        <f ca="1">AVERAGE(OFFSET($DS$3,0,0,'Données projet'!$E$14+1,1))-AVERAGE(OFFSET($H$3,0,0,'Données projet'!$E$14+1,1))</f>
        <v>274.31056057602081</v>
      </c>
      <c r="DU50" s="60">
        <f t="shared" si="44"/>
        <v>163.41029152029387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5.5128205128205137</v>
      </c>
      <c r="EJ50" s="13">
        <f>IF('Données projet'!$A$192&gt;35,EJ49+EI50-ER49,IF(A50&lt;'Données projet'!$A$192,$EG$205^A50,IF(A50='Données projet'!$A$192,'Données projet'!$B$192,EJ49+EI50-ER49)))</f>
        <v>164.2307692307692</v>
      </c>
      <c r="EK50" s="18">
        <f>EJ50*VLOOKUP('Données projet'!$B$15,Paramètres!$A$1:$I$89,3,0)*VLOOKUP('Données projet'!$B$15,Paramètres!$A$1:$I$89,5,0)</f>
        <v>110.16599999999998</v>
      </c>
      <c r="EL50" s="14">
        <f t="shared" si="45"/>
        <v>29.370092034164426</v>
      </c>
      <c r="EM50" s="22">
        <f t="shared" si="19"/>
        <v>243.02536029283627</v>
      </c>
      <c r="EN50" s="60">
        <f t="shared" si="20"/>
        <v>536.35869362616961</v>
      </c>
      <c r="EO50" s="60">
        <f ca="1">AVERAGE(OFFSET($EN$3,0,0,'Données projet'!$E$15+1,1))-AVERAGE(OFFSET($H$3,0,0,'Données projet'!$E$15+1,1))</f>
        <v>120.18668518376586</v>
      </c>
      <c r="EP50" s="60">
        <f t="shared" si="46"/>
        <v>110.24821114898037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8">
        <f t="shared" si="1"/>
        <v>389.80128729473108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10.402930402930403</v>
      </c>
      <c r="N51" s="14">
        <f>IF('Données projet'!$A$36&gt;35,N50+M51-V50,IF(A51&lt;'Données projet'!$A$36,$K$205^A51,IF(A51='Données projet'!$A$36,'Données projet'!$B$36,N50+M51-V50)))</f>
        <v>290.32967032967025</v>
      </c>
      <c r="O51" s="14">
        <f>N51*VLOOKUP('Données projet'!$B$9,Paramètres!$A$1:$I$89,3,0)*VLOOKUP('Données projet'!$B$9,Paramètres!$A$1:$I$89,5,0)</f>
        <v>135.87428571428569</v>
      </c>
      <c r="P51" s="14">
        <f t="shared" si="33"/>
        <v>35.350223195357941</v>
      </c>
      <c r="Q51" s="22">
        <f t="shared" si="53"/>
        <v>298.21601968429599</v>
      </c>
      <c r="R51" s="60">
        <f t="shared" si="0"/>
        <v>591.5493530176293</v>
      </c>
      <c r="S51" s="60">
        <f ca="1">AVERAGE(OFFSET($R$3,0,0,'Données projet'!$E$9+1,1))-AVERAGE(OFFSET($H$3,0,0,'Données projet'!$E$9+1,1))</f>
        <v>106.50743833854523</v>
      </c>
      <c r="T51" s="60">
        <f t="shared" si="34"/>
        <v>47.606751325129608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0">
        <f t="shared" si="5"/>
        <v>654.26480538883823</v>
      </c>
      <c r="AN51" s="60">
        <f ca="1">AVERAGE(OFFSET($AM$3,0,0,'Données projet'!$E$10+1,1))-AVERAGE(OFFSET($H$3,0,0,'Données projet'!$E$10+1,1))</f>
        <v>247.65126267995316</v>
      </c>
      <c r="AO51" s="60">
        <f t="shared" si="36"/>
        <v>149.27472147904314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185.15640000000002</v>
      </c>
      <c r="BF51" s="14">
        <f t="shared" si="37"/>
        <v>46.467497591770453</v>
      </c>
      <c r="BG51" s="22">
        <f t="shared" si="7"/>
        <v>403.4116216390002</v>
      </c>
      <c r="BH51" s="60">
        <f t="shared" si="8"/>
        <v>696.74495497233352</v>
      </c>
      <c r="BI51" s="60">
        <f ca="1">AVERAGE(OFFSET($BH$3,0,0,'Données projet'!$E$11+1,1))-AVERAGE(OFFSET($H$3,0,0,'Données projet'!$E$11+1,1))</f>
        <v>294.2815419338562</v>
      </c>
      <c r="BJ51" s="60">
        <f t="shared" si="38"/>
        <v>173.99850582760712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240</v>
      </c>
      <c r="BW51" s="13">
        <f>VLOOKUP(A51,'Données projet'!$A$113:$I$133,9,0)</f>
        <v>15.666666666666666</v>
      </c>
      <c r="BX51" s="13">
        <f t="array" ref="BX51">INDEX(BW:BW,MIN(IF(ISNUMBER(BW51:BW247),ROW(BW51:BW247),"")))</f>
        <v>15.666666666666666</v>
      </c>
      <c r="BY51" s="13">
        <f>IF('Données projet'!$A$114&gt;35,BY50+BX51-CG50,IF(A51&lt;'Données projet'!$A$114,$BV$205^A51,IF(A51='Données projet'!$A$114,'Données projet'!$B$114,BY50+BX51-CG50)))</f>
        <v>239.99999999999986</v>
      </c>
      <c r="BZ51" s="14">
        <f>BY51*VLOOKUP('Données projet'!$B$12,Paramètres!$A$1:$I$89,3,0)*VLOOKUP('Données projet'!$B$12,Paramètres!$A$1:$I$89,5,0)</f>
        <v>205.91999999999993</v>
      </c>
      <c r="CA51" s="14">
        <f t="shared" si="39"/>
        <v>51.042987531485686</v>
      </c>
      <c r="CB51" s="22">
        <f t="shared" si="10"/>
        <v>447.5438699506708</v>
      </c>
      <c r="CC51" s="60">
        <f t="shared" si="11"/>
        <v>740.87720328400405</v>
      </c>
      <c r="CD51" s="60">
        <f ca="1">AVERAGE(OFFSET($CC$3,0,0,'Données projet'!$E$12+1,1))-AVERAGE(OFFSET($H$3,0,0,'Données projet'!$E$12+1,1))</f>
        <v>317.48648551307656</v>
      </c>
      <c r="CE51" s="60">
        <f t="shared" si="40"/>
        <v>133.09277301479563</v>
      </c>
      <c r="CF51" s="16">
        <f>IF(ISNA(VLOOKUP(A51,'Données projet'!$A$113:$I$133,3,0)),0,VLOOKUP(A51,'Données projet'!$A$113:$I$133,3,0))</f>
        <v>5</v>
      </c>
      <c r="CG51" s="16">
        <f>IF(ISNA(VLOOKUP(A51,'Données projet'!$A$113:$I$133,4,0)),0,VLOOKUP(A51,'Données projet'!$A$113:$I$133,4,0))</f>
        <v>63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0">
        <f t="shared" si="14"/>
        <v>682.00047520268288</v>
      </c>
      <c r="CY51" s="60">
        <f ca="1">AVERAGE(OFFSET($CX$3,0,0,'Données projet'!$E$13+1,1))-AVERAGE(OFFSET($H$3,0,0,'Données projet'!$E$13+1,1))</f>
        <v>194.42056369374041</v>
      </c>
      <c r="CZ51" s="60">
        <f t="shared" si="42"/>
        <v>185.75045299455371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176.61072000000004</v>
      </c>
      <c r="DQ51" s="14">
        <f t="shared" si="43"/>
        <v>44.56730162053563</v>
      </c>
      <c r="DR51" s="22">
        <f t="shared" si="16"/>
        <v>385.21838765576626</v>
      </c>
      <c r="DS51" s="60">
        <f t="shared" si="17"/>
        <v>678.55172098909952</v>
      </c>
      <c r="DT51" s="60">
        <f ca="1">AVERAGE(OFFSET($DS$3,0,0,'Données projet'!$E$14+1,1))-AVERAGE(OFFSET($H$3,0,0,'Données projet'!$E$14+1,1))</f>
        <v>274.31056057602081</v>
      </c>
      <c r="DU51" s="60">
        <f t="shared" si="44"/>
        <v>163.41029152029387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5.5128205128205137</v>
      </c>
      <c r="EJ51" s="13">
        <f>IF('Données projet'!$A$192&gt;35,EJ50+EI51-ER50,IF(A51&lt;'Données projet'!$A$192,$EG$205^A51,IF(A51='Données projet'!$A$192,'Données projet'!$B$192,EJ50+EI51-ER50)))</f>
        <v>169.74358974358972</v>
      </c>
      <c r="EK51" s="18">
        <f>EJ51*VLOOKUP('Données projet'!$B$15,Paramètres!$A$1:$I$89,3,0)*VLOOKUP('Données projet'!$B$15,Paramètres!$A$1:$I$89,5,0)</f>
        <v>113.86399999999999</v>
      </c>
      <c r="EL51" s="14">
        <f t="shared" si="45"/>
        <v>30.239535792902171</v>
      </c>
      <c r="EM51" s="22">
        <f t="shared" si="19"/>
        <v>250.98032483930456</v>
      </c>
      <c r="EN51" s="60">
        <f t="shared" si="20"/>
        <v>544.31365817263782</v>
      </c>
      <c r="EO51" s="60">
        <f ca="1">AVERAGE(OFFSET($EN$3,0,0,'Données projet'!$E$15+1,1))-AVERAGE(OFFSET($H$3,0,0,'Données projet'!$E$15+1,1))</f>
        <v>120.18668518376586</v>
      </c>
      <c r="EP51" s="60">
        <f t="shared" si="46"/>
        <v>110.24821114898037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8">
        <f t="shared" si="1"/>
        <v>391.75687888862672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10.402930402930403</v>
      </c>
      <c r="N52" s="14">
        <f>IF('Données projet'!$A$36&gt;35,N51+M52-V51,IF(A52&lt;'Données projet'!$A$36,$K$205^A52,IF(A52='Données projet'!$A$36,'Données projet'!$B$36,N51+M52-V51)))</f>
        <v>300.73260073260064</v>
      </c>
      <c r="O52" s="14">
        <f>N52*VLOOKUP('Données projet'!$B$9,Paramètres!$A$1:$I$89,3,0)*VLOOKUP('Données projet'!$B$9,Paramètres!$A$1:$I$89,5,0)</f>
        <v>140.7428571428571</v>
      </c>
      <c r="P52" s="14">
        <f t="shared" si="33"/>
        <v>36.467131184587252</v>
      </c>
      <c r="Q52" s="22">
        <f t="shared" si="53"/>
        <v>308.64072967029892</v>
      </c>
      <c r="R52" s="60">
        <f t="shared" si="0"/>
        <v>601.97406300363218</v>
      </c>
      <c r="S52" s="60">
        <f ca="1">AVERAGE(OFFSET($R$3,0,0,'Données projet'!$E$9+1,1))-AVERAGE(OFFSET($H$3,0,0,'Données projet'!$E$9+1,1))</f>
        <v>106.50743833854523</v>
      </c>
      <c r="T52" s="60">
        <f t="shared" si="34"/>
        <v>47.606751325129608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0">
        <f t="shared" si="5"/>
        <v>670.08313290501178</v>
      </c>
      <c r="AN52" s="60">
        <f ca="1">AVERAGE(OFFSET($AM$3,0,0,'Données projet'!$E$10+1,1))-AVERAGE(OFFSET($H$3,0,0,'Données projet'!$E$10+1,1))</f>
        <v>247.65126267995316</v>
      </c>
      <c r="AO52" s="60">
        <f t="shared" si="36"/>
        <v>149.27472147904314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193.47120000000001</v>
      </c>
      <c r="BF52" s="14">
        <f t="shared" si="37"/>
        <v>48.306575382296536</v>
      </c>
      <c r="BG52" s="22">
        <f t="shared" si="7"/>
        <v>421.09629212416644</v>
      </c>
      <c r="BH52" s="60">
        <f t="shared" si="8"/>
        <v>714.4296254574997</v>
      </c>
      <c r="BI52" s="60">
        <f ca="1">AVERAGE(OFFSET($BH$3,0,0,'Données projet'!$E$11+1,1))-AVERAGE(OFFSET($H$3,0,0,'Données projet'!$E$11+1,1))</f>
        <v>294.2815419338562</v>
      </c>
      <c r="BJ52" s="60">
        <f t="shared" si="38"/>
        <v>173.99850582760712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15.5</v>
      </c>
      <c r="BY52" s="13">
        <f>IF('Données projet'!$A$114&gt;35,BY51+BX52-CG51,IF(A52&lt;'Données projet'!$A$114,$BV$205^A52,IF(A52='Données projet'!$A$114,'Données projet'!$B$114,BY51+BX52-CG51)))</f>
        <v>192.49999999999986</v>
      </c>
      <c r="BZ52" s="14">
        <f>BY52*VLOOKUP('Données projet'!$B$12,Paramètres!$A$1:$I$89,3,0)*VLOOKUP('Données projet'!$B$12,Paramètres!$A$1:$I$89,5,0)</f>
        <v>165.16499999999991</v>
      </c>
      <c r="CA52" s="14">
        <f t="shared" si="39"/>
        <v>42.00533269839395</v>
      </c>
      <c r="CB52" s="22">
        <f t="shared" si="10"/>
        <v>360.82166278303589</v>
      </c>
      <c r="CC52" s="60">
        <f t="shared" si="11"/>
        <v>654.15499611636915</v>
      </c>
      <c r="CD52" s="60">
        <f ca="1">AVERAGE(OFFSET($CC$3,0,0,'Données projet'!$E$12+1,1))-AVERAGE(OFFSET($H$3,0,0,'Données projet'!$E$12+1,1))</f>
        <v>317.48648551307656</v>
      </c>
      <c r="CE52" s="60">
        <f t="shared" si="40"/>
        <v>133.09277301479563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0">
        <f t="shared" si="14"/>
        <v>699.22611533947588</v>
      </c>
      <c r="CY52" s="60">
        <f ca="1">AVERAGE(OFFSET($CX$3,0,0,'Données projet'!$E$13+1,1))-AVERAGE(OFFSET($H$3,0,0,'Données projet'!$E$13+1,1))</f>
        <v>194.42056369374041</v>
      </c>
      <c r="CZ52" s="60">
        <f t="shared" si="42"/>
        <v>185.75045299455371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184.54176000000001</v>
      </c>
      <c r="DQ52" s="14">
        <f t="shared" si="43"/>
        <v>46.33117397953523</v>
      </c>
      <c r="DR52" s="22">
        <f t="shared" si="16"/>
        <v>402.10369334769052</v>
      </c>
      <c r="DS52" s="60">
        <f t="shared" si="17"/>
        <v>695.43702668102378</v>
      </c>
      <c r="DT52" s="60">
        <f ca="1">AVERAGE(OFFSET($DS$3,0,0,'Données projet'!$E$14+1,1))-AVERAGE(OFFSET($H$3,0,0,'Données projet'!$E$14+1,1))</f>
        <v>274.31056057602081</v>
      </c>
      <c r="DU52" s="60">
        <f t="shared" si="44"/>
        <v>163.41029152029387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5.5128205128205137</v>
      </c>
      <c r="EJ52" s="13">
        <f>IF('Données projet'!$A$192&gt;35,EJ51+EI52-ER51,IF(A52&lt;'Données projet'!$A$192,$EG$205^A52,IF(A52='Données projet'!$A$192,'Données projet'!$B$192,EJ51+EI52-ER51)))</f>
        <v>175.25641025641025</v>
      </c>
      <c r="EK52" s="18">
        <f>EJ52*VLOOKUP('Données projet'!$B$15,Paramètres!$A$1:$I$89,3,0)*VLOOKUP('Données projet'!$B$15,Paramètres!$A$1:$I$89,5,0)</f>
        <v>117.56200000000001</v>
      </c>
      <c r="EL52" s="14">
        <f t="shared" si="45"/>
        <v>31.10569833447618</v>
      </c>
      <c r="EM52" s="22">
        <f t="shared" si="19"/>
        <v>258.92957459921269</v>
      </c>
      <c r="EN52" s="60">
        <f t="shared" si="20"/>
        <v>552.262907932546</v>
      </c>
      <c r="EO52" s="60">
        <f ca="1">AVERAGE(OFFSET($EN$3,0,0,'Données projet'!$E$15+1,1))-AVERAGE(OFFSET($H$3,0,0,'Données projet'!$E$15+1,1))</f>
        <v>120.18668518376586</v>
      </c>
      <c r="EP52" s="60">
        <f t="shared" si="46"/>
        <v>110.24821114898037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8">
        <f t="shared" si="1"/>
        <v>393.71150495996233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10.402930402930403</v>
      </c>
      <c r="N53" s="14">
        <f>IF('Données projet'!$A$36&gt;35,N52+M53-V52,IF(A53&lt;'Données projet'!$A$36,$K$205^A53,IF(A53='Données projet'!$A$36,'Données projet'!$B$36,N52+M53-V52)))</f>
        <v>311.13553113553104</v>
      </c>
      <c r="O53" s="14">
        <f>N53*VLOOKUP('Données projet'!$B$9,Paramètres!$A$1:$I$89,3,0)*VLOOKUP('Données projet'!$B$9,Paramètres!$A$1:$I$89,5,0)</f>
        <v>145.61142857142852</v>
      </c>
      <c r="P53" s="14">
        <f t="shared" si="33"/>
        <v>37.579550035203404</v>
      </c>
      <c r="Q53" s="22">
        <f t="shared" si="53"/>
        <v>319.05762107321726</v>
      </c>
      <c r="R53" s="60">
        <f t="shared" si="0"/>
        <v>612.39095440655058</v>
      </c>
      <c r="S53" s="60">
        <f ca="1">AVERAGE(OFFSET($R$3,0,0,'Données projet'!$E$9+1,1))-AVERAGE(OFFSET($H$3,0,0,'Données projet'!$E$9+1,1))</f>
        <v>106.50743833854523</v>
      </c>
      <c r="T53" s="60">
        <f t="shared" si="34"/>
        <v>47.606751325129608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0">
        <f t="shared" si="5"/>
        <v>685.88700323711032</v>
      </c>
      <c r="AN53" s="60">
        <f ca="1">AVERAGE(OFFSET($AM$3,0,0,'Données projet'!$E$10+1,1))-AVERAGE(OFFSET($H$3,0,0,'Données projet'!$E$10+1,1))</f>
        <v>247.65126267995316</v>
      </c>
      <c r="AO53" s="60">
        <f t="shared" si="36"/>
        <v>149.27472147904314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201.786</v>
      </c>
      <c r="BF53" s="14">
        <f t="shared" si="37"/>
        <v>50.136473146268756</v>
      </c>
      <c r="BG53" s="22">
        <f t="shared" si="7"/>
        <v>438.76497406308476</v>
      </c>
      <c r="BH53" s="60">
        <f t="shared" si="8"/>
        <v>732.09830739641802</v>
      </c>
      <c r="BI53" s="60">
        <f ca="1">AVERAGE(OFFSET($BH$3,0,0,'Données projet'!$E$11+1,1))-AVERAGE(OFFSET($H$3,0,0,'Données projet'!$E$11+1,1))</f>
        <v>294.2815419338562</v>
      </c>
      <c r="BJ53" s="60">
        <f t="shared" si="38"/>
        <v>173.99850582760712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15.5</v>
      </c>
      <c r="BY53" s="13">
        <f>IF('Données projet'!$A$114&gt;35,BY52+BX53-CG52,IF(A53&lt;'Données projet'!$A$114,$BV$205^A53,IF(A53='Données projet'!$A$114,'Données projet'!$B$114,BY52+BX53-CG52)))</f>
        <v>207.99999999999986</v>
      </c>
      <c r="BZ53" s="14">
        <f>BY53*VLOOKUP('Données projet'!$B$12,Paramètres!$A$1:$I$89,3,0)*VLOOKUP('Données projet'!$B$12,Paramètres!$A$1:$I$89,5,0)</f>
        <v>178.46399999999991</v>
      </c>
      <c r="CA53" s="14">
        <f t="shared" si="39"/>
        <v>44.980284206661821</v>
      </c>
      <c r="CB53" s="22">
        <f t="shared" si="10"/>
        <v>389.16546165993583</v>
      </c>
      <c r="CC53" s="60">
        <f t="shared" si="11"/>
        <v>682.49879499326914</v>
      </c>
      <c r="CD53" s="60">
        <f ca="1">AVERAGE(OFFSET($CC$3,0,0,'Données projet'!$E$12+1,1))-AVERAGE(OFFSET($H$3,0,0,'Données projet'!$E$12+1,1))</f>
        <v>317.48648551307656</v>
      </c>
      <c r="CE53" s="60">
        <f t="shared" si="40"/>
        <v>133.09277301479563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0">
        <f t="shared" si="14"/>
        <v>716.43596015612616</v>
      </c>
      <c r="CY53" s="60">
        <f ca="1">AVERAGE(OFFSET($CX$3,0,0,'Données projet'!$E$13+1,1))-AVERAGE(OFFSET($H$3,0,0,'Données projet'!$E$13+1,1))</f>
        <v>194.42056369374041</v>
      </c>
      <c r="CZ53" s="60">
        <f t="shared" si="42"/>
        <v>185.75045299455371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192.47280000000001</v>
      </c>
      <c r="DQ53" s="14">
        <f t="shared" si="43"/>
        <v>48.086241710923829</v>
      </c>
      <c r="DR53" s="22">
        <f t="shared" si="16"/>
        <v>418.97366431319239</v>
      </c>
      <c r="DS53" s="60">
        <f t="shared" si="17"/>
        <v>712.3069976465257</v>
      </c>
      <c r="DT53" s="60">
        <f ca="1">AVERAGE(OFFSET($DS$3,0,0,'Données projet'!$E$14+1,1))-AVERAGE(OFFSET($H$3,0,0,'Données projet'!$E$14+1,1))</f>
        <v>274.31056057602081</v>
      </c>
      <c r="DU53" s="60">
        <f t="shared" si="44"/>
        <v>163.41029152029387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180.76923076923077</v>
      </c>
      <c r="EH53" s="13">
        <f>VLOOKUP(A53,'Données projet'!$A$191:$I$211,9,0)</f>
        <v>5.5128205128205137</v>
      </c>
      <c r="EI53" s="13">
        <f t="array" ref="EI53">INDEX(EH:EH,MIN(IF(ISNUMBER(EH53:EH249),ROW(EH53:EH249),"")))</f>
        <v>5.5128205128205137</v>
      </c>
      <c r="EJ53" s="13">
        <f>IF('Données projet'!$A$192&gt;35,EJ52+EI53-ER52,IF(A53&lt;'Données projet'!$A$192,$EG$205^A53,IF(A53='Données projet'!$A$192,'Données projet'!$B$192,EJ52+EI53-ER52)))</f>
        <v>180.76923076923077</v>
      </c>
      <c r="EK53" s="18">
        <f>EJ53*VLOOKUP('Données projet'!$B$15,Paramètres!$A$1:$I$89,3,0)*VLOOKUP('Données projet'!$B$15,Paramètres!$A$1:$I$89,5,0)</f>
        <v>121.25999999999999</v>
      </c>
      <c r="EL53" s="14">
        <f t="shared" si="45"/>
        <v>31.968694713827716</v>
      </c>
      <c r="EM53" s="22">
        <f t="shared" si="19"/>
        <v>266.87330995991658</v>
      </c>
      <c r="EN53" s="60">
        <f t="shared" si="20"/>
        <v>560.20664329324995</v>
      </c>
      <c r="EO53" s="60">
        <f ca="1">AVERAGE(OFFSET($EN$3,0,0,'Données projet'!$E$15+1,1))-AVERAGE(OFFSET($H$3,0,0,'Données projet'!$E$15+1,1))</f>
        <v>120.18668518376586</v>
      </c>
      <c r="EP53" s="60">
        <f t="shared" si="46"/>
        <v>110.24821114898037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28.205128205128204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8">
        <f t="shared" si="1"/>
        <v>395.66518704474902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321.53846153846155</v>
      </c>
      <c r="L54" s="13">
        <f>VLOOKUP(A54,'Données projet'!$A$35:$I$55,9,0)</f>
        <v>10.402930402930403</v>
      </c>
      <c r="M54" s="13">
        <f t="array" ref="M54">INDEX(L:L,MIN(IF(ISNUMBER(L54:L250),ROW(L54:L250),"")))</f>
        <v>10.402930402930403</v>
      </c>
      <c r="N54" s="14">
        <f>IF('Données projet'!$A$36&gt;35,N53+M54-V53,IF(A54&lt;'Données projet'!$A$36,$K$205^A54,IF(A54='Données projet'!$A$36,'Données projet'!$B$36,N53+M54-V53)))</f>
        <v>321.53846153846143</v>
      </c>
      <c r="O54" s="14">
        <f>N54*VLOOKUP('Données projet'!$B$9,Paramètres!$A$1:$I$89,3,0)*VLOOKUP('Données projet'!$B$9,Paramètres!$A$1:$I$89,5,0)</f>
        <v>150.47999999999996</v>
      </c>
      <c r="P54" s="14">
        <f t="shared" si="33"/>
        <v>38.687647052039566</v>
      </c>
      <c r="Q54" s="22">
        <f t="shared" si="53"/>
        <v>329.46698528230218</v>
      </c>
      <c r="R54" s="60">
        <f t="shared" si="0"/>
        <v>622.80031861563543</v>
      </c>
      <c r="S54" s="60">
        <f ca="1">AVERAGE(OFFSET($R$3,0,0,'Données projet'!$E$9+1,1))-AVERAGE(OFFSET($H$3,0,0,'Données projet'!$E$9+1,1))</f>
        <v>106.50743833854523</v>
      </c>
      <c r="T54" s="60">
        <f t="shared" si="34"/>
        <v>47.606751325129608</v>
      </c>
      <c r="U54" s="16">
        <f>IF(ISNA(VLOOKUP(A54,'Données projet'!$A$35:$I$55,3,0)),0,VLOOKUP(A54,'Données projet'!$A$35:$I$55,3,0))</f>
        <v>1</v>
      </c>
      <c r="V54" s="16">
        <f>IF(ISNA(VLOOKUP(A54,'Données projet'!$A$35:$I$55,4,0)),0,VLOOKUP(A54,'Données projet'!$A$35:$I$55,4,0))</f>
        <v>100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0">
        <f t="shared" si="5"/>
        <v>620.26096644164511</v>
      </c>
      <c r="AN54" s="60">
        <f ca="1">AVERAGE(OFFSET($AM$3,0,0,'Données projet'!$E$10+1,1))-AVERAGE(OFFSET($H$3,0,0,'Données projet'!$E$10+1,1))</f>
        <v>247.65126267995316</v>
      </c>
      <c r="AO54" s="60">
        <f t="shared" si="36"/>
        <v>149.27472147904314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167.31</v>
      </c>
      <c r="BF54" s="14">
        <f t="shared" si="37"/>
        <v>42.486994942347515</v>
      </c>
      <c r="BG54" s="22">
        <f t="shared" si="7"/>
        <v>365.39643285792187</v>
      </c>
      <c r="BH54" s="60">
        <f t="shared" si="8"/>
        <v>658.72976619125518</v>
      </c>
      <c r="BI54" s="60">
        <f ca="1">AVERAGE(OFFSET($BH$3,0,0,'Données projet'!$E$11+1,1))-AVERAGE(OFFSET($H$3,0,0,'Données projet'!$E$11+1,1))</f>
        <v>294.2815419338562</v>
      </c>
      <c r="BJ54" s="60">
        <f t="shared" si="38"/>
        <v>173.99850582760712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15.5</v>
      </c>
      <c r="BY54" s="13">
        <f>IF('Données projet'!$A$114&gt;35,BY53+BX54-CG53,IF(A54&lt;'Données projet'!$A$114,$BV$205^A54,IF(A54='Données projet'!$A$114,'Données projet'!$B$114,BY53+BX54-CG53)))</f>
        <v>223.49999999999986</v>
      </c>
      <c r="BZ54" s="14">
        <f>BY54*VLOOKUP('Données projet'!$B$12,Paramètres!$A$1:$I$89,3,0)*VLOOKUP('Données projet'!$B$12,Paramètres!$A$1:$I$89,5,0)</f>
        <v>191.76299999999989</v>
      </c>
      <c r="CA54" s="14">
        <f t="shared" si="39"/>
        <v>47.929517351413239</v>
      </c>
      <c r="CB54" s="22">
        <f t="shared" si="10"/>
        <v>417.46446772037785</v>
      </c>
      <c r="CC54" s="60">
        <f t="shared" si="11"/>
        <v>710.79780105371117</v>
      </c>
      <c r="CD54" s="60">
        <f ca="1">AVERAGE(OFFSET($CC$3,0,0,'Données projet'!$E$12+1,1))-AVERAGE(OFFSET($H$3,0,0,'Données projet'!$E$12+1,1))</f>
        <v>317.48648551307656</v>
      </c>
      <c r="CE54" s="60">
        <f t="shared" si="40"/>
        <v>133.09277301479563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0">
        <f t="shared" si="14"/>
        <v>733.63074231750591</v>
      </c>
      <c r="CY54" s="60">
        <f ca="1">AVERAGE(OFFSET($CX$3,0,0,'Données projet'!$E$13+1,1))-AVERAGE(OFFSET($H$3,0,0,'Données projet'!$E$13+1,1))</f>
        <v>194.42056369374041</v>
      </c>
      <c r="CZ54" s="60">
        <f t="shared" si="42"/>
        <v>185.75045299455371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159.58799999999999</v>
      </c>
      <c r="DQ54" s="14">
        <f t="shared" si="43"/>
        <v>40.74957371668588</v>
      </c>
      <c r="DR54" s="22">
        <f t="shared" si="16"/>
        <v>348.92127422322784</v>
      </c>
      <c r="DS54" s="60">
        <f t="shared" si="17"/>
        <v>642.25460755656115</v>
      </c>
      <c r="DT54" s="60">
        <f ca="1">AVERAGE(OFFSET($DS$3,0,0,'Données projet'!$E$14+1,1))-AVERAGE(OFFSET($H$3,0,0,'Données projet'!$E$14+1,1))</f>
        <v>274.31056057602081</v>
      </c>
      <c r="DU54" s="60">
        <f t="shared" si="44"/>
        <v>163.41029152029387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5.1282051282051269</v>
      </c>
      <c r="EJ54" s="13">
        <f>IF('Données projet'!$A$192&gt;35,EJ53+EI54-ER53,IF(A54&lt;'Données projet'!$A$192,$EG$205^A54,IF(A54='Données projet'!$A$192,'Données projet'!$B$192,EJ53+EI54-ER53)))</f>
        <v>157.69230769230771</v>
      </c>
      <c r="EK54" s="18">
        <f>EJ54*VLOOKUP('Données projet'!$B$15,Paramètres!$A$1:$I$89,3,0)*VLOOKUP('Données projet'!$B$15,Paramètres!$A$1:$I$89,5,0)</f>
        <v>105.78</v>
      </c>
      <c r="EL54" s="14">
        <f t="shared" si="45"/>
        <v>28.334467347129131</v>
      </c>
      <c r="EM54" s="22">
        <f t="shared" si="19"/>
        <v>233.58269729624988</v>
      </c>
      <c r="EN54" s="60">
        <f t="shared" si="20"/>
        <v>526.91603062958325</v>
      </c>
      <c r="EO54" s="60">
        <f ca="1">AVERAGE(OFFSET($EN$3,0,0,'Données projet'!$E$15+1,1))-AVERAGE(OFFSET($H$3,0,0,'Données projet'!$E$15+1,1))</f>
        <v>120.18668518376586</v>
      </c>
      <c r="EP54" s="60">
        <f t="shared" si="46"/>
        <v>110.24821114898037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8">
        <f t="shared" si="1"/>
        <v>397.61794578614325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10.769230769230768</v>
      </c>
      <c r="N55" s="14">
        <f>IF('Données projet'!$A$36&gt;35,N54+M55-V54,IF(A55&lt;'Données projet'!$A$36,$K$205^A55,IF(A55='Données projet'!$A$36,'Données projet'!$B$36,N54+M55-V54)))</f>
        <v>232.30769230769221</v>
      </c>
      <c r="O55" s="14">
        <f>N55*VLOOKUP('Données projet'!$B$9,Paramètres!$A$1:$I$89,3,0)*VLOOKUP('Données projet'!$B$9,Paramètres!$A$1:$I$89,5,0)</f>
        <v>108.71999999999996</v>
      </c>
      <c r="P55" s="14">
        <f t="shared" si="33"/>
        <v>29.029201459451464</v>
      </c>
      <c r="Q55" s="22">
        <f t="shared" si="53"/>
        <v>239.91319254187792</v>
      </c>
      <c r="R55" s="60">
        <f t="shared" si="0"/>
        <v>533.2465258752112</v>
      </c>
      <c r="S55" s="60">
        <f ca="1">AVERAGE(OFFSET($R$3,0,0,'Données projet'!$E$9+1,1))-AVERAGE(OFFSET($H$3,0,0,'Données projet'!$E$9+1,1))</f>
        <v>106.50743833854523</v>
      </c>
      <c r="T55" s="60">
        <f t="shared" si="34"/>
        <v>47.606751325129608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0">
        <f t="shared" si="5"/>
        <v>635.72643681712532</v>
      </c>
      <c r="AN55" s="60">
        <f ca="1">AVERAGE(OFFSET($AM$3,0,0,'Données projet'!$E$10+1,1))-AVERAGE(OFFSET($H$3,0,0,'Données projet'!$E$10+1,1))</f>
        <v>247.65126267995316</v>
      </c>
      <c r="AO55" s="60">
        <f t="shared" si="36"/>
        <v>149.27472147904314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175.422</v>
      </c>
      <c r="BF55" s="14">
        <f t="shared" si="37"/>
        <v>44.302143412304737</v>
      </c>
      <c r="BG55" s="22">
        <f t="shared" si="7"/>
        <v>382.68621644309741</v>
      </c>
      <c r="BH55" s="60">
        <f t="shared" si="8"/>
        <v>676.01954977643072</v>
      </c>
      <c r="BI55" s="60">
        <f ca="1">AVERAGE(OFFSET($BH$3,0,0,'Données projet'!$E$11+1,1))-AVERAGE(OFFSET($H$3,0,0,'Données projet'!$E$11+1,1))</f>
        <v>294.2815419338562</v>
      </c>
      <c r="BJ55" s="60">
        <f t="shared" si="38"/>
        <v>173.99850582760712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15.5</v>
      </c>
      <c r="BY55" s="13">
        <f>IF('Données projet'!$A$114&gt;35,BY54+BX55-CG54,IF(A55&lt;'Données projet'!$A$114,$BV$205^A55,IF(A55='Données projet'!$A$114,'Données projet'!$B$114,BY54+BX55-CG54)))</f>
        <v>238.99999999999986</v>
      </c>
      <c r="BZ55" s="14">
        <f>BY55*VLOOKUP('Données projet'!$B$12,Paramètres!$A$1:$I$89,3,0)*VLOOKUP('Données projet'!$B$12,Paramètres!$A$1:$I$89,5,0)</f>
        <v>205.0619999999999</v>
      </c>
      <c r="CA55" s="14">
        <f t="shared" si="39"/>
        <v>50.855018623514823</v>
      </c>
      <c r="CB55" s="22">
        <f t="shared" si="10"/>
        <v>445.72214076928805</v>
      </c>
      <c r="CC55" s="60">
        <f t="shared" si="11"/>
        <v>739.05547410262136</v>
      </c>
      <c r="CD55" s="60">
        <f ca="1">AVERAGE(OFFSET($CC$3,0,0,'Données projet'!$E$12+1,1))-AVERAGE(OFFSET($H$3,0,0,'Données projet'!$E$12+1,1))</f>
        <v>317.48648551307656</v>
      </c>
      <c r="CE55" s="60">
        <f t="shared" si="40"/>
        <v>133.09277301479563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0">
        <f t="shared" si="14"/>
        <v>750.81113261719929</v>
      </c>
      <c r="CY55" s="60">
        <f ca="1">AVERAGE(OFFSET($CX$3,0,0,'Données projet'!$E$13+1,1))-AVERAGE(OFFSET($H$3,0,0,'Données projet'!$E$13+1,1))</f>
        <v>194.42056369374041</v>
      </c>
      <c r="CZ55" s="60">
        <f t="shared" si="42"/>
        <v>185.75045299455371</v>
      </c>
      <c r="DA55" s="16">
        <f>IF(ISNA(VLOOKUP(A55,'Données projet'!$A$139:$I$159,3,0)),0,VLOOKUP(A55,'Données projet'!$A$139:$I$159,3,0))</f>
        <v>5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167.32560000000001</v>
      </c>
      <c r="DQ55" s="14">
        <f t="shared" si="43"/>
        <v>42.490495297127609</v>
      </c>
      <c r="DR55" s="22">
        <f t="shared" si="16"/>
        <v>365.42969930916388</v>
      </c>
      <c r="DS55" s="60">
        <f t="shared" si="17"/>
        <v>658.76303264249714</v>
      </c>
      <c r="DT55" s="60">
        <f ca="1">AVERAGE(OFFSET($DS$3,0,0,'Données projet'!$E$14+1,1))-AVERAGE(OFFSET($H$3,0,0,'Données projet'!$E$14+1,1))</f>
        <v>274.31056057602081</v>
      </c>
      <c r="DU55" s="60">
        <f t="shared" si="44"/>
        <v>163.41029152029387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5.1282051282051269</v>
      </c>
      <c r="EJ55" s="13">
        <f>IF('Données projet'!$A$192&gt;35,EJ54+EI55-ER54,IF(A55&lt;'Données projet'!$A$192,$EG$205^A55,IF(A55='Données projet'!$A$192,'Données projet'!$B$192,EJ54+EI55-ER54)))</f>
        <v>162.82051282051285</v>
      </c>
      <c r="EK55" s="18">
        <f>EJ55*VLOOKUP('Données projet'!$B$15,Paramètres!$A$1:$I$89,3,0)*VLOOKUP('Données projet'!$B$15,Paramètres!$A$1:$I$89,5,0)</f>
        <v>109.22000000000003</v>
      </c>
      <c r="EL55" s="14">
        <f t="shared" si="45"/>
        <v>29.147134446007001</v>
      </c>
      <c r="EM55" s="22">
        <f t="shared" si="19"/>
        <v>240.98942582679555</v>
      </c>
      <c r="EN55" s="60">
        <f t="shared" si="20"/>
        <v>534.32275916012884</v>
      </c>
      <c r="EO55" s="60">
        <f ca="1">AVERAGE(OFFSET($EN$3,0,0,'Données projet'!$E$15+1,1))-AVERAGE(OFFSET($H$3,0,0,'Données projet'!$E$15+1,1))</f>
        <v>120.18668518376586</v>
      </c>
      <c r="EP55" s="60">
        <f t="shared" si="46"/>
        <v>110.24821114898037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8">
        <f t="shared" si="1"/>
        <v>399.56980098790956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10.769230769230768</v>
      </c>
      <c r="N56" s="14">
        <f>IF('Données projet'!$A$36&gt;35,N55+M56-V55,IF(A56&lt;'Données projet'!$A$36,$K$205^A56,IF(A56='Données projet'!$A$36,'Données projet'!$B$36,N55+M56-V55)))</f>
        <v>243.07692307692298</v>
      </c>
      <c r="O56" s="14">
        <f>N56*VLOOKUP('Données projet'!$B$9,Paramètres!$A$1:$I$89,3,0)*VLOOKUP('Données projet'!$B$9,Paramètres!$A$1:$I$89,5,0)</f>
        <v>113.75999999999995</v>
      </c>
      <c r="P56" s="14">
        <f t="shared" si="33"/>
        <v>30.215129555931622</v>
      </c>
      <c r="Q56" s="22">
        <f t="shared" si="53"/>
        <v>250.7566839765808</v>
      </c>
      <c r="R56" s="60">
        <f t="shared" si="0"/>
        <v>544.09001730991417</v>
      </c>
      <c r="S56" s="60">
        <f ca="1">AVERAGE(OFFSET($R$3,0,0,'Données projet'!$E$9+1,1))-AVERAGE(OFFSET($H$3,0,0,'Données projet'!$E$9+1,1))</f>
        <v>106.50743833854523</v>
      </c>
      <c r="T56" s="60">
        <f t="shared" si="34"/>
        <v>47.606751325129608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0">
        <f t="shared" si="5"/>
        <v>651.17655593527957</v>
      </c>
      <c r="AN56" s="60">
        <f ca="1">AVERAGE(OFFSET($AM$3,0,0,'Données projet'!$E$10+1,1))-AVERAGE(OFFSET($H$3,0,0,'Données projet'!$E$10+1,1))</f>
        <v>247.65126267995316</v>
      </c>
      <c r="AO56" s="60">
        <f t="shared" si="36"/>
        <v>149.27472147904314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183.53400000000002</v>
      </c>
      <c r="BF56" s="14">
        <f t="shared" si="37"/>
        <v>46.107544136839593</v>
      </c>
      <c r="BG56" s="22">
        <f t="shared" si="7"/>
        <v>399.95902270499568</v>
      </c>
      <c r="BH56" s="60">
        <f t="shared" si="8"/>
        <v>693.29235603832899</v>
      </c>
      <c r="BI56" s="60">
        <f ca="1">AVERAGE(OFFSET($BH$3,0,0,'Données projet'!$E$11+1,1))-AVERAGE(OFFSET($H$3,0,0,'Données projet'!$E$11+1,1))</f>
        <v>294.2815419338562</v>
      </c>
      <c r="BJ56" s="60">
        <f t="shared" si="38"/>
        <v>173.99850582760712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15.5</v>
      </c>
      <c r="BY56" s="13">
        <f>IF('Données projet'!$A$114&gt;35,BY55+BX56-CG55,IF(A56&lt;'Données projet'!$A$114,$BV$205^A56,IF(A56='Données projet'!$A$114,'Données projet'!$B$114,BY55+BX56-CG55)))</f>
        <v>254.49999999999986</v>
      </c>
      <c r="BZ56" s="14">
        <f>BY56*VLOOKUP('Données projet'!$B$12,Paramètres!$A$1:$I$89,3,0)*VLOOKUP('Données projet'!$B$12,Paramètres!$A$1:$I$89,5,0)</f>
        <v>218.3609999999999</v>
      </c>
      <c r="CA56" s="14">
        <f t="shared" si="39"/>
        <v>53.758502281527136</v>
      </c>
      <c r="CB56" s="22">
        <f t="shared" si="10"/>
        <v>473.94146647365955</v>
      </c>
      <c r="CC56" s="60">
        <f t="shared" si="11"/>
        <v>767.27479980699286</v>
      </c>
      <c r="CD56" s="60">
        <f ca="1">AVERAGE(OFFSET($CC$3,0,0,'Données projet'!$E$12+1,1))-AVERAGE(OFFSET($H$3,0,0,'Données projet'!$E$12+1,1))</f>
        <v>317.48648551307656</v>
      </c>
      <c r="CE56" s="60">
        <f t="shared" si="40"/>
        <v>133.09277301479563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0">
        <f t="shared" si="14"/>
        <v>686.77547222807584</v>
      </c>
      <c r="CY56" s="60">
        <f ca="1">AVERAGE(OFFSET($CX$3,0,0,'Données projet'!$E$13+1,1))-AVERAGE(OFFSET($H$3,0,0,'Données projet'!$E$13+1,1))</f>
        <v>194.42056369374041</v>
      </c>
      <c r="CZ56" s="60">
        <f t="shared" si="42"/>
        <v>185.75045299455371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175.06319999999999</v>
      </c>
      <c r="DQ56" s="14">
        <f t="shared" si="43"/>
        <v>44.22206774682472</v>
      </c>
      <c r="DR56" s="22">
        <f t="shared" si="16"/>
        <v>381.9218413257197</v>
      </c>
      <c r="DS56" s="60">
        <f t="shared" si="17"/>
        <v>675.25517465905295</v>
      </c>
      <c r="DT56" s="60">
        <f ca="1">AVERAGE(OFFSET($DS$3,0,0,'Données projet'!$E$14+1,1))-AVERAGE(OFFSET($H$3,0,0,'Données projet'!$E$14+1,1))</f>
        <v>274.31056057602081</v>
      </c>
      <c r="DU56" s="60">
        <f t="shared" si="44"/>
        <v>163.41029152029387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5.1282051282051269</v>
      </c>
      <c r="EJ56" s="13">
        <f>IF('Données projet'!$A$192&gt;35,EJ55+EI56-ER55,IF(A56&lt;'Données projet'!$A$192,$EG$205^A56,IF(A56='Données projet'!$A$192,'Données projet'!$B$192,EJ55+EI56-ER55)))</f>
        <v>167.94871794871798</v>
      </c>
      <c r="EK56" s="18">
        <f>EJ56*VLOOKUP('Données projet'!$B$15,Paramètres!$A$1:$I$89,3,0)*VLOOKUP('Données projet'!$B$15,Paramètres!$A$1:$I$89,5,0)</f>
        <v>112.66000000000003</v>
      </c>
      <c r="EL56" s="14">
        <f t="shared" si="45"/>
        <v>29.956827127251987</v>
      </c>
      <c r="EM56" s="22">
        <f t="shared" si="19"/>
        <v>248.39097391329724</v>
      </c>
      <c r="EN56" s="60">
        <f t="shared" si="20"/>
        <v>541.72430724663059</v>
      </c>
      <c r="EO56" s="60">
        <f ca="1">AVERAGE(OFFSET($EN$3,0,0,'Données projet'!$E$15+1,1))-AVERAGE(OFFSET($H$3,0,0,'Données projet'!$E$15+1,1))</f>
        <v>120.18668518376586</v>
      </c>
      <c r="EP56" s="60">
        <f t="shared" si="46"/>
        <v>110.24821114898037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8">
        <f t="shared" si="1"/>
        <v>401.52077166373437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10.769230769230768</v>
      </c>
      <c r="N57" s="14">
        <f>IF('Données projet'!$A$36&gt;35,N56+M57-V56,IF(A57&lt;'Données projet'!$A$36,$K$205^A57,IF(A57='Données projet'!$A$36,'Données projet'!$B$36,N56+M57-V56)))</f>
        <v>253.84615384615375</v>
      </c>
      <c r="O57" s="14">
        <f>N57*VLOOKUP('Données projet'!$B$9,Paramètres!$A$1:$I$89,3,0)*VLOOKUP('Données projet'!$B$9,Paramètres!$A$1:$I$89,5,0)</f>
        <v>118.79999999999995</v>
      </c>
      <c r="P57" s="14">
        <f t="shared" si="33"/>
        <v>31.394955500632594</v>
      </c>
      <c r="Q57" s="22">
        <f t="shared" si="53"/>
        <v>261.58954749693504</v>
      </c>
      <c r="R57" s="60">
        <f t="shared" si="0"/>
        <v>554.92288083026835</v>
      </c>
      <c r="S57" s="60">
        <f ca="1">AVERAGE(OFFSET($R$3,0,0,'Données projet'!$E$9+1,1))-AVERAGE(OFFSET($H$3,0,0,'Données projet'!$E$9+1,1))</f>
        <v>106.50743833854523</v>
      </c>
      <c r="T57" s="60">
        <f t="shared" si="34"/>
        <v>47.606751325129608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0">
        <f t="shared" si="5"/>
        <v>666.61207984061377</v>
      </c>
      <c r="AN57" s="60">
        <f ca="1">AVERAGE(OFFSET($AM$3,0,0,'Données projet'!$E$10+1,1))-AVERAGE(OFFSET($H$3,0,0,'Données projet'!$E$10+1,1))</f>
        <v>247.65126267995316</v>
      </c>
      <c r="AO57" s="60">
        <f t="shared" si="36"/>
        <v>149.27472147904314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191.64600000000002</v>
      </c>
      <c r="BF57" s="14">
        <f t="shared" si="37"/>
        <v>47.903677189291635</v>
      </c>
      <c r="BG57" s="22">
        <f t="shared" si="7"/>
        <v>417.21568777134962</v>
      </c>
      <c r="BH57" s="60">
        <f t="shared" si="8"/>
        <v>710.54902110468288</v>
      </c>
      <c r="BI57" s="60">
        <f ca="1">AVERAGE(OFFSET($BH$3,0,0,'Données projet'!$E$11+1,1))-AVERAGE(OFFSET($H$3,0,0,'Données projet'!$E$11+1,1))</f>
        <v>294.2815419338562</v>
      </c>
      <c r="BJ57" s="60">
        <f t="shared" si="38"/>
        <v>173.99850582760712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270</v>
      </c>
      <c r="BW57" s="13">
        <f>VLOOKUP(A57,'Données projet'!$A$113:$I$133,9,0)</f>
        <v>15.5</v>
      </c>
      <c r="BX57" s="13">
        <f t="array" ref="BX57">INDEX(BW:BW,MIN(IF(ISNUMBER(BW57:BW253),ROW(BW57:BW253),"")))</f>
        <v>15.5</v>
      </c>
      <c r="BY57" s="13">
        <f>IF('Données projet'!$A$114&gt;35,BY56+BX57-CG56,IF(A57&lt;'Données projet'!$A$114,$BV$205^A57,IF(A57='Données projet'!$A$114,'Données projet'!$B$114,BY56+BX57-CG56)))</f>
        <v>269.99999999999989</v>
      </c>
      <c r="BZ57" s="14">
        <f>BY57*VLOOKUP('Données projet'!$B$12,Paramètres!$A$1:$I$89,3,0)*VLOOKUP('Données projet'!$B$12,Paramètres!$A$1:$I$89,5,0)</f>
        <v>231.65999999999991</v>
      </c>
      <c r="CA57" s="14">
        <f t="shared" si="39"/>
        <v>56.641461975682766</v>
      </c>
      <c r="CB57" s="22">
        <f t="shared" si="10"/>
        <v>502.125046274314</v>
      </c>
      <c r="CC57" s="60">
        <f t="shared" si="11"/>
        <v>795.45837960764732</v>
      </c>
      <c r="CD57" s="60">
        <f ca="1">AVERAGE(OFFSET($CC$3,0,0,'Données projet'!$E$12+1,1))-AVERAGE(OFFSET($H$3,0,0,'Données projet'!$E$12+1,1))</f>
        <v>317.48648551307656</v>
      </c>
      <c r="CE57" s="60">
        <f t="shared" si="40"/>
        <v>133.09277301479563</v>
      </c>
      <c r="CF57" s="16">
        <f>IF(ISNA(VLOOKUP(A57,'Données projet'!$A$113:$I$133,3,0)),0,VLOOKUP(A57,'Données projet'!$A$113:$I$133,3,0))</f>
        <v>6</v>
      </c>
      <c r="CG57" s="16">
        <f>IF(ISNA(VLOOKUP(A57,'Données projet'!$A$113:$I$133,4,0)),0,VLOOKUP(A57,'Données projet'!$A$113:$I$133,4,0))</f>
        <v>64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0">
        <f t="shared" si="14"/>
        <v>702.33747537368492</v>
      </c>
      <c r="CY57" s="60">
        <f ca="1">AVERAGE(OFFSET($CX$3,0,0,'Données projet'!$E$13+1,1))-AVERAGE(OFFSET($H$3,0,0,'Données projet'!$E$13+1,1))</f>
        <v>194.42056369374041</v>
      </c>
      <c r="CZ57" s="60">
        <f t="shared" si="42"/>
        <v>185.75045299455371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182.80079999999998</v>
      </c>
      <c r="DQ57" s="14">
        <f t="shared" si="43"/>
        <v>45.944751507471658</v>
      </c>
      <c r="DR57" s="22">
        <f t="shared" si="16"/>
        <v>398.39850220884642</v>
      </c>
      <c r="DS57" s="60">
        <f t="shared" si="17"/>
        <v>691.73183554217974</v>
      </c>
      <c r="DT57" s="60">
        <f ca="1">AVERAGE(OFFSET($DS$3,0,0,'Données projet'!$E$14+1,1))-AVERAGE(OFFSET($H$3,0,0,'Données projet'!$E$14+1,1))</f>
        <v>274.31056057602081</v>
      </c>
      <c r="DU57" s="60">
        <f t="shared" si="44"/>
        <v>163.41029152029387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5.1282051282051269</v>
      </c>
      <c r="EJ57" s="13">
        <f>IF('Données projet'!$A$192&gt;35,EJ56+EI57-ER56,IF(A57&lt;'Données projet'!$A$192,$EG$205^A57,IF(A57='Données projet'!$A$192,'Données projet'!$B$192,EJ56+EI57-ER56)))</f>
        <v>173.07692307692312</v>
      </c>
      <c r="EK57" s="18">
        <f>EJ57*VLOOKUP('Données projet'!$B$15,Paramètres!$A$1:$I$89,3,0)*VLOOKUP('Données projet'!$B$15,Paramètres!$A$1:$I$89,5,0)</f>
        <v>116.10000000000004</v>
      </c>
      <c r="EL57" s="14">
        <f t="shared" si="45"/>
        <v>30.763646636385982</v>
      </c>
      <c r="EM57" s="22">
        <f t="shared" si="19"/>
        <v>255.78751789170562</v>
      </c>
      <c r="EN57" s="60">
        <f t="shared" si="20"/>
        <v>549.1208512250389</v>
      </c>
      <c r="EO57" s="60">
        <f ca="1">AVERAGE(OFFSET($EN$3,0,0,'Données projet'!$E$15+1,1))-AVERAGE(OFFSET($H$3,0,0,'Données projet'!$E$15+1,1))</f>
        <v>120.18668518376586</v>
      </c>
      <c r="EP57" s="60">
        <f t="shared" si="46"/>
        <v>110.24821114898037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8">
        <f t="shared" si="1"/>
        <v>403.47087608278355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10.769230769230768</v>
      </c>
      <c r="N58" s="14">
        <f>IF('Données projet'!$A$36&gt;35,N57+M58-V57,IF(A58&lt;'Données projet'!$A$36,$K$205^A58,IF(A58='Données projet'!$A$36,'Données projet'!$B$36,N57+M58-V57)))</f>
        <v>264.61538461538453</v>
      </c>
      <c r="O58" s="14">
        <f>N58*VLOOKUP('Données projet'!$B$9,Paramètres!$A$1:$I$89,3,0)*VLOOKUP('Données projet'!$B$9,Paramètres!$A$1:$I$89,5,0)</f>
        <v>123.83999999999995</v>
      </c>
      <c r="P58" s="14">
        <f t="shared" si="33"/>
        <v>32.56896777038807</v>
      </c>
      <c r="Q58" s="22">
        <f t="shared" si="53"/>
        <v>272.4122855334258</v>
      </c>
      <c r="R58" s="60">
        <f t="shared" si="0"/>
        <v>565.74561886675906</v>
      </c>
      <c r="S58" s="60">
        <f ca="1">AVERAGE(OFFSET($R$3,0,0,'Données projet'!$E$9+1,1))-AVERAGE(OFFSET($H$3,0,0,'Données projet'!$E$9+1,1))</f>
        <v>106.50743833854523</v>
      </c>
      <c r="T58" s="60">
        <f t="shared" si="34"/>
        <v>47.606751325129608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0">
        <f t="shared" si="5"/>
        <v>682.03369695342735</v>
      </c>
      <c r="AN58" s="60">
        <f ca="1">AVERAGE(OFFSET($AM$3,0,0,'Données projet'!$E$10+1,1))-AVERAGE(OFFSET($H$3,0,0,'Données projet'!$E$10+1,1))</f>
        <v>247.65126267995316</v>
      </c>
      <c r="AO58" s="60">
        <f t="shared" si="36"/>
        <v>149.27472147904314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199.75800000000004</v>
      </c>
      <c r="BF58" s="14">
        <f t="shared" si="37"/>
        <v>49.690979702964015</v>
      </c>
      <c r="BG58" s="22">
        <f t="shared" si="7"/>
        <v>434.45697298266236</v>
      </c>
      <c r="BH58" s="60">
        <f t="shared" si="8"/>
        <v>727.79030631599562</v>
      </c>
      <c r="BI58" s="60">
        <f ca="1">AVERAGE(OFFSET($BH$3,0,0,'Données projet'!$E$11+1,1))-AVERAGE(OFFSET($H$3,0,0,'Données projet'!$E$11+1,1))</f>
        <v>294.2815419338562</v>
      </c>
      <c r="BJ58" s="60">
        <f t="shared" si="38"/>
        <v>173.99850582760712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14.833333333333334</v>
      </c>
      <c r="BY58" s="13">
        <f>IF('Données projet'!$A$114&gt;35,BY57+BX58-CG57,IF(A58&lt;'Données projet'!$A$114,$BV$205^A58,IF(A58='Données projet'!$A$114,'Données projet'!$B$114,BY57+BX58-CG57)))</f>
        <v>220.8333333333332</v>
      </c>
      <c r="BZ58" s="14">
        <f>BY58*VLOOKUP('Données projet'!$B$12,Paramètres!$A$1:$I$89,3,0)*VLOOKUP('Données projet'!$B$12,Paramètres!$A$1:$I$89,5,0)</f>
        <v>189.47499999999991</v>
      </c>
      <c r="CA58" s="14">
        <f t="shared" si="39"/>
        <v>47.423864120172716</v>
      </c>
      <c r="CB58" s="22">
        <f t="shared" si="10"/>
        <v>412.59885500930062</v>
      </c>
      <c r="CC58" s="60">
        <f t="shared" si="11"/>
        <v>705.93218834263394</v>
      </c>
      <c r="CD58" s="60">
        <f ca="1">AVERAGE(OFFSET($CC$3,0,0,'Données projet'!$E$12+1,1))-AVERAGE(OFFSET($H$3,0,0,'Données projet'!$E$12+1,1))</f>
        <v>317.48648551307656</v>
      </c>
      <c r="CE58" s="60">
        <f t="shared" si="40"/>
        <v>133.09277301479563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0">
        <f t="shared" si="14"/>
        <v>717.88669435757902</v>
      </c>
      <c r="CY58" s="60">
        <f ca="1">AVERAGE(OFFSET($CX$3,0,0,'Données projet'!$E$13+1,1))-AVERAGE(OFFSET($H$3,0,0,'Données projet'!$E$13+1,1))</f>
        <v>194.42056369374041</v>
      </c>
      <c r="CZ58" s="60">
        <f t="shared" si="42"/>
        <v>185.75045299455371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190.5384</v>
      </c>
      <c r="DQ58" s="14">
        <f t="shared" si="43"/>
        <v>47.658965836673829</v>
      </c>
      <c r="DR58" s="22">
        <f t="shared" si="16"/>
        <v>414.86041216554025</v>
      </c>
      <c r="DS58" s="60">
        <f t="shared" si="17"/>
        <v>708.19374549887357</v>
      </c>
      <c r="DT58" s="60">
        <f ca="1">AVERAGE(OFFSET($DS$3,0,0,'Données projet'!$E$14+1,1))-AVERAGE(OFFSET($H$3,0,0,'Données projet'!$E$14+1,1))</f>
        <v>274.31056057602081</v>
      </c>
      <c r="DU58" s="60">
        <f t="shared" si="44"/>
        <v>163.41029152029387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178.2051282051282</v>
      </c>
      <c r="EH58" s="13">
        <f>VLOOKUP(A58,'Données projet'!$A$191:$I$211,9,0)</f>
        <v>5.1282051282051269</v>
      </c>
      <c r="EI58" s="13">
        <f t="array" ref="EI58">INDEX(EH:EH,MIN(IF(ISNUMBER(EH58:EH254),ROW(EH58:EH254),"")))</f>
        <v>5.1282051282051269</v>
      </c>
      <c r="EJ58" s="13">
        <f>IF('Données projet'!$A$192&gt;35,EJ57+EI58-ER57,IF(A58&lt;'Données projet'!$A$192,$EG$205^A58,IF(A58='Données projet'!$A$192,'Données projet'!$B$192,EJ57+EI58-ER57)))</f>
        <v>178.20512820512826</v>
      </c>
      <c r="EK58" s="18">
        <f>EJ58*VLOOKUP('Données projet'!$B$15,Paramètres!$A$1:$I$89,3,0)*VLOOKUP('Données projet'!$B$15,Paramètres!$A$1:$I$89,5,0)</f>
        <v>119.54000000000005</v>
      </c>
      <c r="EL58" s="14">
        <f t="shared" si="45"/>
        <v>31.567687878137313</v>
      </c>
      <c r="EM58" s="22">
        <f t="shared" si="19"/>
        <v>263.17922305442261</v>
      </c>
      <c r="EN58" s="60">
        <f t="shared" si="20"/>
        <v>556.51255638775592</v>
      </c>
      <c r="EO58" s="60">
        <f ca="1">AVERAGE(OFFSET($EN$3,0,0,'Données projet'!$E$15+1,1))-AVERAGE(OFFSET($H$3,0,0,'Données projet'!$E$15+1,1))</f>
        <v>120.18668518376586</v>
      </c>
      <c r="EP58" s="60">
        <f t="shared" si="46"/>
        <v>110.24821114898037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8">
        <f t="shared" si="1"/>
        <v>405.42013181185314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10.769230769230768</v>
      </c>
      <c r="N59" s="14">
        <f>IF('Données projet'!$A$36&gt;35,N58+M59-V58,IF(A59&lt;'Données projet'!$A$36,$K$205^A59,IF(A59='Données projet'!$A$36,'Données projet'!$B$36,N58+M59-V58)))</f>
        <v>275.3846153846153</v>
      </c>
      <c r="O59" s="14">
        <f>N59*VLOOKUP('Données projet'!$B$9,Paramètres!$A$1:$I$89,3,0)*VLOOKUP('Données projet'!$B$9,Paramètres!$A$1:$I$89,5,0)</f>
        <v>128.87999999999997</v>
      </c>
      <c r="P59" s="14">
        <f t="shared" si="33"/>
        <v>33.73743003255538</v>
      </c>
      <c r="Q59" s="22">
        <f t="shared" si="53"/>
        <v>283.22535730670057</v>
      </c>
      <c r="R59" s="60">
        <f t="shared" si="0"/>
        <v>576.55869064003389</v>
      </c>
      <c r="S59" s="60">
        <f ca="1">AVERAGE(OFFSET($R$3,0,0,'Données projet'!$E$9+1,1))-AVERAGE(OFFSET($H$3,0,0,'Données projet'!$E$9+1,1))</f>
        <v>106.50743833854523</v>
      </c>
      <c r="T59" s="60">
        <f t="shared" si="34"/>
        <v>47.606751325129608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0">
        <f t="shared" si="5"/>
        <v>696.67192586439194</v>
      </c>
      <c r="AN59" s="60">
        <f ca="1">AVERAGE(OFFSET($AM$3,0,0,'Données projet'!$E$10+1,1))-AVERAGE(OFFSET($H$3,0,0,'Données projet'!$E$10+1,1))</f>
        <v>247.65126267995316</v>
      </c>
      <c r="AO59" s="60">
        <f t="shared" si="36"/>
        <v>149.27472147904314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207.46440000000001</v>
      </c>
      <c r="BF59" s="14">
        <f t="shared" si="37"/>
        <v>51.381102169014063</v>
      </c>
      <c r="BG59" s="22">
        <f t="shared" si="7"/>
        <v>450.82258294436616</v>
      </c>
      <c r="BH59" s="60">
        <f t="shared" si="8"/>
        <v>744.15591627769948</v>
      </c>
      <c r="BI59" s="60">
        <f ca="1">AVERAGE(OFFSET($BH$3,0,0,'Données projet'!$E$11+1,1))-AVERAGE(OFFSET($H$3,0,0,'Données projet'!$E$11+1,1))</f>
        <v>294.2815419338562</v>
      </c>
      <c r="BJ59" s="60">
        <f t="shared" si="38"/>
        <v>173.99850582760712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14.833333333333334</v>
      </c>
      <c r="BY59" s="13">
        <f>IF('Données projet'!$A$114&gt;35,BY58+BX59-CG58,IF(A59&lt;'Données projet'!$A$114,$BV$205^A59,IF(A59='Données projet'!$A$114,'Données projet'!$B$114,BY58+BX59-CG58)))</f>
        <v>235.66666666666654</v>
      </c>
      <c r="BZ59" s="14">
        <f>BY59*VLOOKUP('Données projet'!$B$12,Paramètres!$A$1:$I$89,3,0)*VLOOKUP('Données projet'!$B$12,Paramètres!$A$1:$I$89,5,0)</f>
        <v>202.20199999999994</v>
      </c>
      <c r="CA59" s="14">
        <f t="shared" si="39"/>
        <v>50.227791845116698</v>
      </c>
      <c r="CB59" s="22">
        <f t="shared" si="10"/>
        <v>439.6485541302448</v>
      </c>
      <c r="CC59" s="60">
        <f t="shared" si="11"/>
        <v>732.98188746357812</v>
      </c>
      <c r="CD59" s="60">
        <f ca="1">AVERAGE(OFFSET($CC$3,0,0,'Données projet'!$E$12+1,1))-AVERAGE(OFFSET($H$3,0,0,'Données projet'!$E$12+1,1))</f>
        <v>317.48648551307656</v>
      </c>
      <c r="CE59" s="60">
        <f t="shared" si="40"/>
        <v>133.09277301479563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0">
        <f t="shared" si="14"/>
        <v>733.42366321047757</v>
      </c>
      <c r="CY59" s="60">
        <f ca="1">AVERAGE(OFFSET($CX$3,0,0,'Données projet'!$E$13+1,1))-AVERAGE(OFFSET($H$3,0,0,'Données projet'!$E$13+1,1))</f>
        <v>194.42056369374041</v>
      </c>
      <c r="CZ59" s="60">
        <f t="shared" si="42"/>
        <v>185.75045299455371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197.88911999999999</v>
      </c>
      <c r="DQ59" s="14">
        <f t="shared" si="43"/>
        <v>49.279974103179534</v>
      </c>
      <c r="DR59" s="22">
        <f t="shared" si="16"/>
        <v>430.48617222970438</v>
      </c>
      <c r="DS59" s="60">
        <f t="shared" si="17"/>
        <v>723.81950556303764</v>
      </c>
      <c r="DT59" s="60">
        <f ca="1">AVERAGE(OFFSET($DS$3,0,0,'Données projet'!$E$14+1,1))-AVERAGE(OFFSET($H$3,0,0,'Données projet'!$E$14+1,1))</f>
        <v>274.31056057602081</v>
      </c>
      <c r="DU59" s="60">
        <f t="shared" si="44"/>
        <v>163.41029152029387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4.8717948717948731</v>
      </c>
      <c r="EJ59" s="13">
        <f>IF('Données projet'!$A$192&gt;35,EJ58+EI59-ER58,IF(A59&lt;'Données projet'!$A$192,$EG$205^A59,IF(A59='Données projet'!$A$192,'Données projet'!$B$192,EJ58+EI59-ER58)))</f>
        <v>183.07692307692312</v>
      </c>
      <c r="EK59" s="18">
        <f>EJ59*VLOOKUP('Données projet'!$B$15,Paramètres!$A$1:$I$89,3,0)*VLOOKUP('Données projet'!$B$15,Paramètres!$A$1:$I$89,5,0)</f>
        <v>122.80800000000004</v>
      </c>
      <c r="EL59" s="14">
        <f t="shared" si="45"/>
        <v>32.329034931240123</v>
      </c>
      <c r="EM59" s="22">
        <f t="shared" si="19"/>
        <v>270.19700250524323</v>
      </c>
      <c r="EN59" s="60">
        <f t="shared" si="20"/>
        <v>563.53033583857655</v>
      </c>
      <c r="EO59" s="60">
        <f ca="1">AVERAGE(OFFSET($EN$3,0,0,'Données projet'!$E$15+1,1))-AVERAGE(OFFSET($H$3,0,0,'Données projet'!$E$15+1,1))</f>
        <v>120.18668518376586</v>
      </c>
      <c r="EP59" s="60">
        <f t="shared" si="46"/>
        <v>110.24821114898037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8">
        <f t="shared" si="1"/>
        <v>407.3685557544236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10.769230769230768</v>
      </c>
      <c r="N60" s="14">
        <f>IF('Données projet'!$A$36&gt;35,N59+M60-V59,IF(A60&lt;'Données projet'!$A$36,$K$205^A60,IF(A60='Données projet'!$A$36,'Données projet'!$B$36,N59+M60-V59)))</f>
        <v>286.15384615384608</v>
      </c>
      <c r="O60" s="14">
        <f>N60*VLOOKUP('Données projet'!$B$9,Paramètres!$A$1:$I$89,3,0)*VLOOKUP('Données projet'!$B$9,Paramètres!$A$1:$I$89,5,0)</f>
        <v>133.91999999999996</v>
      </c>
      <c r="P60" s="14">
        <f t="shared" si="33"/>
        <v>34.900584164862018</v>
      </c>
      <c r="Q60" s="22">
        <f t="shared" si="53"/>
        <v>294.02918408713464</v>
      </c>
      <c r="R60" s="60">
        <f t="shared" si="0"/>
        <v>587.36251742046795</v>
      </c>
      <c r="S60" s="60">
        <f ca="1">AVERAGE(OFFSET($R$3,0,0,'Données projet'!$E$9+1,1))-AVERAGE(OFFSET($H$3,0,0,'Données projet'!$E$9+1,1))</f>
        <v>106.50743833854523</v>
      </c>
      <c r="T60" s="60">
        <f t="shared" si="34"/>
        <v>47.606751325129608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0">
        <f t="shared" si="5"/>
        <v>711.29866832489597</v>
      </c>
      <c r="AN60" s="60">
        <f ca="1">AVERAGE(OFFSET($AM$3,0,0,'Données projet'!$E$10+1,1))-AVERAGE(OFFSET($H$3,0,0,'Données projet'!$E$10+1,1))</f>
        <v>247.65126267995316</v>
      </c>
      <c r="AO60" s="60">
        <f t="shared" si="36"/>
        <v>149.27472147904314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215.17080000000001</v>
      </c>
      <c r="BF60" s="14">
        <f t="shared" si="37"/>
        <v>53.063930965723607</v>
      </c>
      <c r="BG60" s="22">
        <f t="shared" si="7"/>
        <v>467.17548976530185</v>
      </c>
      <c r="BH60" s="60">
        <f t="shared" si="8"/>
        <v>760.50882309863516</v>
      </c>
      <c r="BI60" s="60">
        <f ca="1">AVERAGE(OFFSET($BH$3,0,0,'Données projet'!$E$11+1,1))-AVERAGE(OFFSET($H$3,0,0,'Données projet'!$E$11+1,1))</f>
        <v>294.2815419338562</v>
      </c>
      <c r="BJ60" s="60">
        <f t="shared" si="38"/>
        <v>173.99850582760712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14.833333333333334</v>
      </c>
      <c r="BY60" s="13">
        <f>IF('Données projet'!$A$114&gt;35,BY59+BX60-CG59,IF(A60&lt;'Données projet'!$A$114,$BV$205^A60,IF(A60='Données projet'!$A$114,'Données projet'!$B$114,BY59+BX60-CG59)))</f>
        <v>250.49999999999989</v>
      </c>
      <c r="BZ60" s="14">
        <f>BY60*VLOOKUP('Données projet'!$B$12,Paramètres!$A$1:$I$89,3,0)*VLOOKUP('Données projet'!$B$12,Paramètres!$A$1:$I$89,5,0)</f>
        <v>214.92899999999992</v>
      </c>
      <c r="CA60" s="14">
        <f t="shared" si="39"/>
        <v>53.011237531572512</v>
      </c>
      <c r="CB60" s="22">
        <f t="shared" si="10"/>
        <v>466.66258036748872</v>
      </c>
      <c r="CC60" s="60">
        <f t="shared" si="11"/>
        <v>759.99591370082203</v>
      </c>
      <c r="CD60" s="60">
        <f ca="1">AVERAGE(OFFSET($CC$3,0,0,'Données projet'!$E$12+1,1))-AVERAGE(OFFSET($H$3,0,0,'Données projet'!$E$12+1,1))</f>
        <v>317.48648551307656</v>
      </c>
      <c r="CE60" s="60">
        <f t="shared" si="40"/>
        <v>133.09277301479563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0">
        <f t="shared" si="14"/>
        <v>748.94887519004146</v>
      </c>
      <c r="CY60" s="60">
        <f ca="1">AVERAGE(OFFSET($CX$3,0,0,'Données projet'!$E$13+1,1))-AVERAGE(OFFSET($H$3,0,0,'Données projet'!$E$13+1,1))</f>
        <v>194.42056369374041</v>
      </c>
      <c r="CZ60" s="60">
        <f t="shared" si="42"/>
        <v>185.75045299455371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205.23983999999999</v>
      </c>
      <c r="DQ60" s="14">
        <f t="shared" si="43"/>
        <v>50.893986960458122</v>
      </c>
      <c r="DR60" s="22">
        <f t="shared" si="16"/>
        <v>446.0997486227979</v>
      </c>
      <c r="DS60" s="60">
        <f t="shared" si="17"/>
        <v>739.43308195613122</v>
      </c>
      <c r="DT60" s="60">
        <f ca="1">AVERAGE(OFFSET($DS$3,0,0,'Données projet'!$E$14+1,1))-AVERAGE(OFFSET($H$3,0,0,'Données projet'!$E$14+1,1))</f>
        <v>274.31056057602081</v>
      </c>
      <c r="DU60" s="60">
        <f t="shared" si="44"/>
        <v>163.41029152029387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4.8717948717948731</v>
      </c>
      <c r="EJ60" s="13">
        <f>IF('Données projet'!$A$192&gt;35,EJ59+EI60-ER59,IF(A60&lt;'Données projet'!$A$192,$EG$205^A60,IF(A60='Données projet'!$A$192,'Données projet'!$B$192,EJ59+EI60-ER59)))</f>
        <v>187.94871794871798</v>
      </c>
      <c r="EK60" s="18">
        <f>EJ60*VLOOKUP('Données projet'!$B$15,Paramètres!$A$1:$I$89,3,0)*VLOOKUP('Données projet'!$B$15,Paramètres!$A$1:$I$89,5,0)</f>
        <v>126.07600000000004</v>
      </c>
      <c r="EL60" s="14">
        <f t="shared" si="45"/>
        <v>33.088027082698986</v>
      </c>
      <c r="EM60" s="22">
        <f t="shared" si="19"/>
        <v>277.21068050236744</v>
      </c>
      <c r="EN60" s="60">
        <f t="shared" si="20"/>
        <v>570.54401383570075</v>
      </c>
      <c r="EO60" s="60">
        <f ca="1">AVERAGE(OFFSET($EN$3,0,0,'Données projet'!$E$15+1,1))-AVERAGE(OFFSET($H$3,0,0,'Données projet'!$E$15+1,1))</f>
        <v>120.18668518376586</v>
      </c>
      <c r="EP60" s="60">
        <f t="shared" si="46"/>
        <v>110.24821114898037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8">
        <f t="shared" si="1"/>
        <v>409.31616418689623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10.769230769230768</v>
      </c>
      <c r="N61" s="14">
        <f>IF('Données projet'!$A$36&gt;35,N60+M61-V60,IF(A61&lt;'Données projet'!$A$36,$K$205^A61,IF(A61='Données projet'!$A$36,'Données projet'!$B$36,N60+M61-V60)))</f>
        <v>296.92307692307685</v>
      </c>
      <c r="O61" s="14">
        <f>N61*VLOOKUP('Données projet'!$B$9,Paramètres!$A$1:$I$89,3,0)*VLOOKUP('Données projet'!$B$9,Paramètres!$A$1:$I$89,5,0)</f>
        <v>138.95999999999998</v>
      </c>
      <c r="P61" s="14">
        <f t="shared" si="33"/>
        <v>36.058652807868881</v>
      </c>
      <c r="Q61" s="22">
        <f t="shared" si="53"/>
        <v>304.82415364037161</v>
      </c>
      <c r="R61" s="60">
        <f t="shared" si="0"/>
        <v>598.15748697370486</v>
      </c>
      <c r="S61" s="60">
        <f ca="1">AVERAGE(OFFSET($R$3,0,0,'Données projet'!$E$9+1,1))-AVERAGE(OFFSET($H$3,0,0,'Données projet'!$E$9+1,1))</f>
        <v>106.50743833854523</v>
      </c>
      <c r="T61" s="60">
        <f t="shared" si="34"/>
        <v>47.606751325129608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0">
        <f t="shared" si="5"/>
        <v>725.91438285442098</v>
      </c>
      <c r="AN61" s="60">
        <f ca="1">AVERAGE(OFFSET($AM$3,0,0,'Données projet'!$E$10+1,1))-AVERAGE(OFFSET($H$3,0,0,'Données projet'!$E$10+1,1))</f>
        <v>247.65126267995316</v>
      </c>
      <c r="AO61" s="60">
        <f t="shared" si="36"/>
        <v>149.27472147904314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222.87720000000002</v>
      </c>
      <c r="BF61" s="14">
        <f t="shared" si="37"/>
        <v>54.739757243913829</v>
      </c>
      <c r="BG61" s="22">
        <f t="shared" si="7"/>
        <v>483.51620053314986</v>
      </c>
      <c r="BH61" s="60">
        <f t="shared" si="8"/>
        <v>776.84953386648317</v>
      </c>
      <c r="BI61" s="60">
        <f ca="1">AVERAGE(OFFSET($BH$3,0,0,'Données projet'!$E$11+1,1))-AVERAGE(OFFSET($H$3,0,0,'Données projet'!$E$11+1,1))</f>
        <v>294.2815419338562</v>
      </c>
      <c r="BJ61" s="60">
        <f t="shared" si="38"/>
        <v>173.99850582760712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14.833333333333334</v>
      </c>
      <c r="BY61" s="13">
        <f>IF('Données projet'!$A$114&gt;35,BY60+BX61-CG60,IF(A61&lt;'Données projet'!$A$114,$BV$205^A61,IF(A61='Données projet'!$A$114,'Données projet'!$B$114,BY60+BX61-CG60)))</f>
        <v>265.3333333333332</v>
      </c>
      <c r="BZ61" s="14">
        <f>BY61*VLOOKUP('Données projet'!$B$12,Paramètres!$A$1:$I$89,3,0)*VLOOKUP('Données projet'!$B$12,Paramètres!$A$1:$I$89,5,0)</f>
        <v>227.65599999999992</v>
      </c>
      <c r="CA61" s="14">
        <f t="shared" si="39"/>
        <v>55.775552165489643</v>
      </c>
      <c r="CB61" s="22">
        <f t="shared" si="10"/>
        <v>493.64328668822759</v>
      </c>
      <c r="CC61" s="60">
        <f t="shared" si="11"/>
        <v>786.97662002156085</v>
      </c>
      <c r="CD61" s="60">
        <f ca="1">AVERAGE(OFFSET($CC$3,0,0,'Données projet'!$E$12+1,1))-AVERAGE(OFFSET($H$3,0,0,'Données projet'!$E$12+1,1))</f>
        <v>317.48648551307656</v>
      </c>
      <c r="CE61" s="60">
        <f t="shared" si="40"/>
        <v>133.09277301479563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0">
        <f t="shared" si="14"/>
        <v>764.46278720601333</v>
      </c>
      <c r="CY61" s="60">
        <f ca="1">AVERAGE(OFFSET($CX$3,0,0,'Données projet'!$E$13+1,1))-AVERAGE(OFFSET($H$3,0,0,'Données projet'!$E$13+1,1))</f>
        <v>194.42056369374041</v>
      </c>
      <c r="CZ61" s="60">
        <f t="shared" si="42"/>
        <v>185.75045299455371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212.59055999999998</v>
      </c>
      <c r="DQ61" s="14">
        <f t="shared" si="43"/>
        <v>52.501283653296404</v>
      </c>
      <c r="DR61" s="22">
        <f t="shared" si="16"/>
        <v>461.70162769615786</v>
      </c>
      <c r="DS61" s="60">
        <f t="shared" si="17"/>
        <v>755.03496102949111</v>
      </c>
      <c r="DT61" s="60">
        <f ca="1">AVERAGE(OFFSET($DS$3,0,0,'Données projet'!$E$14+1,1))-AVERAGE(OFFSET($H$3,0,0,'Données projet'!$E$14+1,1))</f>
        <v>274.31056057602081</v>
      </c>
      <c r="DU61" s="60">
        <f t="shared" si="44"/>
        <v>163.41029152029387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4.8717948717948731</v>
      </c>
      <c r="EJ61" s="13">
        <f>IF('Données projet'!$A$192&gt;35,EJ60+EI61-ER60,IF(A61&lt;'Données projet'!$A$192,$EG$205^A61,IF(A61='Données projet'!$A$192,'Données projet'!$B$192,EJ60+EI61-ER60)))</f>
        <v>192.82051282051285</v>
      </c>
      <c r="EK61" s="18">
        <f>EJ61*VLOOKUP('Données projet'!$B$15,Paramètres!$A$1:$I$89,3,0)*VLOOKUP('Données projet'!$B$15,Paramètres!$A$1:$I$89,5,0)</f>
        <v>129.34400000000002</v>
      </c>
      <c r="EL61" s="14">
        <f t="shared" si="45"/>
        <v>33.844732391528566</v>
      </c>
      <c r="EM61" s="22">
        <f t="shared" si="19"/>
        <v>284.22037558191226</v>
      </c>
      <c r="EN61" s="60">
        <f t="shared" si="20"/>
        <v>577.55370891524558</v>
      </c>
      <c r="EO61" s="60">
        <f ca="1">AVERAGE(OFFSET($EN$3,0,0,'Données projet'!$E$15+1,1))-AVERAGE(OFFSET($H$3,0,0,'Données projet'!$E$15+1,1))</f>
        <v>120.18668518376586</v>
      </c>
      <c r="EP61" s="60">
        <f t="shared" si="46"/>
        <v>110.24821114898037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8">
        <f t="shared" si="1"/>
        <v>411.26297279225986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10.769230769230768</v>
      </c>
      <c r="N62" s="14">
        <f>IF('Données projet'!$A$36&gt;35,N61+M62-V61,IF(A62&lt;'Données projet'!$A$36,$K$205^A62,IF(A62='Données projet'!$A$36,'Données projet'!$B$36,N61+M62-V61)))</f>
        <v>307.69230769230762</v>
      </c>
      <c r="O62" s="14">
        <f>N62*VLOOKUP('Données projet'!$B$9,Paramètres!$A$1:$I$89,3,0)*VLOOKUP('Données projet'!$B$9,Paramètres!$A$1:$I$89,5,0)</f>
        <v>143.99999999999997</v>
      </c>
      <c r="P62" s="14">
        <f t="shared" si="33"/>
        <v>37.211841536720947</v>
      </c>
      <c r="Q62" s="22">
        <f t="shared" si="53"/>
        <v>315.61062400978892</v>
      </c>
      <c r="R62" s="60">
        <f t="shared" si="0"/>
        <v>608.94395734312229</v>
      </c>
      <c r="S62" s="60">
        <f ca="1">AVERAGE(OFFSET($R$3,0,0,'Données projet'!$E$9+1,1))-AVERAGE(OFFSET($H$3,0,0,'Données projet'!$E$9+1,1))</f>
        <v>106.50743833854523</v>
      </c>
      <c r="T62" s="60">
        <f t="shared" si="34"/>
        <v>47.606751325129608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0">
        <f t="shared" si="5"/>
        <v>740.51949446577237</v>
      </c>
      <c r="AN62" s="60">
        <f ca="1">AVERAGE(OFFSET($AM$3,0,0,'Données projet'!$E$10+1,1))-AVERAGE(OFFSET($H$3,0,0,'Données projet'!$E$10+1,1))</f>
        <v>247.65126267995316</v>
      </c>
      <c r="AO62" s="60">
        <f t="shared" si="36"/>
        <v>149.27472147904314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230.58360000000002</v>
      </c>
      <c r="BF62" s="14">
        <f t="shared" si="37"/>
        <v>56.408850878327968</v>
      </c>
      <c r="BG62" s="22">
        <f t="shared" si="7"/>
        <v>499.8451852797545</v>
      </c>
      <c r="BH62" s="60">
        <f t="shared" si="8"/>
        <v>793.17851861308782</v>
      </c>
      <c r="BI62" s="60">
        <f ca="1">AVERAGE(OFFSET($BH$3,0,0,'Données projet'!$E$11+1,1))-AVERAGE(OFFSET($H$3,0,0,'Données projet'!$E$11+1,1))</f>
        <v>294.2815419338562</v>
      </c>
      <c r="BJ62" s="60">
        <f t="shared" si="38"/>
        <v>173.99850582760712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14.833333333333334</v>
      </c>
      <c r="BY62" s="13">
        <f>IF('Données projet'!$A$114&gt;35,BY61+BX62-CG61,IF(A62&lt;'Données projet'!$A$114,$BV$205^A62,IF(A62='Données projet'!$A$114,'Données projet'!$B$114,BY61+BX62-CG61)))</f>
        <v>280.16666666666652</v>
      </c>
      <c r="BZ62" s="14">
        <f>BY62*VLOOKUP('Données projet'!$B$12,Paramètres!$A$1:$I$89,3,0)*VLOOKUP('Données projet'!$B$12,Paramètres!$A$1:$I$89,5,0)</f>
        <v>240.38299999999987</v>
      </c>
      <c r="CA62" s="14">
        <f t="shared" si="39"/>
        <v>58.521927148992098</v>
      </c>
      <c r="CB62" s="22">
        <f t="shared" si="10"/>
        <v>520.59274811782768</v>
      </c>
      <c r="CC62" s="60">
        <f t="shared" si="11"/>
        <v>813.92608145116105</v>
      </c>
      <c r="CD62" s="60">
        <f ca="1">AVERAGE(OFFSET($CC$3,0,0,'Données projet'!$E$12+1,1))-AVERAGE(OFFSET($H$3,0,0,'Données projet'!$E$12+1,1))</f>
        <v>317.48648551307656</v>
      </c>
      <c r="CE62" s="60">
        <f t="shared" si="40"/>
        <v>133.09277301479563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0">
        <f t="shared" si="14"/>
        <v>779.96582363222683</v>
      </c>
      <c r="CY62" s="60">
        <f ca="1">AVERAGE(OFFSET($CX$3,0,0,'Données projet'!$E$13+1,1))-AVERAGE(OFFSET($H$3,0,0,'Données projet'!$E$13+1,1))</f>
        <v>194.42056369374041</v>
      </c>
      <c r="CZ62" s="60">
        <f t="shared" si="42"/>
        <v>185.75045299455371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219.94127999999995</v>
      </c>
      <c r="DQ62" s="14">
        <f t="shared" si="43"/>
        <v>54.102123020446285</v>
      </c>
      <c r="DR62" s="22">
        <f t="shared" si="16"/>
        <v>477.29226026061059</v>
      </c>
      <c r="DS62" s="60">
        <f t="shared" si="17"/>
        <v>770.6255935939439</v>
      </c>
      <c r="DT62" s="60">
        <f ca="1">AVERAGE(OFFSET($DS$3,0,0,'Données projet'!$E$14+1,1))-AVERAGE(OFFSET($H$3,0,0,'Données projet'!$E$14+1,1))</f>
        <v>274.31056057602081</v>
      </c>
      <c r="DU62" s="60">
        <f t="shared" si="44"/>
        <v>163.41029152029387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4.8717948717948731</v>
      </c>
      <c r="EJ62" s="13">
        <f>IF('Données projet'!$A$192&gt;35,EJ61+EI62-ER61,IF(A62&lt;'Données projet'!$A$192,$EG$205^A62,IF(A62='Données projet'!$A$192,'Données projet'!$B$192,EJ61+EI62-ER61)))</f>
        <v>197.69230769230771</v>
      </c>
      <c r="EK62" s="18">
        <f>EJ62*VLOOKUP('Données projet'!$B$15,Paramètres!$A$1:$I$89,3,0)*VLOOKUP('Données projet'!$B$15,Paramètres!$A$1:$I$89,5,0)</f>
        <v>132.61199999999999</v>
      </c>
      <c r="EL62" s="14">
        <f t="shared" si="45"/>
        <v>34.599215281612537</v>
      </c>
      <c r="EM62" s="22">
        <f t="shared" si="19"/>
        <v>291.22619994880847</v>
      </c>
      <c r="EN62" s="60">
        <f t="shared" si="20"/>
        <v>584.55953328214173</v>
      </c>
      <c r="EO62" s="60">
        <f ca="1">AVERAGE(OFFSET($EN$3,0,0,'Données projet'!$E$15+1,1))-AVERAGE(OFFSET($H$3,0,0,'Données projet'!$E$15+1,1))</f>
        <v>120.18668518376586</v>
      </c>
      <c r="EP62" s="60">
        <f t="shared" si="46"/>
        <v>110.24821114898037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8">
        <f t="shared" si="1"/>
        <v>413.20899669140988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10.769230769230768</v>
      </c>
      <c r="N63" s="14">
        <f>IF('Données projet'!$A$36&gt;35,N62+M63-V62,IF(A63&lt;'Données projet'!$A$36,$K$205^A63,IF(A63='Données projet'!$A$36,'Données projet'!$B$36,N62+M63-V62)))</f>
        <v>318.4615384615384</v>
      </c>
      <c r="O63" s="14">
        <f>N63*VLOOKUP('Données projet'!$B$9,Paramètres!$A$1:$I$89,3,0)*VLOOKUP('Données projet'!$B$9,Paramètres!$A$1:$I$89,5,0)</f>
        <v>149.03999999999996</v>
      </c>
      <c r="P63" s="14">
        <f t="shared" si="33"/>
        <v>38.360340720309644</v>
      </c>
      <c r="Q63" s="22">
        <f t="shared" si="53"/>
        <v>326.38892675453917</v>
      </c>
      <c r="R63" s="60">
        <f t="shared" si="0"/>
        <v>619.72226008787243</v>
      </c>
      <c r="S63" s="60">
        <f ca="1">AVERAGE(OFFSET($R$3,0,0,'Données projet'!$E$9+1,1))-AVERAGE(OFFSET($H$3,0,0,'Données projet'!$E$9+1,1))</f>
        <v>106.50743833854523</v>
      </c>
      <c r="T63" s="60">
        <f t="shared" si="34"/>
        <v>47.606751325129608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0">
        <f t="shared" si="5"/>
        <v>755.11439815081053</v>
      </c>
      <c r="AN63" s="60">
        <f ca="1">AVERAGE(OFFSET($AM$3,0,0,'Données projet'!$E$10+1,1))-AVERAGE(OFFSET($H$3,0,0,'Données projet'!$E$10+1,1))</f>
        <v>247.65126267995316</v>
      </c>
      <c r="AO63" s="60">
        <f t="shared" si="36"/>
        <v>149.27472147904314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238.29000000000002</v>
      </c>
      <c r="BF63" s="14">
        <f t="shared" si="37"/>
        <v>58.071462681001513</v>
      </c>
      <c r="BG63" s="22">
        <f t="shared" si="7"/>
        <v>516.16288083607753</v>
      </c>
      <c r="BH63" s="60">
        <f t="shared" si="8"/>
        <v>809.49621416941091</v>
      </c>
      <c r="BI63" s="60">
        <f ca="1">AVERAGE(OFFSET($BH$3,0,0,'Données projet'!$E$11+1,1))-AVERAGE(OFFSET($H$3,0,0,'Données projet'!$E$11+1,1))</f>
        <v>294.2815419338562</v>
      </c>
      <c r="BJ63" s="60">
        <f t="shared" si="38"/>
        <v>173.99850582760712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295</v>
      </c>
      <c r="BW63" s="13">
        <f>VLOOKUP(A63,'Données projet'!$A$113:$I$133,9,0)</f>
        <v>14.833333333333334</v>
      </c>
      <c r="BX63" s="13">
        <f t="array" ref="BX63">INDEX(BW:BW,MIN(IF(ISNUMBER(BW63:BW259),ROW(BW63:BW259),"")))</f>
        <v>14.833333333333334</v>
      </c>
      <c r="BY63" s="13">
        <f>IF('Données projet'!$A$114&gt;35,BY62+BX63-CG62,IF(A63&lt;'Données projet'!$A$114,$BV$205^A63,IF(A63='Données projet'!$A$114,'Données projet'!$B$114,BY62+BX63-CG62)))</f>
        <v>294.99999999999983</v>
      </c>
      <c r="BZ63" s="14">
        <f>BY63*VLOOKUP('Données projet'!$B$12,Paramètres!$A$1:$I$89,3,0)*VLOOKUP('Données projet'!$B$12,Paramètres!$A$1:$I$89,5,0)</f>
        <v>253.10999999999987</v>
      </c>
      <c r="CA63" s="14">
        <f t="shared" si="39"/>
        <v>61.251420602177625</v>
      </c>
      <c r="CB63" s="22">
        <f t="shared" si="10"/>
        <v>547.51280754879247</v>
      </c>
      <c r="CC63" s="60">
        <f t="shared" si="11"/>
        <v>840.84614088212584</v>
      </c>
      <c r="CD63" s="60">
        <f ca="1">AVERAGE(OFFSET($CC$3,0,0,'Données projet'!$E$12+1,1))-AVERAGE(OFFSET($H$3,0,0,'Données projet'!$E$12+1,1))</f>
        <v>317.48648551307656</v>
      </c>
      <c r="CE63" s="60">
        <f t="shared" si="40"/>
        <v>133.09277301479563</v>
      </c>
      <c r="CF63" s="16">
        <f>IF(ISNA(VLOOKUP(A63,'Données projet'!$A$113:$I$133,3,0)),0,VLOOKUP(A63,'Données projet'!$A$113:$I$133,3,0))</f>
        <v>7</v>
      </c>
      <c r="CG63" s="16">
        <f>IF(ISNA(VLOOKUP(A63,'Données projet'!$A$113:$I$133,4,0)),0,VLOOKUP(A63,'Données projet'!$A$113:$I$133,4,0))</f>
        <v>61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0">
        <f t="shared" si="14"/>
        <v>795.45837960764743</v>
      </c>
      <c r="CY63" s="60">
        <f ca="1">AVERAGE(OFFSET($CX$3,0,0,'Données projet'!$E$13+1,1))-AVERAGE(OFFSET($H$3,0,0,'Données projet'!$E$13+1,1))</f>
        <v>194.42056369374041</v>
      </c>
      <c r="CZ63" s="60">
        <f t="shared" si="42"/>
        <v>185.75045299455371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227.292</v>
      </c>
      <c r="DQ63" s="14">
        <f t="shared" si="43"/>
        <v>55.6967456174837</v>
      </c>
      <c r="DR63" s="22">
        <f t="shared" si="16"/>
        <v>492.87206528378402</v>
      </c>
      <c r="DS63" s="60">
        <f t="shared" si="17"/>
        <v>786.20539861711734</v>
      </c>
      <c r="DT63" s="60">
        <f ca="1">AVERAGE(OFFSET($DS$3,0,0,'Données projet'!$E$14+1,1))-AVERAGE(OFFSET($H$3,0,0,'Données projet'!$E$14+1,1))</f>
        <v>274.31056057602081</v>
      </c>
      <c r="DU63" s="60">
        <f t="shared" si="44"/>
        <v>163.41029152029387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202.56410256410257</v>
      </c>
      <c r="EH63" s="13">
        <f>VLOOKUP(A63,'Données projet'!$A$191:$I$211,9,0)</f>
        <v>4.8717948717948731</v>
      </c>
      <c r="EI63" s="13">
        <f t="array" ref="EI63">INDEX(EH:EH,MIN(IF(ISNUMBER(EH63:EH259),ROW(EH63:EH259),"")))</f>
        <v>4.8717948717948731</v>
      </c>
      <c r="EJ63" s="13">
        <f>IF('Données projet'!$A$192&gt;35,EJ62+EI63-ER62,IF(A63&lt;'Données projet'!$A$192,$EG$205^A63,IF(A63='Données projet'!$A$192,'Données projet'!$B$192,EJ62+EI63-ER62)))</f>
        <v>202.56410256410257</v>
      </c>
      <c r="EK63" s="18">
        <f>EJ63*VLOOKUP('Données projet'!$B$15,Paramètres!$A$1:$I$89,3,0)*VLOOKUP('Données projet'!$B$15,Paramètres!$A$1:$I$89,5,0)</f>
        <v>135.88</v>
      </c>
      <c r="EL63" s="14">
        <f t="shared" si="45"/>
        <v>35.351536820589814</v>
      </c>
      <c r="EM63" s="22">
        <f t="shared" si="19"/>
        <v>298.22825996252726</v>
      </c>
      <c r="EN63" s="60">
        <f t="shared" si="20"/>
        <v>591.56159329586058</v>
      </c>
      <c r="EO63" s="60">
        <f ca="1">AVERAGE(OFFSET($EN$3,0,0,'Données projet'!$E$15+1,1))-AVERAGE(OFFSET($H$3,0,0,'Données projet'!$E$15+1,1))</f>
        <v>120.18668518376586</v>
      </c>
      <c r="EP63" s="60">
        <f t="shared" si="46"/>
        <v>110.24821114898037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26.282051282051281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8">
        <f t="shared" si="1"/>
        <v>415.15425047232054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10.769230769230768</v>
      </c>
      <c r="N64" s="14">
        <f>IF('Données projet'!$A$36&gt;35,N63+M64-V63,IF(A64&lt;'Données projet'!$A$36,$K$205^A64,IF(A64='Données projet'!$A$36,'Données projet'!$B$36,N63+M64-V63)))</f>
        <v>329.23076923076917</v>
      </c>
      <c r="O64" s="14">
        <f>N64*VLOOKUP('Données projet'!$B$9,Paramètres!$A$1:$I$89,3,0)*VLOOKUP('Données projet'!$B$9,Paramètres!$A$1:$I$89,5,0)</f>
        <v>154.07999999999998</v>
      </c>
      <c r="P64" s="14">
        <f t="shared" si="33"/>
        <v>39.504327121889922</v>
      </c>
      <c r="Q64" s="22">
        <f t="shared" si="53"/>
        <v>337.15936973729157</v>
      </c>
      <c r="R64" s="60">
        <f t="shared" si="0"/>
        <v>630.49270307062488</v>
      </c>
      <c r="S64" s="60">
        <f ca="1">AVERAGE(OFFSET($R$3,0,0,'Données projet'!$E$9+1,1))-AVERAGE(OFFSET($H$3,0,0,'Données projet'!$E$9+1,1))</f>
        <v>106.50743833854523</v>
      </c>
      <c r="T64" s="60">
        <f t="shared" si="34"/>
        <v>47.606751325129608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0">
        <f t="shared" si="5"/>
        <v>688.19859268339724</v>
      </c>
      <c r="AN64" s="60">
        <f ca="1">AVERAGE(OFFSET($AM$3,0,0,'Données projet'!$E$10+1,1))-AVERAGE(OFFSET($H$3,0,0,'Données projet'!$E$10+1,1))</f>
        <v>247.65126267995316</v>
      </c>
      <c r="AO64" s="60">
        <f t="shared" si="36"/>
        <v>149.27472147904314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203.00279999999995</v>
      </c>
      <c r="BF64" s="14">
        <f t="shared" si="37"/>
        <v>50.403518824343074</v>
      </c>
      <c r="BG64" s="22">
        <f t="shared" si="7"/>
        <v>441.3493386190641</v>
      </c>
      <c r="BH64" s="60">
        <f t="shared" si="8"/>
        <v>734.68267195239741</v>
      </c>
      <c r="BI64" s="60">
        <f ca="1">AVERAGE(OFFSET($BH$3,0,0,'Données projet'!$E$11+1,1))-AVERAGE(OFFSET($H$3,0,0,'Données projet'!$E$11+1,1))</f>
        <v>294.2815419338562</v>
      </c>
      <c r="BJ64" s="60">
        <f t="shared" si="38"/>
        <v>173.99850582760712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13.777777777777779</v>
      </c>
      <c r="BY64" s="13">
        <f>IF('Données projet'!$A$114&gt;35,BY63+BX64-CG63,IF(A64&lt;'Données projet'!$A$114,$BV$205^A64,IF(A64='Données projet'!$A$114,'Données projet'!$B$114,BY63+BX64-CG63)))</f>
        <v>247.7777777777776</v>
      </c>
      <c r="BZ64" s="14">
        <f>BY64*VLOOKUP('Données projet'!$B$12,Paramètres!$A$1:$I$89,3,0)*VLOOKUP('Données projet'!$B$12,Paramètres!$A$1:$I$89,5,0)</f>
        <v>212.59333333333319</v>
      </c>
      <c r="CA64" s="14">
        <f t="shared" si="39"/>
        <v>52.501888831663351</v>
      </c>
      <c r="CB64" s="22">
        <f t="shared" si="10"/>
        <v>461.70751193736891</v>
      </c>
      <c r="CC64" s="60">
        <f t="shared" si="11"/>
        <v>755.04084527070222</v>
      </c>
      <c r="CD64" s="60">
        <f ca="1">AVERAGE(OFFSET($CC$3,0,0,'Données projet'!$E$12+1,1))-AVERAGE(OFFSET($H$3,0,0,'Données projet'!$E$12+1,1))</f>
        <v>317.48648551307656</v>
      </c>
      <c r="CE64" s="60">
        <f t="shared" si="40"/>
        <v>133.09277301479563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0">
        <f t="shared" si="14"/>
        <v>732.04308237573878</v>
      </c>
      <c r="CY64" s="60">
        <f ca="1">AVERAGE(OFFSET($CX$3,0,0,'Données projet'!$E$13+1,1))-AVERAGE(OFFSET($H$3,0,0,'Données projet'!$E$13+1,1))</f>
        <v>194.42056369374041</v>
      </c>
      <c r="CZ64" s="60">
        <f t="shared" si="42"/>
        <v>185.75045299455371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193.63343999999998</v>
      </c>
      <c r="DQ64" s="14">
        <f t="shared" si="43"/>
        <v>48.342367086681229</v>
      </c>
      <c r="DR64" s="22">
        <f t="shared" si="16"/>
        <v>421.44119734263637</v>
      </c>
      <c r="DS64" s="60">
        <f t="shared" si="17"/>
        <v>714.77453067596969</v>
      </c>
      <c r="DT64" s="60">
        <f ca="1">AVERAGE(OFFSET($DS$3,0,0,'Données projet'!$E$14+1,1))-AVERAGE(OFFSET($H$3,0,0,'Données projet'!$E$14+1,1))</f>
        <v>274.31056057602081</v>
      </c>
      <c r="DU64" s="60">
        <f t="shared" si="44"/>
        <v>163.41029152029387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4.4871794871794801</v>
      </c>
      <c r="EJ64" s="13">
        <f>IF('Données projet'!$A$192&gt;35,EJ63+EI64-ER63,IF(A64&lt;'Données projet'!$A$192,$EG$205^A64,IF(A64='Données projet'!$A$192,'Données projet'!$B$192,EJ63+EI64-ER63)))</f>
        <v>180.76923076923077</v>
      </c>
      <c r="EK64" s="18">
        <f>EJ64*VLOOKUP('Données projet'!$B$15,Paramètres!$A$1:$I$89,3,0)*VLOOKUP('Données projet'!$B$15,Paramètres!$A$1:$I$89,5,0)</f>
        <v>121.25999999999999</v>
      </c>
      <c r="EL64" s="14">
        <f t="shared" si="45"/>
        <v>31.968694713827716</v>
      </c>
      <c r="EM64" s="22">
        <f t="shared" si="19"/>
        <v>266.87330995991658</v>
      </c>
      <c r="EN64" s="60">
        <f t="shared" si="20"/>
        <v>560.20664329324995</v>
      </c>
      <c r="EO64" s="60">
        <f ca="1">AVERAGE(OFFSET($EN$3,0,0,'Données projet'!$E$15+1,1))-AVERAGE(OFFSET($H$3,0,0,'Données projet'!$E$15+1,1))</f>
        <v>120.18668518376586</v>
      </c>
      <c r="EP64" s="60">
        <f t="shared" si="46"/>
        <v>110.24821114898037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8">
        <f t="shared" si="1"/>
        <v>417.09874821725015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10.769230769230768</v>
      </c>
      <c r="N65" s="14">
        <f>IF('Données projet'!$A$36&gt;35,N64+M65-V64,IF(A65&lt;'Données projet'!$A$36,$K$205^A65,IF(A65='Données projet'!$A$36,'Données projet'!$B$36,N64+M65-V64)))</f>
        <v>339.99999999999994</v>
      </c>
      <c r="O65" s="14">
        <f>N65*VLOOKUP('Données projet'!$B$9,Paramètres!$A$1:$I$89,3,0)*VLOOKUP('Données projet'!$B$9,Paramètres!$A$1:$I$89,5,0)</f>
        <v>159.11999999999998</v>
      </c>
      <c r="P65" s="14">
        <f t="shared" si="33"/>
        <v>40.643965284387697</v>
      </c>
      <c r="Q65" s="22">
        <f t="shared" si="53"/>
        <v>347.92223953697516</v>
      </c>
      <c r="R65" s="60">
        <f t="shared" si="0"/>
        <v>641.25557287030847</v>
      </c>
      <c r="S65" s="60">
        <f ca="1">AVERAGE(OFFSET($R$3,0,0,'Données projet'!$E$9+1,1))-AVERAGE(OFFSET($H$3,0,0,'Données projet'!$E$9+1,1))</f>
        <v>106.50743833854523</v>
      </c>
      <c r="T65" s="60">
        <f t="shared" si="34"/>
        <v>47.606751325129608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0">
        <f t="shared" si="5"/>
        <v>702.06203699024263</v>
      </c>
      <c r="AN65" s="60">
        <f ca="1">AVERAGE(OFFSET($AM$3,0,0,'Données projet'!$E$10+1,1))-AVERAGE(OFFSET($H$3,0,0,'Données projet'!$E$10+1,1))</f>
        <v>247.65126267995316</v>
      </c>
      <c r="AO65" s="60">
        <f t="shared" si="36"/>
        <v>149.27472147904314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210.30359999999996</v>
      </c>
      <c r="BF65" s="14">
        <f t="shared" si="37"/>
        <v>52.001924357524459</v>
      </c>
      <c r="BG65" s="22">
        <f t="shared" si="7"/>
        <v>456.84878825602163</v>
      </c>
      <c r="BH65" s="60">
        <f t="shared" si="8"/>
        <v>750.18212158935489</v>
      </c>
      <c r="BI65" s="60">
        <f ca="1">AVERAGE(OFFSET($BH$3,0,0,'Données projet'!$E$11+1,1))-AVERAGE(OFFSET($H$3,0,0,'Données projet'!$E$11+1,1))</f>
        <v>294.2815419338562</v>
      </c>
      <c r="BJ65" s="60">
        <f t="shared" si="38"/>
        <v>173.99850582760712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13.777777777777779</v>
      </c>
      <c r="BY65" s="13">
        <f>IF('Données projet'!$A$114&gt;35,BY64+BX65-CG64,IF(A65&lt;'Données projet'!$A$114,$BV$205^A65,IF(A65='Données projet'!$A$114,'Données projet'!$B$114,BY64+BX65-CG64)))</f>
        <v>261.55555555555537</v>
      </c>
      <c r="BZ65" s="14">
        <f>BY65*VLOOKUP('Données projet'!$B$12,Paramètres!$A$1:$I$89,3,0)*VLOOKUP('Données projet'!$B$12,Paramètres!$A$1:$I$89,5,0)</f>
        <v>224.41466666666653</v>
      </c>
      <c r="CA65" s="14">
        <f t="shared" si="39"/>
        <v>55.073279400945509</v>
      </c>
      <c r="CB65" s="22">
        <f t="shared" si="10"/>
        <v>486.77483940109096</v>
      </c>
      <c r="CC65" s="60">
        <f t="shared" si="11"/>
        <v>780.10817273442422</v>
      </c>
      <c r="CD65" s="60">
        <f ca="1">AVERAGE(OFFSET($CC$3,0,0,'Données projet'!$E$12+1,1))-AVERAGE(OFFSET($H$3,0,0,'Données projet'!$E$12+1,1))</f>
        <v>317.48648551307656</v>
      </c>
      <c r="CE65" s="60">
        <f t="shared" si="40"/>
        <v>133.09277301479563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0">
        <f t="shared" si="14"/>
        <v>746.39662841975462</v>
      </c>
      <c r="CY65" s="60">
        <f ca="1">AVERAGE(OFFSET($CX$3,0,0,'Données projet'!$E$13+1,1))-AVERAGE(OFFSET($H$3,0,0,'Données projet'!$E$13+1,1))</f>
        <v>194.42056369374041</v>
      </c>
      <c r="CZ65" s="60">
        <f t="shared" si="42"/>
        <v>185.75045299455371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200.59727999999996</v>
      </c>
      <c r="DQ65" s="14">
        <f t="shared" si="43"/>
        <v>49.875409002022977</v>
      </c>
      <c r="DR65" s="22">
        <f t="shared" si="16"/>
        <v>436.23993334518991</v>
      </c>
      <c r="DS65" s="60">
        <f t="shared" si="17"/>
        <v>729.57326667852317</v>
      </c>
      <c r="DT65" s="60">
        <f ca="1">AVERAGE(OFFSET($DS$3,0,0,'Données projet'!$E$14+1,1))-AVERAGE(OFFSET($H$3,0,0,'Données projet'!$E$14+1,1))</f>
        <v>274.31056057602081</v>
      </c>
      <c r="DU65" s="60">
        <f t="shared" si="44"/>
        <v>163.41029152029387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4.4871794871794801</v>
      </c>
      <c r="EJ65" s="13">
        <f>IF('Données projet'!$A$192&gt;35,EJ64+EI65-ER64,IF(A65&lt;'Données projet'!$A$192,$EG$205^A65,IF(A65='Données projet'!$A$192,'Données projet'!$B$192,EJ64+EI65-ER64)))</f>
        <v>185.25641025641025</v>
      </c>
      <c r="EK65" s="18">
        <f>EJ65*VLOOKUP('Données projet'!$B$15,Paramètres!$A$1:$I$89,3,0)*VLOOKUP('Données projet'!$B$15,Paramètres!$A$1:$I$89,5,0)</f>
        <v>124.27</v>
      </c>
      <c r="EL65" s="14">
        <f t="shared" si="45"/>
        <v>32.668871006084437</v>
      </c>
      <c r="EM65" s="22">
        <f t="shared" si="19"/>
        <v>273.33520033559711</v>
      </c>
      <c r="EN65" s="60">
        <f t="shared" si="20"/>
        <v>566.66853366893042</v>
      </c>
      <c r="EO65" s="60">
        <f ca="1">AVERAGE(OFFSET($EN$3,0,0,'Données projet'!$E$15+1,1))-AVERAGE(OFFSET($H$3,0,0,'Données projet'!$E$15+1,1))</f>
        <v>120.18668518376586</v>
      </c>
      <c r="EP65" s="60">
        <f t="shared" si="46"/>
        <v>110.24821114898037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8">
        <f t="shared" si="1"/>
        <v>419.04250352814091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350.76923076923077</v>
      </c>
      <c r="L66" s="13">
        <f>VLOOKUP(A66,'Données projet'!$A$35:$I$55,9,0)</f>
        <v>10.769230769230768</v>
      </c>
      <c r="M66" s="13">
        <f t="array" ref="M66">INDEX(L:L,MIN(IF(ISNUMBER(L66:L262),ROW(L66:L262),"")))</f>
        <v>10.769230769230768</v>
      </c>
      <c r="N66" s="14">
        <f>IF('Données projet'!$A$36&gt;35,N65+M66-V65,IF(A66&lt;'Données projet'!$A$36,$K$205^A66,IF(A66='Données projet'!$A$36,'Données projet'!$B$36,N65+M66-V65)))</f>
        <v>350.76923076923072</v>
      </c>
      <c r="O66" s="14">
        <f>N66*VLOOKUP('Données projet'!$B$9,Paramètres!$A$1:$I$89,3,0)*VLOOKUP('Données projet'!$B$9,Paramètres!$A$1:$I$89,5,0)</f>
        <v>164.15999999999997</v>
      </c>
      <c r="P66" s="14">
        <f t="shared" si="33"/>
        <v>41.779408735262933</v>
      </c>
      <c r="Q66" s="22">
        <f t="shared" si="53"/>
        <v>358.67780354724954</v>
      </c>
      <c r="R66" s="60">
        <f t="shared" si="0"/>
        <v>652.01113688058285</v>
      </c>
      <c r="S66" s="60">
        <f ca="1">AVERAGE(OFFSET($R$3,0,0,'Données projet'!$E$9+1,1))-AVERAGE(OFFSET($H$3,0,0,'Données projet'!$E$9+1,1))</f>
        <v>106.50743833854523</v>
      </c>
      <c r="T66" s="60">
        <f t="shared" si="34"/>
        <v>47.606751325129608</v>
      </c>
      <c r="U66" s="16">
        <f>IF(ISNA(VLOOKUP(A66,'Données projet'!$A$35:$I$55,3,0)),0,VLOOKUP(A66,'Données projet'!$A$35:$I$55,3,0))</f>
        <v>2</v>
      </c>
      <c r="V66" s="16">
        <f>IF(ISNA(VLOOKUP(A66,'Données projet'!$A$35:$I$55,4,0)),0,VLOOKUP(A66,'Données projet'!$A$35:$I$55,4,0))</f>
        <v>108.46153846153845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0">
        <f t="shared" si="5"/>
        <v>715.91532773426115</v>
      </c>
      <c r="AN66" s="60">
        <f ca="1">AVERAGE(OFFSET($AM$3,0,0,'Données projet'!$E$10+1,1))-AVERAGE(OFFSET($H$3,0,0,'Données projet'!$E$10+1,1))</f>
        <v>247.65126267995316</v>
      </c>
      <c r="AO66" s="60">
        <f t="shared" si="36"/>
        <v>149.27472147904314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217.60439999999994</v>
      </c>
      <c r="BF66" s="14">
        <f t="shared" si="37"/>
        <v>53.593882578706356</v>
      </c>
      <c r="BG66" s="22">
        <f t="shared" si="7"/>
        <v>472.33700882458015</v>
      </c>
      <c r="BH66" s="60">
        <f t="shared" si="8"/>
        <v>765.67034215791341</v>
      </c>
      <c r="BI66" s="60">
        <f ca="1">AVERAGE(OFFSET($BH$3,0,0,'Données projet'!$E$11+1,1))-AVERAGE(OFFSET($H$3,0,0,'Données projet'!$E$11+1,1))</f>
        <v>294.2815419338562</v>
      </c>
      <c r="BJ66" s="60">
        <f t="shared" si="38"/>
        <v>173.99850582760712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13.777777777777779</v>
      </c>
      <c r="BY66" s="13">
        <f>IF('Données projet'!$A$114&gt;35,BY65+BX66-CG65,IF(A66&lt;'Données projet'!$A$114,$BV$205^A66,IF(A66='Données projet'!$A$114,'Données projet'!$B$114,BY65+BX66-CG65)))</f>
        <v>275.33333333333314</v>
      </c>
      <c r="BZ66" s="14">
        <f>BY66*VLOOKUP('Données projet'!$B$12,Paramètres!$A$1:$I$89,3,0)*VLOOKUP('Données projet'!$B$12,Paramètres!$A$1:$I$89,5,0)</f>
        <v>236.23599999999988</v>
      </c>
      <c r="CA66" s="14">
        <f t="shared" si="39"/>
        <v>57.628943995616872</v>
      </c>
      <c r="CB66" s="22">
        <f t="shared" si="10"/>
        <v>511.81477745903248</v>
      </c>
      <c r="CC66" s="60">
        <f t="shared" si="11"/>
        <v>805.14811079236574</v>
      </c>
      <c r="CD66" s="60">
        <f ca="1">AVERAGE(OFFSET($CC$3,0,0,'Données projet'!$E$12+1,1))-AVERAGE(OFFSET($H$3,0,0,'Données projet'!$E$12+1,1))</f>
        <v>317.48648551307656</v>
      </c>
      <c r="CE66" s="60">
        <f t="shared" si="40"/>
        <v>133.09277301479563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0">
        <f t="shared" si="14"/>
        <v>760.74045566531913</v>
      </c>
      <c r="CY66" s="60">
        <f ca="1">AVERAGE(OFFSET($CX$3,0,0,'Données projet'!$E$13+1,1))-AVERAGE(OFFSET($H$3,0,0,'Données projet'!$E$13+1,1))</f>
        <v>194.42056369374041</v>
      </c>
      <c r="CZ66" s="60">
        <f t="shared" si="42"/>
        <v>185.75045299455371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207.56111999999996</v>
      </c>
      <c r="DQ66" s="14">
        <f t="shared" si="43"/>
        <v>51.40226725537714</v>
      </c>
      <c r="DR66" s="22">
        <f t="shared" si="16"/>
        <v>451.02789946978169</v>
      </c>
      <c r="DS66" s="60">
        <f t="shared" si="17"/>
        <v>744.36123280311494</v>
      </c>
      <c r="DT66" s="60">
        <f ca="1">AVERAGE(OFFSET($DS$3,0,0,'Données projet'!$E$14+1,1))-AVERAGE(OFFSET($H$3,0,0,'Données projet'!$E$14+1,1))</f>
        <v>274.31056057602081</v>
      </c>
      <c r="DU66" s="60">
        <f t="shared" si="44"/>
        <v>163.41029152029387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4.4871794871794801</v>
      </c>
      <c r="EJ66" s="13">
        <f>IF('Données projet'!$A$192&gt;35,EJ65+EI66-ER65,IF(A66&lt;'Données projet'!$A$192,$EG$205^A66,IF(A66='Données projet'!$A$192,'Données projet'!$B$192,EJ65+EI66-ER65)))</f>
        <v>189.74358974358972</v>
      </c>
      <c r="EK66" s="18">
        <f>EJ66*VLOOKUP('Données projet'!$B$15,Paramètres!$A$1:$I$89,3,0)*VLOOKUP('Données projet'!$B$15,Paramètres!$A$1:$I$89,5,0)</f>
        <v>127.27999999999999</v>
      </c>
      <c r="EL66" s="14">
        <f t="shared" si="45"/>
        <v>33.367075813758639</v>
      </c>
      <c r="EM66" s="22">
        <f t="shared" si="19"/>
        <v>279.79365704229622</v>
      </c>
      <c r="EN66" s="60">
        <f t="shared" si="20"/>
        <v>573.12699037562948</v>
      </c>
      <c r="EO66" s="60">
        <f ca="1">AVERAGE(OFFSET($EN$3,0,0,'Données projet'!$E$15+1,1))-AVERAGE(OFFSET($H$3,0,0,'Données projet'!$E$15+1,1))</f>
        <v>120.18668518376586</v>
      </c>
      <c r="EP66" s="60">
        <f t="shared" si="46"/>
        <v>110.24821114898037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8">
        <f t="shared" si="1"/>
        <v>420.98552955036087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9.8717948717948705</v>
      </c>
      <c r="N67" s="14">
        <f>IF('Données projet'!$A$36&gt;35,N66+M67-V66,IF(A67&lt;'Données projet'!$A$36,$K$205^A67,IF(A67='Données projet'!$A$36,'Données projet'!$B$36,N66+M67-V66)))</f>
        <v>252.17948717948713</v>
      </c>
      <c r="O67" s="14">
        <f>N67*VLOOKUP('Données projet'!$B$9,Paramètres!$A$1:$I$89,3,0)*VLOOKUP('Données projet'!$B$9,Paramètres!$A$1:$I$89,5,0)</f>
        <v>118.01999999999998</v>
      </c>
      <c r="P67" s="14">
        <f t="shared" si="33"/>
        <v>31.212750593480965</v>
      </c>
      <c r="Q67" s="22">
        <f t="shared" ref="Q67:Q98" si="54">(O67+P67)*0.475*44/12</f>
        <v>259.91370728364598</v>
      </c>
      <c r="R67" s="60">
        <f t="shared" ref="R67:R130" si="55">Q67+(I67+J67)*44/12</f>
        <v>553.24704061697935</v>
      </c>
      <c r="S67" s="60">
        <f ca="1">AVERAGE(OFFSET($R$3,0,0,'Données projet'!$E$9+1,1))-AVERAGE(OFFSET($H$3,0,0,'Données projet'!$E$9+1,1))</f>
        <v>106.50743833854523</v>
      </c>
      <c r="T67" s="60">
        <f t="shared" si="34"/>
        <v>47.606751325129608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0">
        <f t="shared" si="5"/>
        <v>729.75884463141938</v>
      </c>
      <c r="AN67" s="60">
        <f ca="1">AVERAGE(OFFSET($AM$3,0,0,'Données projet'!$E$10+1,1))-AVERAGE(OFFSET($H$3,0,0,'Données projet'!$E$10+1,1))</f>
        <v>247.65126267995316</v>
      </c>
      <c r="AO67" s="60">
        <f t="shared" si="36"/>
        <v>149.27472147904314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224.90519999999995</v>
      </c>
      <c r="BF67" s="14">
        <f t="shared" si="37"/>
        <v>55.17963460003309</v>
      </c>
      <c r="BG67" s="22">
        <f t="shared" si="7"/>
        <v>487.81442026172425</v>
      </c>
      <c r="BH67" s="60">
        <f t="shared" si="8"/>
        <v>781.14775359505757</v>
      </c>
      <c r="BI67" s="60">
        <f ca="1">AVERAGE(OFFSET($BH$3,0,0,'Données projet'!$E$11+1,1))-AVERAGE(OFFSET($H$3,0,0,'Données projet'!$E$11+1,1))</f>
        <v>294.2815419338562</v>
      </c>
      <c r="BJ67" s="60">
        <f t="shared" si="38"/>
        <v>173.99850582760712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13.777777777777779</v>
      </c>
      <c r="BY67" s="13">
        <f>IF('Données projet'!$A$114&gt;35,BY66+BX67-CG66,IF(A67&lt;'Données projet'!$A$114,$BV$205^A67,IF(A67='Données projet'!$A$114,'Données projet'!$B$114,BY66+BX67-CG66)))</f>
        <v>289.11111111111092</v>
      </c>
      <c r="BZ67" s="14">
        <f>BY67*VLOOKUP('Données projet'!$B$12,Paramètres!$A$1:$I$89,3,0)*VLOOKUP('Données projet'!$B$12,Paramètres!$A$1:$I$89,5,0)</f>
        <v>248.05733333333319</v>
      </c>
      <c r="CA67" s="14">
        <f t="shared" si="39"/>
        <v>60.169759343876592</v>
      </c>
      <c r="CB67" s="22">
        <f t="shared" si="10"/>
        <v>536.82885307947356</v>
      </c>
      <c r="CC67" s="60">
        <f t="shared" si="11"/>
        <v>830.16218641280693</v>
      </c>
      <c r="CD67" s="60">
        <f ca="1">AVERAGE(OFFSET($CC$3,0,0,'Données projet'!$E$12+1,1))-AVERAGE(OFFSET($H$3,0,0,'Données projet'!$E$12+1,1))</f>
        <v>317.48648551307656</v>
      </c>
      <c r="CE67" s="60">
        <f t="shared" si="40"/>
        <v>133.09277301479563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0">
        <f t="shared" si="14"/>
        <v>775.07490430656617</v>
      </c>
      <c r="CY67" s="60">
        <f ca="1">AVERAGE(OFFSET($CX$3,0,0,'Données projet'!$E$13+1,1))-AVERAGE(OFFSET($H$3,0,0,'Données projet'!$E$13+1,1))</f>
        <v>194.42056369374041</v>
      </c>
      <c r="CZ67" s="60">
        <f t="shared" si="42"/>
        <v>185.75045299455371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214.52495999999994</v>
      </c>
      <c r="DQ67" s="14">
        <f t="shared" si="43"/>
        <v>52.923173099085716</v>
      </c>
      <c r="DR67" s="22">
        <f t="shared" si="16"/>
        <v>465.80549848090754</v>
      </c>
      <c r="DS67" s="60">
        <f t="shared" si="17"/>
        <v>759.1388318142408</v>
      </c>
      <c r="DT67" s="60">
        <f ca="1">AVERAGE(OFFSET($DS$3,0,0,'Données projet'!$E$14+1,1))-AVERAGE(OFFSET($H$3,0,0,'Données projet'!$E$14+1,1))</f>
        <v>274.31056057602081</v>
      </c>
      <c r="DU67" s="60">
        <f t="shared" si="44"/>
        <v>163.41029152029387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4.4871794871794801</v>
      </c>
      <c r="EJ67" s="13">
        <f>IF('Données projet'!$A$192&gt;35,EJ66+EI67-ER66,IF(A67&lt;'Données projet'!$A$192,$EG$205^A67,IF(A67='Données projet'!$A$192,'Données projet'!$B$192,EJ66+EI67-ER66)))</f>
        <v>194.2307692307692</v>
      </c>
      <c r="EK67" s="18">
        <f>EJ67*VLOOKUP('Données projet'!$B$15,Paramètres!$A$1:$I$89,3,0)*VLOOKUP('Données projet'!$B$15,Paramètres!$A$1:$I$89,5,0)</f>
        <v>130.29</v>
      </c>
      <c r="EL67" s="14">
        <f t="shared" si="45"/>
        <v>34.063361124931106</v>
      </c>
      <c r="EM67" s="22">
        <f t="shared" si="19"/>
        <v>286.24877062592162</v>
      </c>
      <c r="EN67" s="60">
        <f t="shared" si="20"/>
        <v>579.58210395925494</v>
      </c>
      <c r="EO67" s="60">
        <f ca="1">AVERAGE(OFFSET($EN$3,0,0,'Données projet'!$E$15+1,1))-AVERAGE(OFFSET($H$3,0,0,'Données projet'!$E$15+1,1))</f>
        <v>120.18668518376586</v>
      </c>
      <c r="EP67" s="60">
        <f t="shared" si="46"/>
        <v>110.24821114898037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8">
        <f t="shared" ref="H68:H131" si="56">(B68+E68+F68)*44/12+(C68+D68)*0.475*44/12</f>
        <v>422.92783899491928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9.8717948717948705</v>
      </c>
      <c r="N68" s="14">
        <f>IF('Données projet'!$A$36&gt;35,N67+M68-V67,IF(A68&lt;'Données projet'!$A$36,$K$205^A68,IF(A68='Données projet'!$A$36,'Données projet'!$B$36,N67+M68-V67)))</f>
        <v>262.05128205128199</v>
      </c>
      <c r="O68" s="14">
        <f>N68*VLOOKUP('Données projet'!$B$9,Paramètres!$A$1:$I$89,3,0)*VLOOKUP('Données projet'!$B$9,Paramètres!$A$1:$I$89,5,0)</f>
        <v>122.63999999999997</v>
      </c>
      <c r="P68" s="14">
        <f t="shared" si="33"/>
        <v>32.289953931572668</v>
      </c>
      <c r="Q68" s="22">
        <f t="shared" si="54"/>
        <v>269.83633643082231</v>
      </c>
      <c r="R68" s="60">
        <f t="shared" si="55"/>
        <v>563.16966976415563</v>
      </c>
      <c r="S68" s="60">
        <f ca="1">AVERAGE(OFFSET($R$3,0,0,'Données projet'!$E$9+1,1))-AVERAGE(OFFSET($H$3,0,0,'Données projet'!$E$9+1,1))</f>
        <v>106.50743833854523</v>
      </c>
      <c r="T68" s="60">
        <f t="shared" si="34"/>
        <v>47.606751325129608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0">
        <f t="shared" ref="AM68:AM131" si="59">AL68+(AD68+AE68)*44/12</f>
        <v>743.59294134580057</v>
      </c>
      <c r="AN68" s="60">
        <f ca="1">AVERAGE(OFFSET($AM$3,0,0,'Données projet'!$E$10+1,1))-AVERAGE(OFFSET($H$3,0,0,'Données projet'!$E$10+1,1))</f>
        <v>247.65126267995316</v>
      </c>
      <c r="AO68" s="60">
        <f t="shared" si="36"/>
        <v>149.27472147904314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232.2059999999999</v>
      </c>
      <c r="BF68" s="14">
        <f t="shared" si="37"/>
        <v>56.759404991217522</v>
      </c>
      <c r="BG68" s="22">
        <f t="shared" ref="BG68:BG131" si="61">(BE68+BF68)*0.475*44/12</f>
        <v>503.281413693037</v>
      </c>
      <c r="BH68" s="60">
        <f t="shared" ref="BH68:BH131" si="62">BG68+(AY68+AZ68)*44/12</f>
        <v>796.61474702637031</v>
      </c>
      <c r="BI68" s="60">
        <f ca="1">AVERAGE(OFFSET($BH$3,0,0,'Données projet'!$E$11+1,1))-AVERAGE(OFFSET($H$3,0,0,'Données projet'!$E$11+1,1))</f>
        <v>294.2815419338562</v>
      </c>
      <c r="BJ68" s="60">
        <f t="shared" si="38"/>
        <v>173.99850582760712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13.777777777777779</v>
      </c>
      <c r="BY68" s="13">
        <f>IF('Données projet'!$A$114&gt;35,BY67+BX68-CG67,IF(A68&lt;'Données projet'!$A$114,$BV$205^A68,IF(A68='Données projet'!$A$114,'Données projet'!$B$114,BY67+BX68-CG67)))</f>
        <v>302.88888888888869</v>
      </c>
      <c r="BZ68" s="14">
        <f>BY68*VLOOKUP('Données projet'!$B$12,Paramètres!$A$1:$I$89,3,0)*VLOOKUP('Données projet'!$B$12,Paramètres!$A$1:$I$89,5,0)</f>
        <v>259.8786666666665</v>
      </c>
      <c r="CA68" s="14">
        <f t="shared" si="39"/>
        <v>62.69651389011603</v>
      </c>
      <c r="CB68" s="22">
        <f t="shared" ref="CB68:CB131" si="64">(BZ68+CA68)*0.475*44/12</f>
        <v>561.81843946972958</v>
      </c>
      <c r="CC68" s="60">
        <f t="shared" ref="CC68:CC131" si="65">CB68+(BT68+BU68)*44/12</f>
        <v>855.15177280306284</v>
      </c>
      <c r="CD68" s="60">
        <f ca="1">AVERAGE(OFFSET($CC$3,0,0,'Données projet'!$E$12+1,1))-AVERAGE(OFFSET($H$3,0,0,'Données projet'!$E$12+1,1))</f>
        <v>317.48648551307656</v>
      </c>
      <c r="CE68" s="60">
        <f t="shared" si="40"/>
        <v>133.09277301479563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0">
        <f t="shared" ref="CX68:CX131" si="68">CW68+(CO68+CP68)*44/12</f>
        <v>789.40029264619625</v>
      </c>
      <c r="CY68" s="60">
        <f ca="1">AVERAGE(OFFSET($CX$3,0,0,'Données projet'!$E$13+1,1))-AVERAGE(OFFSET($H$3,0,0,'Données projet'!$E$13+1,1))</f>
        <v>194.42056369374041</v>
      </c>
      <c r="CZ68" s="60">
        <f t="shared" si="42"/>
        <v>185.75045299455371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221.48879999999991</v>
      </c>
      <c r="DQ68" s="14">
        <f t="shared" si="43"/>
        <v>54.43834191952984</v>
      </c>
      <c r="DR68" s="22">
        <f t="shared" ref="DR68:DR131" si="70">(DP68+DQ68)*0.475*44/12</f>
        <v>480.57310550984766</v>
      </c>
      <c r="DS68" s="60">
        <f t="shared" ref="DS68:DS131" si="71">DR68+(DJ68+DK68)*44/12</f>
        <v>773.90643884318092</v>
      </c>
      <c r="DT68" s="60">
        <f ca="1">AVERAGE(OFFSET($DS$3,0,0,'Données projet'!$E$14+1,1))-AVERAGE(OFFSET($H$3,0,0,'Données projet'!$E$14+1,1))</f>
        <v>274.31056057602081</v>
      </c>
      <c r="DU68" s="60">
        <f t="shared" si="44"/>
        <v>163.41029152029387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198.7179487179487</v>
      </c>
      <c r="EH68" s="13">
        <f>VLOOKUP(A68,'Données projet'!$A$191:$I$211,9,0)</f>
        <v>4.4871794871794801</v>
      </c>
      <c r="EI68" s="13">
        <f t="array" ref="EI68">INDEX(EH:EH,MIN(IF(ISNUMBER(EH68:EH264),ROW(EH68:EH264),"")))</f>
        <v>4.4871794871794801</v>
      </c>
      <c r="EJ68" s="13">
        <f>IF('Données projet'!$A$192&gt;35,EJ67+EI68-ER67,IF(A68&lt;'Données projet'!$A$192,$EG$205^A68,IF(A68='Données projet'!$A$192,'Données projet'!$B$192,EJ67+EI68-ER67)))</f>
        <v>198.71794871794867</v>
      </c>
      <c r="EK68" s="18">
        <f>EJ68*VLOOKUP('Données projet'!$B$15,Paramètres!$A$1:$I$89,3,0)*VLOOKUP('Données projet'!$B$15,Paramètres!$A$1:$I$89,5,0)</f>
        <v>133.29999999999998</v>
      </c>
      <c r="EL68" s="14">
        <f t="shared" si="45"/>
        <v>34.757776388526544</v>
      </c>
      <c r="EM68" s="22">
        <f t="shared" ref="EM68:EM131" si="73">(EK68+EL68)*0.475*44/12</f>
        <v>292.70062721001705</v>
      </c>
      <c r="EN68" s="60">
        <f t="shared" ref="EN68:EN131" si="74">EM68+(EE68+EF68)*44/12</f>
        <v>586.0339605433503</v>
      </c>
      <c r="EO68" s="60">
        <f ca="1">AVERAGE(OFFSET($EN$3,0,0,'Données projet'!$E$15+1,1))-AVERAGE(OFFSET($H$3,0,0,'Données projet'!$E$15+1,1))</f>
        <v>120.18668518376586</v>
      </c>
      <c r="EP68" s="60">
        <f t="shared" si="46"/>
        <v>110.24821114898037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8">
        <f t="shared" si="56"/>
        <v>424.86944415927678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9.8717948717948705</v>
      </c>
      <c r="N69" s="14">
        <f>IF('Données projet'!$A$36&gt;35,N68+M69-V68,IF(A69&lt;'Données projet'!$A$36,$K$205^A69,IF(A69='Données projet'!$A$36,'Données projet'!$B$36,N68+M69-V68)))</f>
        <v>271.92307692307685</v>
      </c>
      <c r="O69" s="14">
        <f>N69*VLOOKUP('Données projet'!$B$9,Paramètres!$A$1:$I$89,3,0)*VLOOKUP('Données projet'!$B$9,Paramètres!$A$1:$I$89,5,0)</f>
        <v>127.25999999999998</v>
      </c>
      <c r="P69" s="14">
        <f t="shared" ref="P69:P132" si="87">EXP(-1.0587+0.8836*LN(O69)+0.284)</f>
        <v>33.362442969975817</v>
      </c>
      <c r="Q69" s="22">
        <f t="shared" si="54"/>
        <v>279.75075483937445</v>
      </c>
      <c r="R69" s="60">
        <f t="shared" si="55"/>
        <v>573.08408817270777</v>
      </c>
      <c r="S69" s="60">
        <f ca="1">AVERAGE(OFFSET($R$3,0,0,'Données projet'!$E$9+1,1))-AVERAGE(OFFSET($H$3,0,0,'Données projet'!$E$9+1,1))</f>
        <v>106.50743833854523</v>
      </c>
      <c r="T69" s="60">
        <f t="shared" ref="T69:T132" si="88">$T$3</f>
        <v>47.606751325129608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0">
        <f t="shared" si="59"/>
        <v>756.65012524226813</v>
      </c>
      <c r="AN69" s="60">
        <f ca="1">AVERAGE(OFFSET($AM$3,0,0,'Données projet'!$E$10+1,1))-AVERAGE(OFFSET($H$3,0,0,'Données projet'!$E$10+1,1))</f>
        <v>247.65126267995316</v>
      </c>
      <c r="AO69" s="60">
        <f t="shared" ref="AO69:AO132" si="90">$AO$3</f>
        <v>149.27472147904314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239.10119999999995</v>
      </c>
      <c r="BF69" s="14">
        <f t="shared" ref="BF69:BF132" si="91">EXP(-1.0587+0.8836*LN(BE69)+0.284)</f>
        <v>58.246107075777331</v>
      </c>
      <c r="BG69" s="22">
        <f t="shared" si="61"/>
        <v>517.87989315697871</v>
      </c>
      <c r="BH69" s="60">
        <f t="shared" si="62"/>
        <v>811.21322649031208</v>
      </c>
      <c r="BI69" s="60">
        <f ca="1">AVERAGE(OFFSET($BH$3,0,0,'Données projet'!$E$11+1,1))-AVERAGE(OFFSET($H$3,0,0,'Données projet'!$E$11+1,1))</f>
        <v>294.2815419338562</v>
      </c>
      <c r="BJ69" s="60">
        <f t="shared" ref="BJ69:BJ132" si="92">$BJ$3</f>
        <v>173.99850582760712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13.777777777777779</v>
      </c>
      <c r="BY69" s="13">
        <f>IF('Données projet'!$A$114&gt;35,BY68+BX69-CG68,IF(A69&lt;'Données projet'!$A$114,$BV$205^A69,IF(A69='Données projet'!$A$114,'Données projet'!$B$114,BY68+BX69-CG68)))</f>
        <v>316.66666666666646</v>
      </c>
      <c r="BZ69" s="14">
        <f>BY69*VLOOKUP('Données projet'!$B$12,Paramètres!$A$1:$I$89,3,0)*VLOOKUP('Données projet'!$B$12,Paramètres!$A$1:$I$89,5,0)</f>
        <v>271.69999999999987</v>
      </c>
      <c r="CA69" s="14">
        <f t="shared" ref="CA69:CA132" si="93">EXP(-1.0587+0.8836*LN(BZ69)+0.284)</f>
        <v>65.209920294809322</v>
      </c>
      <c r="CB69" s="22">
        <f t="shared" si="64"/>
        <v>586.78477784679262</v>
      </c>
      <c r="CC69" s="60">
        <f t="shared" si="65"/>
        <v>880.11811118012588</v>
      </c>
      <c r="CD69" s="60">
        <f ca="1">AVERAGE(OFFSET($CC$3,0,0,'Données projet'!$E$12+1,1))-AVERAGE(OFFSET($H$3,0,0,'Données projet'!$E$12+1,1))</f>
        <v>317.48648551307656</v>
      </c>
      <c r="CE69" s="60">
        <f t="shared" ref="CE69:CE132" si="94">$CE$3</f>
        <v>133.09277301479563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0">
        <f t="shared" si="68"/>
        <v>803.71691910886818</v>
      </c>
      <c r="CY69" s="60">
        <f ca="1">AVERAGE(OFFSET($CX$3,0,0,'Données projet'!$E$13+1,1))-AVERAGE(OFFSET($H$3,0,0,'Données projet'!$E$13+1,1))</f>
        <v>194.42056369374041</v>
      </c>
      <c r="CZ69" s="60">
        <f t="shared" ref="CZ69:CZ132" si="96">$CZ$3</f>
        <v>185.75045299455371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228.06575999999993</v>
      </c>
      <c r="DQ69" s="14">
        <f t="shared" ref="DQ69:DQ132" si="97">EXP(-1.0587+0.8836*LN(DP69)+0.284)</f>
        <v>55.864248276798108</v>
      </c>
      <c r="DR69" s="22">
        <f t="shared" si="70"/>
        <v>494.51143108208981</v>
      </c>
      <c r="DS69" s="60">
        <f t="shared" si="71"/>
        <v>787.84476441542313</v>
      </c>
      <c r="DT69" s="60">
        <f ca="1">AVERAGE(OFFSET($DS$3,0,0,'Données projet'!$E$14+1,1))-AVERAGE(OFFSET($H$3,0,0,'Données projet'!$E$14+1,1))</f>
        <v>274.31056057602081</v>
      </c>
      <c r="DU69" s="60">
        <f t="shared" ref="DU69:DU132" si="98">$DU$3</f>
        <v>163.41029152029387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4.3589743589743595</v>
      </c>
      <c r="EJ69" s="13">
        <f>IF('Données projet'!$A$192&gt;35,EJ68+EI69-ER68,IF(A69&lt;'Données projet'!$A$192,$EG$205^A69,IF(A69='Données projet'!$A$192,'Données projet'!$B$192,EJ68+EI69-ER68)))</f>
        <v>203.07692307692304</v>
      </c>
      <c r="EK69" s="18">
        <f>EJ69*VLOOKUP('Données projet'!$B$15,Paramètres!$A$1:$I$89,3,0)*VLOOKUP('Données projet'!$B$15,Paramètres!$A$1:$I$89,5,0)</f>
        <v>136.22399999999999</v>
      </c>
      <c r="EL69" s="14">
        <f t="shared" ref="EL69:EL132" si="99">EXP(-1.0587+0.8836*LN(EK69)+0.284)</f>
        <v>35.430605225162601</v>
      </c>
      <c r="EM69" s="22">
        <f t="shared" si="73"/>
        <v>298.96510410049149</v>
      </c>
      <c r="EN69" s="60">
        <f t="shared" si="74"/>
        <v>592.2984374338248</v>
      </c>
      <c r="EO69" s="60">
        <f ca="1">AVERAGE(OFFSET($EN$3,0,0,'Données projet'!$E$15+1,1))-AVERAGE(OFFSET($H$3,0,0,'Données projet'!$E$15+1,1))</f>
        <v>120.18668518376586</v>
      </c>
      <c r="EP69" s="60">
        <f t="shared" ref="EP69:EP132" si="100">$EP$3</f>
        <v>110.24821114898037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8">
        <f t="shared" si="56"/>
        <v>426.81035694685789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9.8717948717948705</v>
      </c>
      <c r="N70" s="14">
        <f>IF('Données projet'!$A$36&gt;35,N69+M70-V69,IF(A70&lt;'Données projet'!$A$36,$K$205^A70,IF(A70='Données projet'!$A$36,'Données projet'!$B$36,N69+M70-V69)))</f>
        <v>281.79487179487171</v>
      </c>
      <c r="O70" s="14">
        <f>N70*VLOOKUP('Données projet'!$B$9,Paramètres!$A$1:$I$89,3,0)*VLOOKUP('Données projet'!$B$9,Paramètres!$A$1:$I$89,5,0)</f>
        <v>131.87999999999994</v>
      </c>
      <c r="P70" s="14">
        <f t="shared" si="87"/>
        <v>34.430408458396784</v>
      </c>
      <c r="Q70" s="22">
        <f t="shared" si="54"/>
        <v>289.65729473170762</v>
      </c>
      <c r="R70" s="60">
        <f t="shared" si="55"/>
        <v>582.99062806504094</v>
      </c>
      <c r="S70" s="60">
        <f ca="1">AVERAGE(OFFSET($R$3,0,0,'Données projet'!$E$9+1,1))-AVERAGE(OFFSET($H$3,0,0,'Données projet'!$E$9+1,1))</f>
        <v>106.50743833854523</v>
      </c>
      <c r="T70" s="60">
        <f t="shared" si="88"/>
        <v>47.606751325129608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0">
        <f t="shared" si="59"/>
        <v>769.69946190259475</v>
      </c>
      <c r="AN70" s="60">
        <f ca="1">AVERAGE(OFFSET($AM$3,0,0,'Données projet'!$E$10+1,1))-AVERAGE(OFFSET($H$3,0,0,'Données projet'!$E$10+1,1))</f>
        <v>247.65126267995316</v>
      </c>
      <c r="AO70" s="60">
        <f t="shared" si="90"/>
        <v>149.27472147904314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245.99639999999997</v>
      </c>
      <c r="BF70" s="14">
        <f t="shared" si="91"/>
        <v>59.72782632026442</v>
      </c>
      <c r="BG70" s="22">
        <f t="shared" si="61"/>
        <v>532.46969417446041</v>
      </c>
      <c r="BH70" s="60">
        <f t="shared" si="62"/>
        <v>825.80302750779379</v>
      </c>
      <c r="BI70" s="60">
        <f ca="1">AVERAGE(OFFSET($BH$3,0,0,'Données projet'!$E$11+1,1))-AVERAGE(OFFSET($H$3,0,0,'Données projet'!$E$11+1,1))</f>
        <v>294.2815419338562</v>
      </c>
      <c r="BJ70" s="60">
        <f t="shared" si="92"/>
        <v>173.99850582760712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13.777777777777779</v>
      </c>
      <c r="BY70" s="13">
        <f>IF('Données projet'!$A$114&gt;35,BY69+BX70-CG69,IF(A70&lt;'Données projet'!$A$114,$BV$205^A70,IF(A70='Données projet'!$A$114,'Données projet'!$B$114,BY69+BX70-CG69)))</f>
        <v>330.44444444444423</v>
      </c>
      <c r="BZ70" s="14">
        <f>BY70*VLOOKUP('Données projet'!$B$12,Paramètres!$A$1:$I$89,3,0)*VLOOKUP('Données projet'!$B$12,Paramètres!$A$1:$I$89,5,0)</f>
        <v>283.52133333333319</v>
      </c>
      <c r="CA70" s="14">
        <f t="shared" si="93"/>
        <v>67.71062569759917</v>
      </c>
      <c r="CB70" s="22">
        <f t="shared" si="64"/>
        <v>611.72899531220708</v>
      </c>
      <c r="CC70" s="60">
        <f t="shared" si="65"/>
        <v>905.06232864554045</v>
      </c>
      <c r="CD70" s="60">
        <f ca="1">AVERAGE(OFFSET($CC$3,0,0,'Données projet'!$E$12+1,1))-AVERAGE(OFFSET($H$3,0,0,'Données projet'!$E$12+1,1))</f>
        <v>317.48648551307656</v>
      </c>
      <c r="CE70" s="60">
        <f t="shared" si="94"/>
        <v>133.09277301479563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0">
        <f t="shared" si="68"/>
        <v>818.02506401697747</v>
      </c>
      <c r="CY70" s="60">
        <f ca="1">AVERAGE(OFFSET($CX$3,0,0,'Données projet'!$E$13+1,1))-AVERAGE(OFFSET($H$3,0,0,'Données projet'!$E$13+1,1))</f>
        <v>194.42056369374041</v>
      </c>
      <c r="CZ70" s="60">
        <f t="shared" si="96"/>
        <v>185.75045299455371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234.64271999999994</v>
      </c>
      <c r="DQ70" s="14">
        <f t="shared" si="97"/>
        <v>57.285375557336316</v>
      </c>
      <c r="DR70" s="22">
        <f t="shared" si="70"/>
        <v>508.44143309569387</v>
      </c>
      <c r="DS70" s="60">
        <f t="shared" si="71"/>
        <v>801.77476642902718</v>
      </c>
      <c r="DT70" s="60">
        <f ca="1">AVERAGE(OFFSET($DS$3,0,0,'Données projet'!$E$14+1,1))-AVERAGE(OFFSET($H$3,0,0,'Données projet'!$E$14+1,1))</f>
        <v>274.31056057602081</v>
      </c>
      <c r="DU70" s="60">
        <f t="shared" si="98"/>
        <v>163.41029152029387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4.3589743589743595</v>
      </c>
      <c r="EJ70" s="13">
        <f>IF('Données projet'!$A$192&gt;35,EJ69+EI70-ER69,IF(A70&lt;'Données projet'!$A$192,$EG$205^A70,IF(A70='Données projet'!$A$192,'Données projet'!$B$192,EJ69+EI70-ER69)))</f>
        <v>207.4358974358974</v>
      </c>
      <c r="EK70" s="18">
        <f>EJ70*VLOOKUP('Données projet'!$B$15,Paramètres!$A$1:$I$89,3,0)*VLOOKUP('Données projet'!$B$15,Paramètres!$A$1:$I$89,5,0)</f>
        <v>139.14799999999997</v>
      </c>
      <c r="EL70" s="14">
        <f t="shared" si="99"/>
        <v>36.101754971155358</v>
      </c>
      <c r="EM70" s="22">
        <f t="shared" si="73"/>
        <v>305.22665657476222</v>
      </c>
      <c r="EN70" s="60">
        <f t="shared" si="74"/>
        <v>598.55998990809553</v>
      </c>
      <c r="EO70" s="60">
        <f ca="1">AVERAGE(OFFSET($EN$3,0,0,'Données projet'!$E$15+1,1))-AVERAGE(OFFSET($H$3,0,0,'Données projet'!$E$15+1,1))</f>
        <v>120.18668518376586</v>
      </c>
      <c r="EP70" s="60">
        <f t="shared" si="100"/>
        <v>110.24821114898037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8">
        <f t="shared" si="56"/>
        <v>428.75058888536569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9.8717948717948705</v>
      </c>
      <c r="N71" s="14">
        <f>IF('Données projet'!$A$36&gt;35,N70+M71-V70,IF(A71&lt;'Données projet'!$A$36,$K$205^A71,IF(A71='Données projet'!$A$36,'Données projet'!$B$36,N70+M71-V70)))</f>
        <v>291.66666666666657</v>
      </c>
      <c r="O71" s="14">
        <f>N71*VLOOKUP('Données projet'!$B$9,Paramètres!$A$1:$I$89,3,0)*VLOOKUP('Données projet'!$B$9,Paramètres!$A$1:$I$89,5,0)</f>
        <v>136.49999999999994</v>
      </c>
      <c r="P71" s="14">
        <f t="shared" si="87"/>
        <v>35.494027024087352</v>
      </c>
      <c r="Q71" s="22">
        <f t="shared" si="54"/>
        <v>299.55626373361866</v>
      </c>
      <c r="R71" s="60">
        <f t="shared" si="55"/>
        <v>592.88959706695198</v>
      </c>
      <c r="S71" s="60">
        <f ca="1">AVERAGE(OFFSET($R$3,0,0,'Données projet'!$E$9+1,1))-AVERAGE(OFFSET($H$3,0,0,'Données projet'!$E$9+1,1))</f>
        <v>106.50743833854523</v>
      </c>
      <c r="T71" s="60">
        <f t="shared" si="88"/>
        <v>47.606751325129608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0">
        <f t="shared" si="59"/>
        <v>782.74119655001107</v>
      </c>
      <c r="AN71" s="60">
        <f ca="1">AVERAGE(OFFSET($AM$3,0,0,'Données projet'!$E$10+1,1))-AVERAGE(OFFSET($H$3,0,0,'Données projet'!$E$10+1,1))</f>
        <v>247.65126267995316</v>
      </c>
      <c r="AO71" s="60">
        <f t="shared" si="90"/>
        <v>149.27472147904314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252.89159999999998</v>
      </c>
      <c r="BF71" s="14">
        <f t="shared" si="91"/>
        <v>61.204718436590312</v>
      </c>
      <c r="BG71" s="22">
        <f t="shared" si="61"/>
        <v>547.05108794372802</v>
      </c>
      <c r="BH71" s="60">
        <f t="shared" si="62"/>
        <v>840.38442127706139</v>
      </c>
      <c r="BI71" s="60">
        <f ca="1">AVERAGE(OFFSET($BH$3,0,0,'Données projet'!$E$11+1,1))-AVERAGE(OFFSET($H$3,0,0,'Données projet'!$E$11+1,1))</f>
        <v>294.2815419338562</v>
      </c>
      <c r="BJ71" s="60">
        <f t="shared" si="92"/>
        <v>173.99850582760712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13.777777777777779</v>
      </c>
      <c r="BY71" s="13">
        <f>IF('Données projet'!$A$114&gt;35,BY70+BX71-CG70,IF(A71&lt;'Données projet'!$A$114,$BV$205^A71,IF(A71='Données projet'!$A$114,'Données projet'!$B$114,BY70+BX71-CG70)))</f>
        <v>344.222222222222</v>
      </c>
      <c r="BZ71" s="14">
        <f>BY71*VLOOKUP('Données projet'!$B$12,Paramètres!$A$1:$I$89,3,0)*VLOOKUP('Données projet'!$B$12,Paramètres!$A$1:$I$89,5,0)</f>
        <v>295.3426666666665</v>
      </c>
      <c r="CA71" s="14">
        <f t="shared" si="93"/>
        <v>70.199220220485287</v>
      </c>
      <c r="CB71" s="22">
        <f t="shared" si="64"/>
        <v>636.65211966178947</v>
      </c>
      <c r="CC71" s="60">
        <f t="shared" si="65"/>
        <v>929.98545299512284</v>
      </c>
      <c r="CD71" s="60">
        <f ca="1">AVERAGE(OFFSET($CC$3,0,0,'Données projet'!$E$12+1,1))-AVERAGE(OFFSET($H$3,0,0,'Données projet'!$E$12+1,1))</f>
        <v>317.48648551307656</v>
      </c>
      <c r="CE71" s="60">
        <f t="shared" si="94"/>
        <v>133.09277301479563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0">
        <f t="shared" si="68"/>
        <v>832.3249911627081</v>
      </c>
      <c r="CY71" s="60">
        <f ca="1">AVERAGE(OFFSET($CX$3,0,0,'Données projet'!$E$13+1,1))-AVERAGE(OFFSET($H$3,0,0,'Données projet'!$E$13+1,1))</f>
        <v>194.42056369374041</v>
      </c>
      <c r="CZ71" s="60">
        <f t="shared" si="96"/>
        <v>185.75045299455371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241.21967999999995</v>
      </c>
      <c r="DQ71" s="14">
        <f t="shared" si="97"/>
        <v>58.701873105526744</v>
      </c>
      <c r="DR71" s="22">
        <f t="shared" si="70"/>
        <v>522.36337165879229</v>
      </c>
      <c r="DS71" s="60">
        <f t="shared" si="71"/>
        <v>815.69670499212566</v>
      </c>
      <c r="DT71" s="60">
        <f ca="1">AVERAGE(OFFSET($DS$3,0,0,'Données projet'!$E$14+1,1))-AVERAGE(OFFSET($H$3,0,0,'Données projet'!$E$14+1,1))</f>
        <v>274.31056057602081</v>
      </c>
      <c r="DU71" s="60">
        <f t="shared" si="98"/>
        <v>163.41029152029387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4.3589743589743595</v>
      </c>
      <c r="EJ71" s="13">
        <f>IF('Données projet'!$A$192&gt;35,EJ70+EI71-ER70,IF(A71&lt;'Données projet'!$A$192,$EG$205^A71,IF(A71='Données projet'!$A$192,'Données projet'!$B$192,EJ70+EI71-ER70)))</f>
        <v>211.79487179487177</v>
      </c>
      <c r="EK71" s="18">
        <f>EJ71*VLOOKUP('Données projet'!$B$15,Paramètres!$A$1:$I$89,3,0)*VLOOKUP('Données projet'!$B$15,Paramètres!$A$1:$I$89,5,0)</f>
        <v>142.072</v>
      </c>
      <c r="EL71" s="14">
        <f t="shared" si="99"/>
        <v>36.771264974977768</v>
      </c>
      <c r="EM71" s="22">
        <f t="shared" si="73"/>
        <v>311.48535316475295</v>
      </c>
      <c r="EN71" s="60">
        <f t="shared" si="74"/>
        <v>604.81868649808621</v>
      </c>
      <c r="EO71" s="60">
        <f ca="1">AVERAGE(OFFSET($EN$3,0,0,'Données projet'!$E$15+1,1))-AVERAGE(OFFSET($H$3,0,0,'Données projet'!$E$15+1,1))</f>
        <v>120.18668518376586</v>
      </c>
      <c r="EP71" s="60">
        <f t="shared" si="100"/>
        <v>110.24821114898037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8">
        <f t="shared" si="56"/>
        <v>430.69015114398906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9.8717948717948705</v>
      </c>
      <c r="N72" s="14">
        <f>IF('Données projet'!$A$36&gt;35,N71+M72-V71,IF(A72&lt;'Données projet'!$A$36,$K$205^A72,IF(A72='Données projet'!$A$36,'Données projet'!$B$36,N71+M72-V71)))</f>
        <v>301.53846153846143</v>
      </c>
      <c r="O72" s="14">
        <f>N72*VLOOKUP('Données projet'!$B$9,Paramètres!$A$1:$I$89,3,0)*VLOOKUP('Données projet'!$B$9,Paramètres!$A$1:$I$89,5,0)</f>
        <v>141.11999999999995</v>
      </c>
      <c r="P72" s="14">
        <f t="shared" si="87"/>
        <v>36.553462659686843</v>
      </c>
      <c r="Q72" s="22">
        <f t="shared" si="54"/>
        <v>309.4479474656211</v>
      </c>
      <c r="R72" s="60">
        <f t="shared" si="55"/>
        <v>602.78128079895441</v>
      </c>
      <c r="S72" s="60">
        <f ca="1">AVERAGE(OFFSET($R$3,0,0,'Données projet'!$E$9+1,1))-AVERAGE(OFFSET($H$3,0,0,'Données projet'!$E$9+1,1))</f>
        <v>106.50743833854523</v>
      </c>
      <c r="T72" s="60">
        <f t="shared" si="88"/>
        <v>47.606751325129608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0">
        <f t="shared" si="59"/>
        <v>795.77556027438573</v>
      </c>
      <c r="AN72" s="60">
        <f ca="1">AVERAGE(OFFSET($AM$3,0,0,'Données projet'!$E$10+1,1))-AVERAGE(OFFSET($H$3,0,0,'Données projet'!$E$10+1,1))</f>
        <v>247.65126267995316</v>
      </c>
      <c r="AO72" s="60">
        <f t="shared" si="90"/>
        <v>149.27472147904314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259.78679999999997</v>
      </c>
      <c r="BF72" s="14">
        <f t="shared" si="91"/>
        <v>62.676930162260739</v>
      </c>
      <c r="BG72" s="22">
        <f t="shared" si="61"/>
        <v>561.62433003260401</v>
      </c>
      <c r="BH72" s="60">
        <f t="shared" si="62"/>
        <v>854.95766336593738</v>
      </c>
      <c r="BI72" s="60">
        <f ca="1">AVERAGE(OFFSET($BH$3,0,0,'Données projet'!$E$11+1,1))-AVERAGE(OFFSET($H$3,0,0,'Données projet'!$E$11+1,1))</f>
        <v>294.2815419338562</v>
      </c>
      <c r="BJ72" s="60">
        <f t="shared" si="92"/>
        <v>173.99850582760712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358</v>
      </c>
      <c r="BW72" s="13">
        <f>VLOOKUP(A72,'Données projet'!$A$113:$I$133,9,0)</f>
        <v>13.777777777777779</v>
      </c>
      <c r="BX72" s="13">
        <f t="array" ref="BX72">INDEX(BW:BW,MIN(IF(ISNUMBER(BW72:BW268),ROW(BW72:BW268),"")))</f>
        <v>13.777777777777779</v>
      </c>
      <c r="BY72" s="13">
        <f>IF('Données projet'!$A$114&gt;35,BY71+BX72-CG71,IF(A72&lt;'Données projet'!$A$114,$BV$205^A72,IF(A72='Données projet'!$A$114,'Données projet'!$B$114,BY71+BX72-CG71)))</f>
        <v>357.99999999999977</v>
      </c>
      <c r="BZ72" s="14">
        <f>BY72*VLOOKUP('Données projet'!$B$12,Paramètres!$A$1:$I$89,3,0)*VLOOKUP('Données projet'!$B$12,Paramètres!$A$1:$I$89,5,0)</f>
        <v>307.16399999999982</v>
      </c>
      <c r="CA72" s="14">
        <f t="shared" si="93"/>
        <v>72.676244071302918</v>
      </c>
      <c r="CB72" s="22">
        <f t="shared" si="64"/>
        <v>661.55509175751888</v>
      </c>
      <c r="CC72" s="60">
        <f t="shared" si="65"/>
        <v>954.88842509085225</v>
      </c>
      <c r="CD72" s="60">
        <f ca="1">AVERAGE(OFFSET($CC$3,0,0,'Données projet'!$E$12+1,1))-AVERAGE(OFFSET($H$3,0,0,'Données projet'!$E$12+1,1))</f>
        <v>317.48648551307656</v>
      </c>
      <c r="CE72" s="60">
        <f t="shared" si="94"/>
        <v>133.09277301479563</v>
      </c>
      <c r="CF72" s="16">
        <f>IF(ISNA(VLOOKUP(A72,'Données projet'!$A$113:$I$133,3,0)),0,VLOOKUP(A72,'Données projet'!$A$113:$I$133,3,0))</f>
        <v>8</v>
      </c>
      <c r="CG72" s="16">
        <f>IF(ISNA(VLOOKUP(A72,'Données projet'!$A$113:$I$133,4,0)),0,VLOOKUP(A72,'Données projet'!$A$113:$I$133,4,0))</f>
        <v>84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0">
        <f t="shared" si="68"/>
        <v>846.61694920462401</v>
      </c>
      <c r="CY72" s="60">
        <f ca="1">AVERAGE(OFFSET($CX$3,0,0,'Données projet'!$E$13+1,1))-AVERAGE(OFFSET($H$3,0,0,'Données projet'!$E$13+1,1))</f>
        <v>194.42056369374041</v>
      </c>
      <c r="CZ72" s="60">
        <f t="shared" si="96"/>
        <v>185.75045299455371</v>
      </c>
      <c r="DA72" s="16">
        <f>IF(ISNA(VLOOKUP(A72,'Données projet'!$A$139:$I$159,3,0)),0,VLOOKUP(A72,'Données projet'!$A$139:$I$159,3,0))</f>
        <v>7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247.79663999999997</v>
      </c>
      <c r="DQ72" s="14">
        <f t="shared" si="97"/>
        <v>60.113881658336368</v>
      </c>
      <c r="DR72" s="22">
        <f t="shared" si="70"/>
        <v>536.27749188826908</v>
      </c>
      <c r="DS72" s="60">
        <f t="shared" si="71"/>
        <v>829.61082522160245</v>
      </c>
      <c r="DT72" s="60">
        <f ca="1">AVERAGE(OFFSET($DS$3,0,0,'Données projet'!$E$14+1,1))-AVERAGE(OFFSET($H$3,0,0,'Données projet'!$E$14+1,1))</f>
        <v>274.31056057602081</v>
      </c>
      <c r="DU72" s="60">
        <f t="shared" si="98"/>
        <v>163.41029152029387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4.3589743589743595</v>
      </c>
      <c r="EJ72" s="13">
        <f>IF('Données projet'!$A$192&gt;35,EJ71+EI72-ER71,IF(A72&lt;'Données projet'!$A$192,$EG$205^A72,IF(A72='Données projet'!$A$192,'Données projet'!$B$192,EJ71+EI72-ER71)))</f>
        <v>216.15384615384613</v>
      </c>
      <c r="EK72" s="18">
        <f>EJ72*VLOOKUP('Données projet'!$B$15,Paramètres!$A$1:$I$89,3,0)*VLOOKUP('Données projet'!$B$15,Paramètres!$A$1:$I$89,5,0)</f>
        <v>144.99599999999998</v>
      </c>
      <c r="EL72" s="14">
        <f t="shared" si="99"/>
        <v>37.439172872855487</v>
      </c>
      <c r="EM72" s="22">
        <f t="shared" si="73"/>
        <v>317.74125942022329</v>
      </c>
      <c r="EN72" s="60">
        <f t="shared" si="74"/>
        <v>611.07459275355654</v>
      </c>
      <c r="EO72" s="60">
        <f ca="1">AVERAGE(OFFSET($EN$3,0,0,'Données projet'!$E$15+1,1))-AVERAGE(OFFSET($H$3,0,0,'Données projet'!$E$15+1,1))</f>
        <v>120.18668518376586</v>
      </c>
      <c r="EP72" s="60">
        <f t="shared" si="100"/>
        <v>110.24821114898037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8">
        <f t="shared" si="56"/>
        <v>432.62905454958332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9.8717948717948705</v>
      </c>
      <c r="N73" s="14">
        <f>IF('Données projet'!$A$36&gt;35,N72+M73-V72,IF(A73&lt;'Données projet'!$A$36,$K$205^A73,IF(A73='Données projet'!$A$36,'Données projet'!$B$36,N72+M73-V72)))</f>
        <v>311.4102564102563</v>
      </c>
      <c r="O73" s="14">
        <f>N73*VLOOKUP('Données projet'!$B$9,Paramètres!$A$1:$I$89,3,0)*VLOOKUP('Données projet'!$B$9,Paramètres!$A$1:$I$89,5,0)</f>
        <v>145.73999999999995</v>
      </c>
      <c r="P73" s="14">
        <f t="shared" si="87"/>
        <v>37.608868010754726</v>
      </c>
      <c r="Q73" s="22">
        <f t="shared" si="54"/>
        <v>319.33261178539772</v>
      </c>
      <c r="R73" s="60">
        <f t="shared" si="55"/>
        <v>612.66594511873109</v>
      </c>
      <c r="S73" s="60">
        <f ca="1">AVERAGE(OFFSET($R$3,0,0,'Données projet'!$E$9+1,1))-AVERAGE(OFFSET($H$3,0,0,'Données projet'!$E$9+1,1))</f>
        <v>106.50743833854523</v>
      </c>
      <c r="T73" s="60">
        <f t="shared" si="88"/>
        <v>47.606751325129608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0">
        <f t="shared" si="59"/>
        <v>808.80277120001347</v>
      </c>
      <c r="AN73" s="60">
        <f ca="1">AVERAGE(OFFSET($AM$3,0,0,'Données projet'!$E$10+1,1))-AVERAGE(OFFSET($H$3,0,0,'Données projet'!$E$10+1,1))</f>
        <v>247.65126267995316</v>
      </c>
      <c r="AO73" s="60">
        <f t="shared" si="90"/>
        <v>149.27472147904314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266.68199999999996</v>
      </c>
      <c r="BF73" s="14">
        <f t="shared" si="91"/>
        <v>64.144600001897771</v>
      </c>
      <c r="BG73" s="22">
        <f t="shared" si="61"/>
        <v>576.189661669972</v>
      </c>
      <c r="BH73" s="60">
        <f t="shared" si="62"/>
        <v>869.52299500330537</v>
      </c>
      <c r="BI73" s="60">
        <f ca="1">AVERAGE(OFFSET($BH$3,0,0,'Données projet'!$E$11+1,1))-AVERAGE(OFFSET($H$3,0,0,'Données projet'!$E$11+1,1))</f>
        <v>294.2815419338562</v>
      </c>
      <c r="BJ73" s="60">
        <f t="shared" si="92"/>
        <v>173.99850582760712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12.555555555555555</v>
      </c>
      <c r="BY73" s="13">
        <f>IF('Données projet'!$A$114&gt;35,BY72+BX73-CG72,IF(A73&lt;'Données projet'!$A$114,$BV$205^A73,IF(A73='Données projet'!$A$114,'Données projet'!$B$114,BY72+BX73-CG72)))</f>
        <v>286.55555555555532</v>
      </c>
      <c r="BZ73" s="14">
        <f>BY73*VLOOKUP('Données projet'!$B$12,Paramètres!$A$1:$I$89,3,0)*VLOOKUP('Données projet'!$B$12,Paramètres!$A$1:$I$89,5,0)</f>
        <v>245.86466666666649</v>
      </c>
      <c r="CA73" s="14">
        <f t="shared" si="93"/>
        <v>59.699563669987469</v>
      </c>
      <c r="CB73" s="22">
        <f t="shared" si="64"/>
        <v>532.19103450300565</v>
      </c>
      <c r="CC73" s="60">
        <f t="shared" si="65"/>
        <v>825.52436783633902</v>
      </c>
      <c r="CD73" s="60">
        <f ca="1">AVERAGE(OFFSET($CC$3,0,0,'Données projet'!$E$12+1,1))-AVERAGE(OFFSET($H$3,0,0,'Données projet'!$E$12+1,1))</f>
        <v>317.48648551307656</v>
      </c>
      <c r="CE73" s="60">
        <f t="shared" si="94"/>
        <v>133.09277301479563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0">
        <f t="shared" si="68"/>
        <v>293.33333333333582</v>
      </c>
      <c r="CY73" s="60">
        <f ca="1">AVERAGE(OFFSET($CX$3,0,0,'Données projet'!$E$13+1,1))-AVERAGE(OFFSET($H$3,0,0,'Données projet'!$E$13+1,1))</f>
        <v>194.42056369374041</v>
      </c>
      <c r="CZ73" s="60">
        <f t="shared" si="96"/>
        <v>185.75045299455371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254.37359999999998</v>
      </c>
      <c r="DQ73" s="14">
        <f t="shared" si="97"/>
        <v>61.521534056516209</v>
      </c>
      <c r="DR73" s="22">
        <f t="shared" si="70"/>
        <v>550.1840251484324</v>
      </c>
      <c r="DS73" s="60">
        <f t="shared" si="71"/>
        <v>843.51735848176577</v>
      </c>
      <c r="DT73" s="60">
        <f ca="1">AVERAGE(OFFSET($DS$3,0,0,'Données projet'!$E$14+1,1))-AVERAGE(OFFSET($H$3,0,0,'Données projet'!$E$14+1,1))</f>
        <v>274.31056057602081</v>
      </c>
      <c r="DU73" s="60">
        <f t="shared" si="98"/>
        <v>163.41029152029387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220.5128205128205</v>
      </c>
      <c r="EH73" s="13">
        <f>VLOOKUP(A73,'Données projet'!$A$191:$I$211,9,0)</f>
        <v>4.3589743589743595</v>
      </c>
      <c r="EI73" s="13">
        <f t="array" ref="EI73">INDEX(EH:EH,MIN(IF(ISNUMBER(EH73:EH269),ROW(EH73:EH269),"")))</f>
        <v>4.3589743589743595</v>
      </c>
      <c r="EJ73" s="13">
        <f>IF('Données projet'!$A$192&gt;35,EJ72+EI73-ER72,IF(A73&lt;'Données projet'!$A$192,$EG$205^A73,IF(A73='Données projet'!$A$192,'Données projet'!$B$192,EJ72+EI73-ER72)))</f>
        <v>220.5128205128205</v>
      </c>
      <c r="EK73" s="18">
        <f>EJ73*VLOOKUP('Données projet'!$B$15,Paramètres!$A$1:$I$89,3,0)*VLOOKUP('Données projet'!$B$15,Paramètres!$A$1:$I$89,5,0)</f>
        <v>147.91999999999999</v>
      </c>
      <c r="EL73" s="14">
        <f t="shared" si="99"/>
        <v>38.105514696277361</v>
      </c>
      <c r="EM73" s="22">
        <f t="shared" si="73"/>
        <v>323.99443809601638</v>
      </c>
      <c r="EN73" s="60">
        <f t="shared" si="74"/>
        <v>617.3277714293497</v>
      </c>
      <c r="EO73" s="60">
        <f ca="1">AVERAGE(OFFSET($EN$3,0,0,'Données projet'!$E$15+1,1))-AVERAGE(OFFSET($H$3,0,0,'Données projet'!$E$15+1,1))</f>
        <v>120.18668518376586</v>
      </c>
      <c r="EP73" s="60">
        <f t="shared" si="100"/>
        <v>110.24821114898037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25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8">
        <f t="shared" si="56"/>
        <v>434.56730960190009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9.8717948717948705</v>
      </c>
      <c r="N74" s="14">
        <f>IF('Données projet'!$A$36&gt;35,N73+M74-V73,IF(A74&lt;'Données projet'!$A$36,$K$205^A74,IF(A74='Données projet'!$A$36,'Données projet'!$B$36,N73+M74-V73)))</f>
        <v>321.28205128205116</v>
      </c>
      <c r="O74" s="14">
        <f>N74*VLOOKUP('Données projet'!$B$9,Paramètres!$A$1:$I$89,3,0)*VLOOKUP('Données projet'!$B$9,Paramètres!$A$1:$I$89,5,0)</f>
        <v>150.35999999999993</v>
      </c>
      <c r="P74" s="14">
        <f t="shared" si="87"/>
        <v>38.660385495456531</v>
      </c>
      <c r="Q74" s="22">
        <f t="shared" si="54"/>
        <v>329.21050473791996</v>
      </c>
      <c r="R74" s="60">
        <f t="shared" si="55"/>
        <v>622.54383807125328</v>
      </c>
      <c r="S74" s="60">
        <f ca="1">AVERAGE(OFFSET($R$3,0,0,'Données projet'!$E$9+1,1))-AVERAGE(OFFSET($H$3,0,0,'Données projet'!$E$9+1,1))</f>
        <v>106.50743833854523</v>
      </c>
      <c r="T74" s="60">
        <f t="shared" si="88"/>
        <v>47.606751325129608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0">
        <f t="shared" si="59"/>
        <v>740.13528187395309</v>
      </c>
      <c r="AN74" s="60">
        <f ca="1">AVERAGE(OFFSET($AM$3,0,0,'Données projet'!$E$10+1,1))-AVERAGE(OFFSET($H$3,0,0,'Données projet'!$E$10+1,1))</f>
        <v>247.65126267995316</v>
      </c>
      <c r="AO74" s="60">
        <f t="shared" si="90"/>
        <v>149.27472147904314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230.38079999999994</v>
      </c>
      <c r="BF74" s="14">
        <f t="shared" si="91"/>
        <v>56.365011465139979</v>
      </c>
      <c r="BG74" s="22">
        <f t="shared" si="61"/>
        <v>499.41562163511867</v>
      </c>
      <c r="BH74" s="60">
        <f t="shared" si="62"/>
        <v>792.74895496845193</v>
      </c>
      <c r="BI74" s="60">
        <f ca="1">AVERAGE(OFFSET($BH$3,0,0,'Données projet'!$E$11+1,1))-AVERAGE(OFFSET($H$3,0,0,'Données projet'!$E$11+1,1))</f>
        <v>294.2815419338562</v>
      </c>
      <c r="BJ74" s="60">
        <f t="shared" si="92"/>
        <v>173.99850582760712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12.555555555555555</v>
      </c>
      <c r="BY74" s="13">
        <f>IF('Données projet'!$A$114&gt;35,BY73+BX74-CG73,IF(A74&lt;'Données projet'!$A$114,$BV$205^A74,IF(A74='Données projet'!$A$114,'Données projet'!$B$114,BY73+BX74-CG73)))</f>
        <v>299.11111111111086</v>
      </c>
      <c r="BZ74" s="14">
        <f>BY74*VLOOKUP('Données projet'!$B$12,Paramètres!$A$1:$I$89,3,0)*VLOOKUP('Données projet'!$B$12,Paramètres!$A$1:$I$89,5,0)</f>
        <v>256.63733333333312</v>
      </c>
      <c r="CA74" s="14">
        <f t="shared" si="93"/>
        <v>62.005051158458208</v>
      </c>
      <c r="CB74" s="22">
        <f t="shared" si="64"/>
        <v>554.96881965653654</v>
      </c>
      <c r="CC74" s="60">
        <f t="shared" si="65"/>
        <v>848.30215298986991</v>
      </c>
      <c r="CD74" s="60">
        <f ca="1">AVERAGE(OFFSET($CC$3,0,0,'Données projet'!$E$12+1,1))-AVERAGE(OFFSET($H$3,0,0,'Données projet'!$E$12+1,1))</f>
        <v>317.48648551307656</v>
      </c>
      <c r="CE74" s="60">
        <f t="shared" si="94"/>
        <v>133.09277301479563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0">
        <f t="shared" si="68"/>
        <v>293.33333333333582</v>
      </c>
      <c r="CY74" s="60">
        <f ca="1">AVERAGE(OFFSET($CX$3,0,0,'Données projet'!$E$13+1,1))-AVERAGE(OFFSET($H$3,0,0,'Données projet'!$E$13+1,1))</f>
        <v>194.42056369374041</v>
      </c>
      <c r="CZ74" s="60">
        <f t="shared" si="96"/>
        <v>185.75045299455371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219.74783999999994</v>
      </c>
      <c r="DQ74" s="14">
        <f t="shared" si="97"/>
        <v>54.060076332940561</v>
      </c>
      <c r="DR74" s="22">
        <f t="shared" si="70"/>
        <v>476.88212094653812</v>
      </c>
      <c r="DS74" s="60">
        <f t="shared" si="71"/>
        <v>770.21545427987144</v>
      </c>
      <c r="DT74" s="60">
        <f ca="1">AVERAGE(OFFSET($DS$3,0,0,'Données projet'!$E$14+1,1))-AVERAGE(OFFSET($H$3,0,0,'Données projet'!$E$14+1,1))</f>
        <v>274.31056057602081</v>
      </c>
      <c r="DU74" s="60">
        <f t="shared" si="98"/>
        <v>163.41029152029387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3.974358974358978</v>
      </c>
      <c r="EJ74" s="13">
        <f>IF('Données projet'!$A$192&gt;35,EJ73+EI74-ER73,IF(A74&lt;'Données projet'!$A$192,$EG$205^A74,IF(A74='Données projet'!$A$192,'Données projet'!$B$192,EJ73+EI74-ER73)))</f>
        <v>199.48717948717947</v>
      </c>
      <c r="EK74" s="18">
        <f>EJ74*VLOOKUP('Données projet'!$B$15,Paramètres!$A$1:$I$89,3,0)*VLOOKUP('Données projet'!$B$15,Paramètres!$A$1:$I$89,5,0)</f>
        <v>133.816</v>
      </c>
      <c r="EL74" s="14">
        <f t="shared" si="99"/>
        <v>34.876634693250608</v>
      </c>
      <c r="EM74" s="22">
        <f t="shared" si="73"/>
        <v>293.80633875741154</v>
      </c>
      <c r="EN74" s="60">
        <f t="shared" si="74"/>
        <v>587.13967209074485</v>
      </c>
      <c r="EO74" s="60">
        <f ca="1">AVERAGE(OFFSET($EN$3,0,0,'Données projet'!$E$15+1,1))-AVERAGE(OFFSET($H$3,0,0,'Données projet'!$E$15+1,1))</f>
        <v>120.18668518376586</v>
      </c>
      <c r="EP74" s="60">
        <f t="shared" si="100"/>
        <v>110.24821114898037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8">
        <f t="shared" si="56"/>
        <v>436.50492648793568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9.8717948717948705</v>
      </c>
      <c r="N75" s="14">
        <f>IF('Données projet'!$A$36&gt;35,N74+M75-V74,IF(A75&lt;'Données projet'!$A$36,$K$205^A75,IF(A75='Données projet'!$A$36,'Données projet'!$B$36,N74+M75-V74)))</f>
        <v>331.15384615384602</v>
      </c>
      <c r="O75" s="14">
        <f>N75*VLOOKUP('Données projet'!$B$9,Paramètres!$A$1:$I$89,3,0)*VLOOKUP('Données projet'!$B$9,Paramètres!$A$1:$I$89,5,0)</f>
        <v>154.97999999999993</v>
      </c>
      <c r="P75" s="14">
        <f t="shared" si="87"/>
        <v>39.708148282768228</v>
      </c>
      <c r="Q75" s="22">
        <f t="shared" si="54"/>
        <v>339.08185825915456</v>
      </c>
      <c r="R75" s="60">
        <f t="shared" si="55"/>
        <v>632.41519159248787</v>
      </c>
      <c r="S75" s="60">
        <f ca="1">AVERAGE(OFFSET($R$3,0,0,'Données projet'!$E$9+1,1))-AVERAGE(OFFSET($H$3,0,0,'Données projet'!$E$9+1,1))</f>
        <v>106.50743833854523</v>
      </c>
      <c r="T75" s="60">
        <f t="shared" si="88"/>
        <v>47.606751325129608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0">
        <f t="shared" si="59"/>
        <v>752.04261652954642</v>
      </c>
      <c r="AN75" s="60">
        <f ca="1">AVERAGE(OFFSET($AM$3,0,0,'Données projet'!$E$10+1,1))-AVERAGE(OFFSET($H$3,0,0,'Données projet'!$E$10+1,1))</f>
        <v>247.65126267995316</v>
      </c>
      <c r="AO75" s="60">
        <f t="shared" si="90"/>
        <v>149.27472147904314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236.66759999999994</v>
      </c>
      <c r="BF75" s="14">
        <f t="shared" si="91"/>
        <v>57.721965974560838</v>
      </c>
      <c r="BG75" s="22">
        <f t="shared" si="61"/>
        <v>512.72849407235992</v>
      </c>
      <c r="BH75" s="60">
        <f t="shared" si="62"/>
        <v>806.06182740569329</v>
      </c>
      <c r="BI75" s="60">
        <f ca="1">AVERAGE(OFFSET($BH$3,0,0,'Données projet'!$E$11+1,1))-AVERAGE(OFFSET($H$3,0,0,'Données projet'!$E$11+1,1))</f>
        <v>294.2815419338562</v>
      </c>
      <c r="BJ75" s="60">
        <f t="shared" si="92"/>
        <v>173.99850582760712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12.555555555555555</v>
      </c>
      <c r="BY75" s="13">
        <f>IF('Données projet'!$A$114&gt;35,BY74+BX75-CG74,IF(A75&lt;'Données projet'!$A$114,$BV$205^A75,IF(A75='Données projet'!$A$114,'Données projet'!$B$114,BY74+BX75-CG74)))</f>
        <v>311.6666666666664</v>
      </c>
      <c r="BZ75" s="14">
        <f>BY75*VLOOKUP('Données projet'!$B$12,Paramètres!$A$1:$I$89,3,0)*VLOOKUP('Données projet'!$B$12,Paramètres!$A$1:$I$89,5,0)</f>
        <v>267.4099999999998</v>
      </c>
      <c r="CA75" s="14">
        <f t="shared" si="93"/>
        <v>64.299297948636735</v>
      </c>
      <c r="CB75" s="22">
        <f t="shared" si="64"/>
        <v>577.72702726054183</v>
      </c>
      <c r="CC75" s="60">
        <f t="shared" si="65"/>
        <v>871.0603605938752</v>
      </c>
      <c r="CD75" s="60">
        <f ca="1">AVERAGE(OFFSET($CC$3,0,0,'Données projet'!$E$12+1,1))-AVERAGE(OFFSET($H$3,0,0,'Données projet'!$E$12+1,1))</f>
        <v>317.48648551307656</v>
      </c>
      <c r="CE75" s="60">
        <f t="shared" si="94"/>
        <v>133.09277301479563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0">
        <f t="shared" si="68"/>
        <v>293.33333333333582</v>
      </c>
      <c r="CY75" s="60">
        <f ca="1">AVERAGE(OFFSET($CX$3,0,0,'Données projet'!$E$13+1,1))-AVERAGE(OFFSET($H$3,0,0,'Données projet'!$E$13+1,1))</f>
        <v>194.42056369374041</v>
      </c>
      <c r="CZ75" s="60">
        <f t="shared" si="96"/>
        <v>185.75045299455371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225.74447999999992</v>
      </c>
      <c r="DQ75" s="14">
        <f t="shared" si="97"/>
        <v>55.36154088431374</v>
      </c>
      <c r="DR75" s="22">
        <f t="shared" si="70"/>
        <v>489.59298637351299</v>
      </c>
      <c r="DS75" s="60">
        <f t="shared" si="71"/>
        <v>782.92631970684624</v>
      </c>
      <c r="DT75" s="60">
        <f ca="1">AVERAGE(OFFSET($DS$3,0,0,'Données projet'!$E$14+1,1))-AVERAGE(OFFSET($H$3,0,0,'Données projet'!$E$14+1,1))</f>
        <v>274.31056057602081</v>
      </c>
      <c r="DU75" s="60">
        <f t="shared" si="98"/>
        <v>163.41029152029387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3.974358974358978</v>
      </c>
      <c r="EJ75" s="13">
        <f>IF('Données projet'!$A$192&gt;35,EJ74+EI75-ER74,IF(A75&lt;'Données projet'!$A$192,$EG$205^A75,IF(A75='Données projet'!$A$192,'Données projet'!$B$192,EJ74+EI75-ER74)))</f>
        <v>203.46153846153845</v>
      </c>
      <c r="EK75" s="18">
        <f>EJ75*VLOOKUP('Données projet'!$B$15,Paramètres!$A$1:$I$89,3,0)*VLOOKUP('Données projet'!$B$15,Paramètres!$A$1:$I$89,5,0)</f>
        <v>136.482</v>
      </c>
      <c r="EL75" s="14">
        <f t="shared" si="99"/>
        <v>35.489891275121778</v>
      </c>
      <c r="EM75" s="22">
        <f t="shared" si="73"/>
        <v>299.51771063750374</v>
      </c>
      <c r="EN75" s="60">
        <f t="shared" si="74"/>
        <v>592.85104397083705</v>
      </c>
      <c r="EO75" s="60">
        <f ca="1">AVERAGE(OFFSET($EN$3,0,0,'Données projet'!$E$15+1,1))-AVERAGE(OFFSET($H$3,0,0,'Données projet'!$E$15+1,1))</f>
        <v>120.18668518376586</v>
      </c>
      <c r="EP75" s="60">
        <f t="shared" si="100"/>
        <v>110.24821114898037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8">
        <f t="shared" si="56"/>
        <v>438.44191509545817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9.8717948717948705</v>
      </c>
      <c r="N76" s="14">
        <f>IF('Données projet'!$A$36&gt;35,N75+M76-V75,IF(A76&lt;'Données projet'!$A$36,$K$205^A76,IF(A76='Données projet'!$A$36,'Données projet'!$B$36,N75+M76-V75)))</f>
        <v>341.02564102564088</v>
      </c>
      <c r="O76" s="14">
        <f>N76*VLOOKUP('Données projet'!$B$9,Paramètres!$A$1:$I$89,3,0)*VLOOKUP('Données projet'!$B$9,Paramètres!$A$1:$I$89,5,0)</f>
        <v>159.59999999999994</v>
      </c>
      <c r="P76" s="14">
        <f t="shared" si="87"/>
        <v>40.752281150761135</v>
      </c>
      <c r="Q76" s="22">
        <f t="shared" si="54"/>
        <v>348.94688967090889</v>
      </c>
      <c r="R76" s="60">
        <f t="shared" si="55"/>
        <v>642.2802230042422</v>
      </c>
      <c r="S76" s="60">
        <f ca="1">AVERAGE(OFFSET($R$3,0,0,'Données projet'!$E$9+1,1))-AVERAGE(OFFSET($H$3,0,0,'Données projet'!$E$9+1,1))</f>
        <v>106.50743833854523</v>
      </c>
      <c r="T76" s="60">
        <f t="shared" si="88"/>
        <v>47.606751325129608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0">
        <f t="shared" si="59"/>
        <v>763.94335289202195</v>
      </c>
      <c r="AN76" s="60">
        <f ca="1">AVERAGE(OFFSET($AM$3,0,0,'Données projet'!$E$10+1,1))-AVERAGE(OFFSET($H$3,0,0,'Données projet'!$E$10+1,1))</f>
        <v>247.65126267995316</v>
      </c>
      <c r="AO76" s="60">
        <f t="shared" si="90"/>
        <v>149.27472147904314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242.95439999999994</v>
      </c>
      <c r="BF76" s="14">
        <f t="shared" si="91"/>
        <v>59.074730698078945</v>
      </c>
      <c r="BG76" s="22">
        <f t="shared" si="61"/>
        <v>526.034069299154</v>
      </c>
      <c r="BH76" s="60">
        <f t="shared" si="62"/>
        <v>819.36740263248726</v>
      </c>
      <c r="BI76" s="60">
        <f ca="1">AVERAGE(OFFSET($BH$3,0,0,'Données projet'!$E$11+1,1))-AVERAGE(OFFSET($H$3,0,0,'Données projet'!$E$11+1,1))</f>
        <v>294.2815419338562</v>
      </c>
      <c r="BJ76" s="60">
        <f t="shared" si="92"/>
        <v>173.99850582760712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12.555555555555555</v>
      </c>
      <c r="BY76" s="13">
        <f>IF('Données projet'!$A$114&gt;35,BY75+BX76-CG75,IF(A76&lt;'Données projet'!$A$114,$BV$205^A76,IF(A76='Données projet'!$A$114,'Données projet'!$B$114,BY75+BX76-CG75)))</f>
        <v>324.22222222222194</v>
      </c>
      <c r="BZ76" s="14">
        <f>BY76*VLOOKUP('Données projet'!$B$12,Paramètres!$A$1:$I$89,3,0)*VLOOKUP('Données projet'!$B$12,Paramètres!$A$1:$I$89,5,0)</f>
        <v>278.18266666666648</v>
      </c>
      <c r="CA76" s="14">
        <f t="shared" si="93"/>
        <v>66.582808678967709</v>
      </c>
      <c r="CB76" s="22">
        <f t="shared" si="64"/>
        <v>600.46653622697943</v>
      </c>
      <c r="CC76" s="60">
        <f t="shared" si="65"/>
        <v>893.7998695603128</v>
      </c>
      <c r="CD76" s="60">
        <f ca="1">AVERAGE(OFFSET($CC$3,0,0,'Données projet'!$E$12+1,1))-AVERAGE(OFFSET($H$3,0,0,'Données projet'!$E$12+1,1))</f>
        <v>317.48648551307656</v>
      </c>
      <c r="CE76" s="60">
        <f t="shared" si="94"/>
        <v>133.09277301479563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0">
        <f t="shared" si="68"/>
        <v>293.33333333333582</v>
      </c>
      <c r="CY76" s="60">
        <f ca="1">AVERAGE(OFFSET($CX$3,0,0,'Données projet'!$E$13+1,1))-AVERAGE(OFFSET($H$3,0,0,'Données projet'!$E$13+1,1))</f>
        <v>194.42056369374041</v>
      </c>
      <c r="CZ76" s="60">
        <f t="shared" si="96"/>
        <v>185.75045299455371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231.74111999999991</v>
      </c>
      <c r="DQ76" s="14">
        <f t="shared" si="97"/>
        <v>56.658986982752438</v>
      </c>
      <c r="DR76" s="22">
        <f t="shared" si="70"/>
        <v>502.29685299496032</v>
      </c>
      <c r="DS76" s="60">
        <f t="shared" si="71"/>
        <v>795.63018632829358</v>
      </c>
      <c r="DT76" s="60">
        <f ca="1">AVERAGE(OFFSET($DS$3,0,0,'Données projet'!$E$14+1,1))-AVERAGE(OFFSET($H$3,0,0,'Données projet'!$E$14+1,1))</f>
        <v>274.31056057602081</v>
      </c>
      <c r="DU76" s="60">
        <f t="shared" si="98"/>
        <v>163.41029152029387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3.974358974358978</v>
      </c>
      <c r="EJ76" s="13">
        <f>IF('Données projet'!$A$192&gt;35,EJ75+EI76-ER75,IF(A76&lt;'Données projet'!$A$192,$EG$205^A76,IF(A76='Données projet'!$A$192,'Données projet'!$B$192,EJ75+EI76-ER75)))</f>
        <v>207.43589743589743</v>
      </c>
      <c r="EK76" s="18">
        <f>EJ76*VLOOKUP('Données projet'!$B$15,Paramètres!$A$1:$I$89,3,0)*VLOOKUP('Données projet'!$B$15,Paramètres!$A$1:$I$89,5,0)</f>
        <v>139.148</v>
      </c>
      <c r="EL76" s="14">
        <f t="shared" si="99"/>
        <v>36.101754971155387</v>
      </c>
      <c r="EM76" s="22">
        <f t="shared" si="73"/>
        <v>305.22665657476222</v>
      </c>
      <c r="EN76" s="60">
        <f t="shared" si="74"/>
        <v>598.55998990809553</v>
      </c>
      <c r="EO76" s="60">
        <f ca="1">AVERAGE(OFFSET($EN$3,0,0,'Données projet'!$E$15+1,1))-AVERAGE(OFFSET($H$3,0,0,'Données projet'!$E$15+1,1))</f>
        <v>120.18668518376586</v>
      </c>
      <c r="EP76" s="60">
        <f t="shared" si="100"/>
        <v>110.24821114898037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8">
        <f t="shared" si="56"/>
        <v>440.37828502577372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9.8717948717948705</v>
      </c>
      <c r="N77" s="14">
        <f>IF('Données projet'!$A$36&gt;35,N76+M77-V76,IF(A77&lt;'Données projet'!$A$36,$K$205^A77,IF(A77='Données projet'!$A$36,'Données projet'!$B$36,N76+M77-V76)))</f>
        <v>350.89743589743574</v>
      </c>
      <c r="O77" s="14">
        <f>N77*VLOOKUP('Données projet'!$B$9,Paramètres!$A$1:$I$89,3,0)*VLOOKUP('Données projet'!$B$9,Paramètres!$A$1:$I$89,5,0)</f>
        <v>164.21999999999994</v>
      </c>
      <c r="P77" s="14">
        <f t="shared" si="87"/>
        <v>41.792901242713462</v>
      </c>
      <c r="Q77" s="22">
        <f t="shared" si="54"/>
        <v>358.80580299772583</v>
      </c>
      <c r="R77" s="60">
        <f t="shared" si="55"/>
        <v>652.13913633105915</v>
      </c>
      <c r="S77" s="60">
        <f ca="1">AVERAGE(OFFSET($R$3,0,0,'Données projet'!$E$9+1,1))-AVERAGE(OFFSET($H$3,0,0,'Données projet'!$E$9+1,1))</f>
        <v>106.50743833854523</v>
      </c>
      <c r="T77" s="60">
        <f t="shared" si="88"/>
        <v>47.606751325129608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0">
        <f t="shared" si="59"/>
        <v>775.83768133226158</v>
      </c>
      <c r="AN77" s="60">
        <f ca="1">AVERAGE(OFFSET($AM$3,0,0,'Données projet'!$E$10+1,1))-AVERAGE(OFFSET($H$3,0,0,'Données projet'!$E$10+1,1))</f>
        <v>247.65126267995316</v>
      </c>
      <c r="AO77" s="60">
        <f t="shared" si="90"/>
        <v>149.27472147904314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249.24119999999988</v>
      </c>
      <c r="BF77" s="14">
        <f t="shared" si="91"/>
        <v>60.42342651744687</v>
      </c>
      <c r="BG77" s="22">
        <f t="shared" si="61"/>
        <v>539.3325578512198</v>
      </c>
      <c r="BH77" s="60">
        <f t="shared" si="62"/>
        <v>832.66589118455317</v>
      </c>
      <c r="BI77" s="60">
        <f ca="1">AVERAGE(OFFSET($BH$3,0,0,'Données projet'!$E$11+1,1))-AVERAGE(OFFSET($H$3,0,0,'Données projet'!$E$11+1,1))</f>
        <v>294.2815419338562</v>
      </c>
      <c r="BJ77" s="60">
        <f t="shared" si="92"/>
        <v>173.99850582760712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12.555555555555555</v>
      </c>
      <c r="BY77" s="13">
        <f>IF('Données projet'!$A$114&gt;35,BY76+BX77-CG76,IF(A77&lt;'Données projet'!$A$114,$BV$205^A77,IF(A77='Données projet'!$A$114,'Données projet'!$B$114,BY76+BX77-CG76)))</f>
        <v>336.77777777777749</v>
      </c>
      <c r="BZ77" s="14">
        <f>BY77*VLOOKUP('Données projet'!$B$12,Paramètres!$A$1:$I$89,3,0)*VLOOKUP('Données projet'!$B$12,Paramètres!$A$1:$I$89,5,0)</f>
        <v>288.95533333333316</v>
      </c>
      <c r="CA77" s="14">
        <f t="shared" si="93"/>
        <v>68.856046690289261</v>
      </c>
      <c r="CB77" s="22">
        <f t="shared" si="64"/>
        <v>623.18815354114236</v>
      </c>
      <c r="CC77" s="60">
        <f t="shared" si="65"/>
        <v>916.52148687447561</v>
      </c>
      <c r="CD77" s="60">
        <f ca="1">AVERAGE(OFFSET($CC$3,0,0,'Données projet'!$E$12+1,1))-AVERAGE(OFFSET($H$3,0,0,'Données projet'!$E$12+1,1))</f>
        <v>317.48648551307656</v>
      </c>
      <c r="CE77" s="60">
        <f t="shared" si="94"/>
        <v>133.09277301479563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0">
        <f t="shared" si="68"/>
        <v>293.33333333333582</v>
      </c>
      <c r="CY77" s="60">
        <f ca="1">AVERAGE(OFFSET($CX$3,0,0,'Données projet'!$E$13+1,1))-AVERAGE(OFFSET($H$3,0,0,'Données projet'!$E$13+1,1))</f>
        <v>194.42056369374041</v>
      </c>
      <c r="CZ77" s="60">
        <f t="shared" si="96"/>
        <v>185.75045299455371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237.73775999999989</v>
      </c>
      <c r="DQ77" s="14">
        <f t="shared" si="97"/>
        <v>57.952530566790166</v>
      </c>
      <c r="DR77" s="22">
        <f t="shared" si="70"/>
        <v>514.99392273715932</v>
      </c>
      <c r="DS77" s="60">
        <f t="shared" si="71"/>
        <v>808.32725607049269</v>
      </c>
      <c r="DT77" s="60">
        <f ca="1">AVERAGE(OFFSET($DS$3,0,0,'Données projet'!$E$14+1,1))-AVERAGE(OFFSET($H$3,0,0,'Données projet'!$E$14+1,1))</f>
        <v>274.31056057602081</v>
      </c>
      <c r="DU77" s="60">
        <f t="shared" si="98"/>
        <v>163.41029152029387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3.974358974358978</v>
      </c>
      <c r="EJ77" s="13">
        <f>IF('Données projet'!$A$192&gt;35,EJ76+EI77-ER76,IF(A77&lt;'Données projet'!$A$192,$EG$205^A77,IF(A77='Données projet'!$A$192,'Données projet'!$B$192,EJ76+EI77-ER76)))</f>
        <v>211.41025641025641</v>
      </c>
      <c r="EK77" s="18">
        <f>EJ77*VLOOKUP('Données projet'!$B$15,Paramètres!$A$1:$I$89,3,0)*VLOOKUP('Données projet'!$B$15,Paramètres!$A$1:$I$89,5,0)</f>
        <v>141.81399999999999</v>
      </c>
      <c r="EL77" s="14">
        <f t="shared" si="99"/>
        <v>36.712255545122304</v>
      </c>
      <c r="EM77" s="22">
        <f t="shared" si="73"/>
        <v>310.93322840775465</v>
      </c>
      <c r="EN77" s="60">
        <f t="shared" si="74"/>
        <v>604.26656174108803</v>
      </c>
      <c r="EO77" s="60">
        <f ca="1">AVERAGE(OFFSET($EN$3,0,0,'Données projet'!$E$15+1,1))-AVERAGE(OFFSET($H$3,0,0,'Données projet'!$E$15+1,1))</f>
        <v>120.18668518376586</v>
      </c>
      <c r="EP77" s="60">
        <f t="shared" si="100"/>
        <v>110.24821114898037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8">
        <f t="shared" si="56"/>
        <v>442.31404560578176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360.76923076923077</v>
      </c>
      <c r="L78" s="13">
        <f>VLOOKUP(A78,'Données projet'!$A$35:$I$55,9,0)</f>
        <v>9.8717948717948705</v>
      </c>
      <c r="M78" s="13">
        <f t="array" ref="M78">INDEX(L:L,MIN(IF(ISNUMBER(L78:L274),ROW(L78:L274),"")))</f>
        <v>9.8717948717948705</v>
      </c>
      <c r="N78" s="14">
        <f>IF('Données projet'!$A$36&gt;35,N77+M78-V77,IF(A78&lt;'Données projet'!$A$36,$K$205^A78,IF(A78='Données projet'!$A$36,'Données projet'!$B$36,N77+M78-V77)))</f>
        <v>360.7692307692306</v>
      </c>
      <c r="O78" s="14">
        <f>N78*VLOOKUP('Données projet'!$B$9,Paramètres!$A$1:$I$89,3,0)*VLOOKUP('Données projet'!$B$9,Paramètres!$A$1:$I$89,5,0)</f>
        <v>168.83999999999995</v>
      </c>
      <c r="P78" s="14">
        <f t="shared" si="87"/>
        <v>42.830118735743163</v>
      </c>
      <c r="Q78" s="22">
        <f t="shared" si="54"/>
        <v>368.65879013141921</v>
      </c>
      <c r="R78" s="60">
        <f t="shared" si="55"/>
        <v>661.99212346475247</v>
      </c>
      <c r="S78" s="60">
        <f ca="1">AVERAGE(OFFSET($R$3,0,0,'Données projet'!$E$9+1,1))-AVERAGE(OFFSET($H$3,0,0,'Données projet'!$E$9+1,1))</f>
        <v>106.50743833854523</v>
      </c>
      <c r="T78" s="60">
        <f t="shared" si="88"/>
        <v>47.606751325129608</v>
      </c>
      <c r="U78" s="16">
        <f>IF(ISNA(VLOOKUP(A78,'Données projet'!$A$35:$I$55,3,0)),0,VLOOKUP(A78,'Données projet'!$A$35:$I$55,3,0))</f>
        <v>3</v>
      </c>
      <c r="V78" s="16">
        <f>IF(ISNA(VLOOKUP(A78,'Données projet'!$A$35:$I$55,4,0)),0,VLOOKUP(A78,'Données projet'!$A$35:$I$55,4,0))</f>
        <v>85.384615384615415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0">
        <f t="shared" si="59"/>
        <v>787.72578207012918</v>
      </c>
      <c r="AN78" s="60">
        <f ca="1">AVERAGE(OFFSET($AM$3,0,0,'Données projet'!$E$10+1,1))-AVERAGE(OFFSET($H$3,0,0,'Données projet'!$E$10+1,1))</f>
        <v>247.65126267995316</v>
      </c>
      <c r="AO78" s="60">
        <f t="shared" si="90"/>
        <v>149.27472147904314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255.52799999999991</v>
      </c>
      <c r="BF78" s="14">
        <f t="shared" si="91"/>
        <v>61.768167868721477</v>
      </c>
      <c r="BG78" s="22">
        <f t="shared" si="61"/>
        <v>552.62415903802309</v>
      </c>
      <c r="BH78" s="60">
        <f t="shared" si="62"/>
        <v>845.95749237135647</v>
      </c>
      <c r="BI78" s="60">
        <f ca="1">AVERAGE(OFFSET($BH$3,0,0,'Données projet'!$E$11+1,1))-AVERAGE(OFFSET($H$3,0,0,'Données projet'!$E$11+1,1))</f>
        <v>294.2815419338562</v>
      </c>
      <c r="BJ78" s="60">
        <f t="shared" si="92"/>
        <v>173.99850582760712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12.555555555555555</v>
      </c>
      <c r="BY78" s="13">
        <f>IF('Données projet'!$A$114&gt;35,BY77+BX78-CG77,IF(A78&lt;'Données projet'!$A$114,$BV$205^A78,IF(A78='Données projet'!$A$114,'Données projet'!$B$114,BY77+BX78-CG77)))</f>
        <v>349.33333333333303</v>
      </c>
      <c r="BZ78" s="14">
        <f>BY78*VLOOKUP('Données projet'!$B$12,Paramètres!$A$1:$I$89,3,0)*VLOOKUP('Données projet'!$B$12,Paramètres!$A$1:$I$89,5,0)</f>
        <v>299.72799999999978</v>
      </c>
      <c r="CA78" s="14">
        <f t="shared" si="93"/>
        <v>71.119438818118951</v>
      </c>
      <c r="CB78" s="22">
        <f t="shared" si="64"/>
        <v>645.89262260822341</v>
      </c>
      <c r="CC78" s="60">
        <f t="shared" si="65"/>
        <v>939.22595594155678</v>
      </c>
      <c r="CD78" s="60">
        <f ca="1">AVERAGE(OFFSET($CC$3,0,0,'Données projet'!$E$12+1,1))-AVERAGE(OFFSET($H$3,0,0,'Données projet'!$E$12+1,1))</f>
        <v>317.48648551307656</v>
      </c>
      <c r="CE78" s="60">
        <f t="shared" si="94"/>
        <v>133.09277301479563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0">
        <f t="shared" si="68"/>
        <v>293.33333333333582</v>
      </c>
      <c r="CY78" s="60">
        <f ca="1">AVERAGE(OFFSET($CX$3,0,0,'Données projet'!$E$13+1,1))-AVERAGE(OFFSET($H$3,0,0,'Données projet'!$E$13+1,1))</f>
        <v>194.42056369374041</v>
      </c>
      <c r="CZ78" s="60">
        <f t="shared" si="96"/>
        <v>185.75045299455371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243.73439999999988</v>
      </c>
      <c r="DQ78" s="14">
        <f t="shared" si="97"/>
        <v>59.242281392848767</v>
      </c>
      <c r="DR78" s="22">
        <f t="shared" si="70"/>
        <v>527.68438675921141</v>
      </c>
      <c r="DS78" s="60">
        <f t="shared" si="71"/>
        <v>821.01772009254478</v>
      </c>
      <c r="DT78" s="60">
        <f ca="1">AVERAGE(OFFSET($DS$3,0,0,'Données projet'!$E$14+1,1))-AVERAGE(OFFSET($H$3,0,0,'Données projet'!$E$14+1,1))</f>
        <v>274.31056057602081</v>
      </c>
      <c r="DU78" s="60">
        <f t="shared" si="98"/>
        <v>163.41029152029387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215.38461538461539</v>
      </c>
      <c r="EH78" s="13">
        <f>VLOOKUP(A78,'Données projet'!$A$191:$I$211,9,0)</f>
        <v>3.974358974358978</v>
      </c>
      <c r="EI78" s="13">
        <f t="array" ref="EI78">INDEX(EH:EH,MIN(IF(ISNUMBER(EH78:EH274),ROW(EH78:EH274),"")))</f>
        <v>3.974358974358978</v>
      </c>
      <c r="EJ78" s="13">
        <f>IF('Données projet'!$A$192&gt;35,EJ77+EI78-ER77,IF(A78&lt;'Données projet'!$A$192,$EG$205^A78,IF(A78='Données projet'!$A$192,'Données projet'!$B$192,EJ77+EI78-ER77)))</f>
        <v>215.38461538461539</v>
      </c>
      <c r="EK78" s="18">
        <f>EJ78*VLOOKUP('Données projet'!$B$15,Paramètres!$A$1:$I$89,3,0)*VLOOKUP('Données projet'!$B$15,Paramètres!$A$1:$I$89,5,0)</f>
        <v>144.47999999999999</v>
      </c>
      <c r="EL78" s="14">
        <f t="shared" si="99"/>
        <v>37.321421577674684</v>
      </c>
      <c r="EM78" s="22">
        <f t="shared" si="73"/>
        <v>316.63747591445002</v>
      </c>
      <c r="EN78" s="60">
        <f t="shared" si="74"/>
        <v>609.97080924778334</v>
      </c>
      <c r="EO78" s="60">
        <f ca="1">AVERAGE(OFFSET($EN$3,0,0,'Données projet'!$E$15+1,1))-AVERAGE(OFFSET($H$3,0,0,'Données projet'!$E$15+1,1))</f>
        <v>120.18668518376586</v>
      </c>
      <c r="EP78" s="60">
        <f t="shared" si="100"/>
        <v>110.24821114898037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8">
        <f t="shared" si="56"/>
        <v>444.24920589937017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8.9743589743589727</v>
      </c>
      <c r="N79" s="14">
        <f>IF('Données projet'!$A$36&gt;35,N78+M79-V78,IF(A79&lt;'Données projet'!$A$36,$K$205^A79,IF(A79='Données projet'!$A$36,'Données projet'!$B$36,N78+M79-V78)))</f>
        <v>284.35897435897414</v>
      </c>
      <c r="O79" s="14">
        <f>N79*VLOOKUP('Données projet'!$B$9,Paramètres!$A$1:$I$89,3,0)*VLOOKUP('Données projet'!$B$9,Paramètres!$A$1:$I$89,5,0)</f>
        <v>133.0799999999999</v>
      </c>
      <c r="P79" s="14">
        <f t="shared" si="87"/>
        <v>34.707084092439132</v>
      </c>
      <c r="Q79" s="22">
        <f t="shared" si="54"/>
        <v>292.22917146099797</v>
      </c>
      <c r="R79" s="60">
        <f t="shared" si="55"/>
        <v>585.56250479433129</v>
      </c>
      <c r="S79" s="60">
        <f ca="1">AVERAGE(OFFSET($R$3,0,0,'Données projet'!$E$9+1,1))-AVERAGE(OFFSET($H$3,0,0,'Données projet'!$E$9+1,1))</f>
        <v>106.50743833854523</v>
      </c>
      <c r="T79" s="60">
        <f t="shared" si="88"/>
        <v>47.606751325129608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0">
        <f t="shared" si="59"/>
        <v>799.22462707153909</v>
      </c>
      <c r="AN79" s="60">
        <f ca="1">AVERAGE(OFFSET($AM$3,0,0,'Données projet'!$E$10+1,1))-AVERAGE(OFFSET($H$3,0,0,'Données projet'!$E$10+1,1))</f>
        <v>247.65126267995316</v>
      </c>
      <c r="AO79" s="60">
        <f t="shared" si="90"/>
        <v>149.27472147904314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261.61199999999991</v>
      </c>
      <c r="BF79" s="14">
        <f t="shared" si="91"/>
        <v>63.065867509496442</v>
      </c>
      <c r="BG79" s="22">
        <f t="shared" si="61"/>
        <v>565.48061924570618</v>
      </c>
      <c r="BH79" s="60">
        <f t="shared" si="62"/>
        <v>858.81395257903955</v>
      </c>
      <c r="BI79" s="60">
        <f ca="1">AVERAGE(OFFSET($BH$3,0,0,'Données projet'!$E$11+1,1))-AVERAGE(OFFSET($H$3,0,0,'Données projet'!$E$11+1,1))</f>
        <v>294.2815419338562</v>
      </c>
      <c r="BJ79" s="60">
        <f t="shared" si="92"/>
        <v>173.99850582760712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12.555555555555555</v>
      </c>
      <c r="BY79" s="13">
        <f>IF('Données projet'!$A$114&gt;35,BY78+BX79-CG78,IF(A79&lt;'Données projet'!$A$114,$BV$205^A79,IF(A79='Données projet'!$A$114,'Données projet'!$B$114,BY78+BX79-CG78)))</f>
        <v>361.88888888888857</v>
      </c>
      <c r="BZ79" s="14">
        <f>BY79*VLOOKUP('Données projet'!$B$12,Paramètres!$A$1:$I$89,3,0)*VLOOKUP('Données projet'!$B$12,Paramètres!$A$1:$I$89,5,0)</f>
        <v>310.5006666666664</v>
      </c>
      <c r="CA79" s="14">
        <f t="shared" si="93"/>
        <v>73.373379476611461</v>
      </c>
      <c r="CB79" s="22">
        <f t="shared" si="64"/>
        <v>668.58063036620888</v>
      </c>
      <c r="CC79" s="60">
        <f t="shared" si="65"/>
        <v>961.91396369954214</v>
      </c>
      <c r="CD79" s="60">
        <f ca="1">AVERAGE(OFFSET($CC$3,0,0,'Données projet'!$E$12+1,1))-AVERAGE(OFFSET($H$3,0,0,'Données projet'!$E$12+1,1))</f>
        <v>317.48648551307656</v>
      </c>
      <c r="CE79" s="60">
        <f t="shared" si="94"/>
        <v>133.09277301479563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0">
        <f t="shared" si="68"/>
        <v>293.33333333333582</v>
      </c>
      <c r="CY79" s="60">
        <f ca="1">AVERAGE(OFFSET($CX$3,0,0,'Données projet'!$E$13+1,1))-AVERAGE(OFFSET($H$3,0,0,'Données projet'!$E$13+1,1))</f>
        <v>194.42056369374041</v>
      </c>
      <c r="CZ79" s="60">
        <f t="shared" si="96"/>
        <v>185.75045299455371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249.53759999999988</v>
      </c>
      <c r="DQ79" s="14">
        <f t="shared" si="97"/>
        <v>60.486914185674671</v>
      </c>
      <c r="DR79" s="22">
        <f t="shared" si="70"/>
        <v>539.95936220671649</v>
      </c>
      <c r="DS79" s="60">
        <f t="shared" si="71"/>
        <v>833.29269554004986</v>
      </c>
      <c r="DT79" s="60">
        <f ca="1">AVERAGE(OFFSET($DS$3,0,0,'Données projet'!$E$14+1,1))-AVERAGE(OFFSET($H$3,0,0,'Données projet'!$E$14+1,1))</f>
        <v>274.31056057602081</v>
      </c>
      <c r="DU79" s="60">
        <f t="shared" si="98"/>
        <v>163.41029152029387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3.7179487179487181</v>
      </c>
      <c r="EJ79" s="13">
        <f>IF('Données projet'!$A$192&gt;35,EJ78+EI79-ER78,IF(A79&lt;'Données projet'!$A$192,$EG$205^A79,IF(A79='Données projet'!$A$192,'Données projet'!$B$192,EJ78+EI79-ER78)))</f>
        <v>219.10256410256412</v>
      </c>
      <c r="EK79" s="18">
        <f>EJ79*VLOOKUP('Données projet'!$B$15,Paramètres!$A$1:$I$89,3,0)*VLOOKUP('Données projet'!$B$15,Paramètres!$A$1:$I$89,5,0)</f>
        <v>146.97400000000002</v>
      </c>
      <c r="EL79" s="14">
        <f t="shared" si="99"/>
        <v>37.890102751431449</v>
      </c>
      <c r="EM79" s="22">
        <f t="shared" si="73"/>
        <v>321.97164562540979</v>
      </c>
      <c r="EN79" s="60">
        <f t="shared" si="74"/>
        <v>615.30497895874305</v>
      </c>
      <c r="EO79" s="60">
        <f ca="1">AVERAGE(OFFSET($EN$3,0,0,'Données projet'!$E$15+1,1))-AVERAGE(OFFSET($H$3,0,0,'Données projet'!$E$15+1,1))</f>
        <v>120.18668518376586</v>
      </c>
      <c r="EP79" s="60">
        <f t="shared" si="100"/>
        <v>110.24821114898037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8">
        <f t="shared" si="56"/>
        <v>446.18377471819281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8.9743589743589727</v>
      </c>
      <c r="N80" s="14">
        <f>IF('Données projet'!$A$36&gt;35,N79+M80-V79,IF(A80&lt;'Données projet'!$A$36,$K$205^A80,IF(A80='Données projet'!$A$36,'Données projet'!$B$36,N79+M80-V79)))</f>
        <v>293.33333333333309</v>
      </c>
      <c r="O80" s="14">
        <f>N80*VLOOKUP('Données projet'!$B$9,Paramètres!$A$1:$I$89,3,0)*VLOOKUP('Données projet'!$B$9,Paramètres!$A$1:$I$89,5,0)</f>
        <v>137.27999999999989</v>
      </c>
      <c r="P80" s="14">
        <f t="shared" si="87"/>
        <v>35.673181961873411</v>
      </c>
      <c r="Q80" s="22">
        <f t="shared" si="54"/>
        <v>301.22679191692936</v>
      </c>
      <c r="R80" s="60">
        <f t="shared" si="55"/>
        <v>594.56012525026267</v>
      </c>
      <c r="S80" s="60">
        <f ca="1">AVERAGE(OFFSET($R$3,0,0,'Données projet'!$E$9+1,1))-AVERAGE(OFFSET($H$3,0,0,'Données projet'!$E$9+1,1))</f>
        <v>106.50743833854523</v>
      </c>
      <c r="T80" s="60">
        <f t="shared" si="88"/>
        <v>47.606751325129608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0">
        <f t="shared" si="59"/>
        <v>810.71794681982283</v>
      </c>
      <c r="AN80" s="60">
        <f ca="1">AVERAGE(OFFSET($AM$3,0,0,'Données projet'!$E$10+1,1))-AVERAGE(OFFSET($H$3,0,0,'Données projet'!$E$10+1,1))</f>
        <v>247.65126267995316</v>
      </c>
      <c r="AO80" s="60">
        <f t="shared" si="90"/>
        <v>149.27472147904314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267.69599999999991</v>
      </c>
      <c r="BF80" s="14">
        <f t="shared" si="91"/>
        <v>64.360058723585439</v>
      </c>
      <c r="BG80" s="22">
        <f t="shared" si="61"/>
        <v>578.33096894357777</v>
      </c>
      <c r="BH80" s="60">
        <f t="shared" si="62"/>
        <v>871.66430227691103</v>
      </c>
      <c r="BI80" s="60">
        <f ca="1">AVERAGE(OFFSET($BH$3,0,0,'Données projet'!$E$11+1,1))-AVERAGE(OFFSET($H$3,0,0,'Données projet'!$E$11+1,1))</f>
        <v>294.2815419338562</v>
      </c>
      <c r="BJ80" s="60">
        <f t="shared" si="92"/>
        <v>173.99850582760712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12.555555555555555</v>
      </c>
      <c r="BY80" s="13">
        <f>IF('Données projet'!$A$114&gt;35,BY79+BX80-CG79,IF(A80&lt;'Données projet'!$A$114,$BV$205^A80,IF(A80='Données projet'!$A$114,'Données projet'!$B$114,BY79+BX80-CG79)))</f>
        <v>374.44444444444412</v>
      </c>
      <c r="BZ80" s="14">
        <f>BY80*VLOOKUP('Données projet'!$B$12,Paramètres!$A$1:$I$89,3,0)*VLOOKUP('Données projet'!$B$12,Paramètres!$A$1:$I$89,5,0)</f>
        <v>321.27333333333308</v>
      </c>
      <c r="CA80" s="14">
        <f t="shared" si="93"/>
        <v>75.618234159828049</v>
      </c>
      <c r="CB80" s="22">
        <f t="shared" si="64"/>
        <v>691.25281338392233</v>
      </c>
      <c r="CC80" s="60">
        <f t="shared" si="65"/>
        <v>984.58614671725559</v>
      </c>
      <c r="CD80" s="60">
        <f ca="1">AVERAGE(OFFSET($CC$3,0,0,'Données projet'!$E$12+1,1))-AVERAGE(OFFSET($H$3,0,0,'Données projet'!$E$12+1,1))</f>
        <v>317.48648551307656</v>
      </c>
      <c r="CE80" s="60">
        <f t="shared" si="94"/>
        <v>133.09277301479563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0">
        <f t="shared" si="68"/>
        <v>293.33333333333582</v>
      </c>
      <c r="CY80" s="60">
        <f ca="1">AVERAGE(OFFSET($CX$3,0,0,'Données projet'!$E$13+1,1))-AVERAGE(OFFSET($H$3,0,0,'Données projet'!$E$13+1,1))</f>
        <v>194.42056369374041</v>
      </c>
      <c r="CZ80" s="60">
        <f t="shared" si="96"/>
        <v>185.75045299455371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255.34079999999989</v>
      </c>
      <c r="DQ80" s="14">
        <f t="shared" si="97"/>
        <v>61.728182021951895</v>
      </c>
      <c r="DR80" s="22">
        <f t="shared" si="70"/>
        <v>552.22847702156594</v>
      </c>
      <c r="DS80" s="60">
        <f t="shared" si="71"/>
        <v>845.56181035489931</v>
      </c>
      <c r="DT80" s="60">
        <f ca="1">AVERAGE(OFFSET($DS$3,0,0,'Données projet'!$E$14+1,1))-AVERAGE(OFFSET($H$3,0,0,'Données projet'!$E$14+1,1))</f>
        <v>274.31056057602081</v>
      </c>
      <c r="DU80" s="60">
        <f t="shared" si="98"/>
        <v>163.41029152029387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3.7179487179487181</v>
      </c>
      <c r="EJ80" s="13">
        <f>IF('Données projet'!$A$192&gt;35,EJ79+EI80-ER79,IF(A80&lt;'Données projet'!$A$192,$EG$205^A80,IF(A80='Données projet'!$A$192,'Données projet'!$B$192,EJ79+EI80-ER79)))</f>
        <v>222.82051282051285</v>
      </c>
      <c r="EK80" s="18">
        <f>EJ80*VLOOKUP('Données projet'!$B$15,Paramètres!$A$1:$I$89,3,0)*VLOOKUP('Données projet'!$B$15,Paramètres!$A$1:$I$89,5,0)</f>
        <v>149.46800000000002</v>
      </c>
      <c r="EL80" s="14">
        <f t="shared" si="99"/>
        <v>38.457661723375892</v>
      </c>
      <c r="EM80" s="22">
        <f t="shared" si="73"/>
        <v>327.30386083487969</v>
      </c>
      <c r="EN80" s="60">
        <f t="shared" si="74"/>
        <v>620.637194168213</v>
      </c>
      <c r="EO80" s="60">
        <f ca="1">AVERAGE(OFFSET($EN$3,0,0,'Données projet'!$E$15+1,1))-AVERAGE(OFFSET($H$3,0,0,'Données projet'!$E$15+1,1))</f>
        <v>120.18668518376586</v>
      </c>
      <c r="EP80" s="60">
        <f t="shared" si="100"/>
        <v>110.24821114898037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8">
        <f t="shared" si="56"/>
        <v>448.11776063187176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8.9743589743589727</v>
      </c>
      <c r="N81" s="14">
        <f>IF('Données projet'!$A$36&gt;35,N80+M81-V80,IF(A81&lt;'Données projet'!$A$36,$K$205^A81,IF(A81='Données projet'!$A$36,'Données projet'!$B$36,N80+M81-V80)))</f>
        <v>302.30769230769204</v>
      </c>
      <c r="O81" s="14">
        <f>N81*VLOOKUP('Données projet'!$B$9,Paramètres!$A$1:$I$89,3,0)*VLOOKUP('Données projet'!$B$9,Paramètres!$A$1:$I$89,5,0)</f>
        <v>141.47999999999988</v>
      </c>
      <c r="P81" s="14">
        <f t="shared" si="87"/>
        <v>36.635844927016009</v>
      </c>
      <c r="Q81" s="22">
        <f t="shared" si="54"/>
        <v>310.21842991455259</v>
      </c>
      <c r="R81" s="60">
        <f t="shared" si="55"/>
        <v>603.5517632478859</v>
      </c>
      <c r="S81" s="60">
        <f ca="1">AVERAGE(OFFSET($R$3,0,0,'Données projet'!$E$9+1,1))-AVERAGE(OFFSET($H$3,0,0,'Données projet'!$E$9+1,1))</f>
        <v>106.50743833854523</v>
      </c>
      <c r="T81" s="60">
        <f t="shared" si="88"/>
        <v>47.606751325129608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0">
        <f t="shared" si="59"/>
        <v>822.20588134481159</v>
      </c>
      <c r="AN81" s="60">
        <f ca="1">AVERAGE(OFFSET($AM$3,0,0,'Données projet'!$E$10+1,1))-AVERAGE(OFFSET($H$3,0,0,'Données projet'!$E$10+1,1))</f>
        <v>247.65126267995316</v>
      </c>
      <c r="AO81" s="60">
        <f t="shared" si="90"/>
        <v>149.27472147904314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273.77999999999992</v>
      </c>
      <c r="BF81" s="14">
        <f t="shared" si="91"/>
        <v>65.650830427167435</v>
      </c>
      <c r="BG81" s="22">
        <f t="shared" si="61"/>
        <v>591.17536299398307</v>
      </c>
      <c r="BH81" s="60">
        <f t="shared" si="62"/>
        <v>884.50869632731633</v>
      </c>
      <c r="BI81" s="60">
        <f ca="1">AVERAGE(OFFSET($BH$3,0,0,'Données projet'!$E$11+1,1))-AVERAGE(OFFSET($H$3,0,0,'Données projet'!$E$11+1,1))</f>
        <v>294.2815419338562</v>
      </c>
      <c r="BJ81" s="60">
        <f t="shared" si="92"/>
        <v>173.99850582760712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>
        <f>VLOOKUP(A81,'Données projet'!$A$113:$I$133,2,0)</f>
        <v>387</v>
      </c>
      <c r="BW81" s="13">
        <f>VLOOKUP(A81,'Données projet'!$A$113:$I$133,9,0)</f>
        <v>12.555555555555555</v>
      </c>
      <c r="BX81" s="13">
        <f t="array" ref="BX81">INDEX(BW:BW,MIN(IF(ISNUMBER(BW81:BW277),ROW(BW81:BW277),"")))</f>
        <v>12.555555555555555</v>
      </c>
      <c r="BY81" s="13">
        <f>IF('Données projet'!$A$114&gt;35,BY80+BX81-CG80,IF(A81&lt;'Données projet'!$A$114,$BV$205^A81,IF(A81='Données projet'!$A$114,'Données projet'!$B$114,BY80+BX81-CG80)))</f>
        <v>386.99999999999966</v>
      </c>
      <c r="BZ81" s="14">
        <f>BY81*VLOOKUP('Données projet'!$B$12,Paramètres!$A$1:$I$89,3,0)*VLOOKUP('Données projet'!$B$12,Paramètres!$A$1:$I$89,5,0)</f>
        <v>332.04599999999971</v>
      </c>
      <c r="CA81" s="14">
        <f t="shared" si="93"/>
        <v>77.854342460208571</v>
      </c>
      <c r="CB81" s="22">
        <f t="shared" si="64"/>
        <v>713.90976311819611</v>
      </c>
      <c r="CC81" s="60">
        <f t="shared" si="65"/>
        <v>1007.2430964515295</v>
      </c>
      <c r="CD81" s="60">
        <f ca="1">AVERAGE(OFFSET($CC$3,0,0,'Données projet'!$E$12+1,1))-AVERAGE(OFFSET($H$3,0,0,'Données projet'!$E$12+1,1))</f>
        <v>317.48648551307656</v>
      </c>
      <c r="CE81" s="60">
        <f t="shared" si="94"/>
        <v>133.09277301479563</v>
      </c>
      <c r="CF81" s="16">
        <f>IF(ISNA(VLOOKUP(A81,'Données projet'!$A$113:$I$133,3,0)),0,VLOOKUP(A81,'Données projet'!$A$113:$I$133,3,0))</f>
        <v>9</v>
      </c>
      <c r="CG81" s="16">
        <f>IF(ISNA(VLOOKUP(A81,'Données projet'!$A$113:$I$133,4,0)),0,VLOOKUP(A81,'Données projet'!$A$113:$I$133,4,0))</f>
        <v>39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0">
        <f t="shared" si="68"/>
        <v>293.33333333333582</v>
      </c>
      <c r="CY81" s="60">
        <f ca="1">AVERAGE(OFFSET($CX$3,0,0,'Données projet'!$E$13+1,1))-AVERAGE(OFFSET($H$3,0,0,'Données projet'!$E$13+1,1))</f>
        <v>194.42056369374041</v>
      </c>
      <c r="CZ81" s="60">
        <f t="shared" si="96"/>
        <v>185.75045299455371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261.14399999999989</v>
      </c>
      <c r="DQ81" s="14">
        <f t="shared" si="97"/>
        <v>62.966170181808813</v>
      </c>
      <c r="DR81" s="22">
        <f t="shared" si="70"/>
        <v>564.49187973331675</v>
      </c>
      <c r="DS81" s="60">
        <f t="shared" si="71"/>
        <v>857.82521306665012</v>
      </c>
      <c r="DT81" s="60">
        <f ca="1">AVERAGE(OFFSET($DS$3,0,0,'Données projet'!$E$14+1,1))-AVERAGE(OFFSET($H$3,0,0,'Données projet'!$E$14+1,1))</f>
        <v>274.31056057602081</v>
      </c>
      <c r="DU81" s="60">
        <f t="shared" si="98"/>
        <v>163.41029152029387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3.7179487179487181</v>
      </c>
      <c r="EJ81" s="13">
        <f>IF('Données projet'!$A$192&gt;35,EJ80+EI81-ER80,IF(A81&lt;'Données projet'!$A$192,$EG$205^A81,IF(A81='Données projet'!$A$192,'Données projet'!$B$192,EJ80+EI81-ER80)))</f>
        <v>226.53846153846158</v>
      </c>
      <c r="EK81" s="18">
        <f>EJ81*VLOOKUP('Données projet'!$B$15,Paramètres!$A$1:$I$89,3,0)*VLOOKUP('Données projet'!$B$15,Paramètres!$A$1:$I$89,5,0)</f>
        <v>151.96200000000002</v>
      </c>
      <c r="EL81" s="14">
        <f t="shared" si="99"/>
        <v>39.024119379636694</v>
      </c>
      <c r="EM81" s="22">
        <f t="shared" si="73"/>
        <v>332.63415791953389</v>
      </c>
      <c r="EN81" s="60">
        <f t="shared" si="74"/>
        <v>625.96749125286715</v>
      </c>
      <c r="EO81" s="60">
        <f ca="1">AVERAGE(OFFSET($EN$3,0,0,'Données projet'!$E$15+1,1))-AVERAGE(OFFSET($H$3,0,0,'Données projet'!$E$15+1,1))</f>
        <v>120.18668518376586</v>
      </c>
      <c r="EP81" s="60">
        <f t="shared" si="100"/>
        <v>110.24821114898037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8">
        <f t="shared" si="56"/>
        <v>450.05117197766094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8.9743589743589727</v>
      </c>
      <c r="N82" s="14">
        <f>IF('Données projet'!$A$36&gt;35,N81+M82-V81,IF(A82&lt;'Données projet'!$A$36,$K$205^A82,IF(A82='Données projet'!$A$36,'Données projet'!$B$36,N81+M82-V81)))</f>
        <v>311.28205128205099</v>
      </c>
      <c r="O82" s="14">
        <f>N82*VLOOKUP('Données projet'!$B$9,Paramètres!$A$1:$I$89,3,0)*VLOOKUP('Données projet'!$B$9,Paramètres!$A$1:$I$89,5,0)</f>
        <v>145.67999999999986</v>
      </c>
      <c r="P82" s="14">
        <f t="shared" si="87"/>
        <v>37.595186663644121</v>
      </c>
      <c r="Q82" s="22">
        <f t="shared" si="54"/>
        <v>319.2042834391799</v>
      </c>
      <c r="R82" s="60">
        <f t="shared" si="55"/>
        <v>612.53761677251327</v>
      </c>
      <c r="S82" s="60">
        <f ca="1">AVERAGE(OFFSET($R$3,0,0,'Données projet'!$E$9+1,1))-AVERAGE(OFFSET($H$3,0,0,'Données projet'!$E$9+1,1))</f>
        <v>106.50743833854523</v>
      </c>
      <c r="T82" s="60">
        <f t="shared" si="88"/>
        <v>47.606751325129608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0">
        <f t="shared" si="59"/>
        <v>833.68856409746058</v>
      </c>
      <c r="AN82" s="60">
        <f ca="1">AVERAGE(OFFSET($AM$3,0,0,'Données projet'!$E$10+1,1))-AVERAGE(OFFSET($H$3,0,0,'Données projet'!$E$10+1,1))</f>
        <v>247.65126267995316</v>
      </c>
      <c r="AO82" s="60">
        <f t="shared" si="90"/>
        <v>149.27472147904314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279.86399999999986</v>
      </c>
      <c r="BF82" s="14">
        <f t="shared" si="91"/>
        <v>66.938267358965007</v>
      </c>
      <c r="BG82" s="22">
        <f t="shared" si="61"/>
        <v>604.01394898353044</v>
      </c>
      <c r="BH82" s="60">
        <f t="shared" si="62"/>
        <v>897.34728231686381</v>
      </c>
      <c r="BI82" s="60">
        <f ca="1">AVERAGE(OFFSET($BH$3,0,0,'Données projet'!$E$11+1,1))-AVERAGE(OFFSET($H$3,0,0,'Données projet'!$E$11+1,1))</f>
        <v>294.2815419338562</v>
      </c>
      <c r="BJ82" s="60">
        <f t="shared" si="92"/>
        <v>173.99850582760712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11.571428571428571</v>
      </c>
      <c r="BY82" s="13">
        <f>IF('Données projet'!$A$114&gt;35,BY81+BX82-CG81,IF(A82&lt;'Données projet'!$A$114,$BV$205^A82,IF(A82='Données projet'!$A$114,'Données projet'!$B$114,BY81+BX82-CG81)))</f>
        <v>359.57142857142821</v>
      </c>
      <c r="BZ82" s="14">
        <f>BY82*VLOOKUP('Données projet'!$B$12,Paramètres!$A$1:$I$89,3,0)*VLOOKUP('Données projet'!$B$12,Paramètres!$A$1:$I$89,5,0)</f>
        <v>308.51228571428544</v>
      </c>
      <c r="CA82" s="14">
        <f t="shared" si="93"/>
        <v>72.958049282094052</v>
      </c>
      <c r="CB82" s="22">
        <f t="shared" si="64"/>
        <v>664.39416678536099</v>
      </c>
      <c r="CC82" s="60">
        <f t="shared" si="65"/>
        <v>957.72750011869425</v>
      </c>
      <c r="CD82" s="60">
        <f ca="1">AVERAGE(OFFSET($CC$3,0,0,'Données projet'!$E$12+1,1))-AVERAGE(OFFSET($H$3,0,0,'Données projet'!$E$12+1,1))</f>
        <v>317.48648551307656</v>
      </c>
      <c r="CE82" s="60">
        <f t="shared" si="94"/>
        <v>133.09277301479563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0">
        <f t="shared" si="68"/>
        <v>293.33333333333582</v>
      </c>
      <c r="CY82" s="60">
        <f ca="1">AVERAGE(OFFSET($CX$3,0,0,'Données projet'!$E$13+1,1))-AVERAGE(OFFSET($H$3,0,0,'Données projet'!$E$13+1,1))</f>
        <v>194.42056369374041</v>
      </c>
      <c r="CZ82" s="60">
        <f t="shared" si="96"/>
        <v>185.75045299455371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266.9471999999999</v>
      </c>
      <c r="DQ82" s="14">
        <f t="shared" si="97"/>
        <v>64.200959938746379</v>
      </c>
      <c r="DR82" s="22">
        <f t="shared" si="70"/>
        <v>576.74971189331643</v>
      </c>
      <c r="DS82" s="60">
        <f t="shared" si="71"/>
        <v>870.0830452266498</v>
      </c>
      <c r="DT82" s="60">
        <f ca="1">AVERAGE(OFFSET($DS$3,0,0,'Données projet'!$E$14+1,1))-AVERAGE(OFFSET($H$3,0,0,'Données projet'!$E$14+1,1))</f>
        <v>274.31056057602081</v>
      </c>
      <c r="DU82" s="60">
        <f t="shared" si="98"/>
        <v>163.41029152029387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3.7179487179487181</v>
      </c>
      <c r="EJ82" s="13">
        <f>IF('Données projet'!$A$192&gt;35,EJ81+EI82-ER81,IF(A82&lt;'Données projet'!$A$192,$EG$205^A82,IF(A82='Données projet'!$A$192,'Données projet'!$B$192,EJ81+EI82-ER81)))</f>
        <v>230.25641025641031</v>
      </c>
      <c r="EK82" s="18">
        <f>EJ82*VLOOKUP('Données projet'!$B$15,Paramètres!$A$1:$I$89,3,0)*VLOOKUP('Données projet'!$B$15,Paramètres!$A$1:$I$89,5,0)</f>
        <v>154.45600000000005</v>
      </c>
      <c r="EL82" s="14">
        <f t="shared" si="99"/>
        <v>39.589495881471649</v>
      </c>
      <c r="EM82" s="22">
        <f t="shared" si="73"/>
        <v>337.96257199356324</v>
      </c>
      <c r="EN82" s="60">
        <f t="shared" si="74"/>
        <v>631.29590532689656</v>
      </c>
      <c r="EO82" s="60">
        <f ca="1">AVERAGE(OFFSET($EN$3,0,0,'Données projet'!$E$15+1,1))-AVERAGE(OFFSET($H$3,0,0,'Données projet'!$E$15+1,1))</f>
        <v>120.18668518376586</v>
      </c>
      <c r="EP82" s="60">
        <f t="shared" si="100"/>
        <v>110.24821114898037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8">
        <f t="shared" si="56"/>
        <v>451.98401686960722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8.9743589743589727</v>
      </c>
      <c r="N83" s="14">
        <f>IF('Données projet'!$A$36&gt;35,N82+M83-V82,IF(A83&lt;'Données projet'!$A$36,$K$205^A83,IF(A83='Données projet'!$A$36,'Données projet'!$B$36,N82+M83-V82)))</f>
        <v>320.25641025640994</v>
      </c>
      <c r="O83" s="14">
        <f>N83*VLOOKUP('Données projet'!$B$9,Paramètres!$A$1:$I$89,3,0)*VLOOKUP('Données projet'!$B$9,Paramètres!$A$1:$I$89,5,0)</f>
        <v>149.87999999999985</v>
      </c>
      <c r="P83" s="14">
        <f t="shared" si="87"/>
        <v>38.551313920160567</v>
      </c>
      <c r="Q83" s="22">
        <f t="shared" si="54"/>
        <v>328.18453841094606</v>
      </c>
      <c r="R83" s="60">
        <f t="shared" si="55"/>
        <v>621.51787174427932</v>
      </c>
      <c r="S83" s="60">
        <f ca="1">AVERAGE(OFFSET($R$3,0,0,'Données projet'!$E$9+1,1))-AVERAGE(OFFSET($H$3,0,0,'Données projet'!$E$9+1,1))</f>
        <v>106.50743833854523</v>
      </c>
      <c r="T83" s="60">
        <f t="shared" si="88"/>
        <v>47.606751325129608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0">
        <f t="shared" si="59"/>
        <v>845.16612239513029</v>
      </c>
      <c r="AN83" s="60">
        <f ca="1">AVERAGE(OFFSET($AM$3,0,0,'Données projet'!$E$10+1,1))-AVERAGE(OFFSET($H$3,0,0,'Données projet'!$E$10+1,1))</f>
        <v>247.65126267995316</v>
      </c>
      <c r="AO83" s="60">
        <f t="shared" si="90"/>
        <v>149.27472147904314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285.94799999999992</v>
      </c>
      <c r="BF83" s="14">
        <f t="shared" si="91"/>
        <v>68.222450362989363</v>
      </c>
      <c r="BG83" s="22">
        <f t="shared" si="61"/>
        <v>616.84686771553959</v>
      </c>
      <c r="BH83" s="60">
        <f t="shared" si="62"/>
        <v>910.18020104887296</v>
      </c>
      <c r="BI83" s="60">
        <f ca="1">AVERAGE(OFFSET($BH$3,0,0,'Données projet'!$E$11+1,1))-AVERAGE(OFFSET($H$3,0,0,'Données projet'!$E$11+1,1))</f>
        <v>294.2815419338562</v>
      </c>
      <c r="BJ83" s="60">
        <f t="shared" si="92"/>
        <v>173.99850582760712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11.571428571428571</v>
      </c>
      <c r="BY83" s="13">
        <f>IF('Données projet'!$A$114&gt;35,BY82+BX83-CG82,IF(A83&lt;'Données projet'!$A$114,$BV$205^A83,IF(A83='Données projet'!$A$114,'Données projet'!$B$114,BY82+BX83-CG82)))</f>
        <v>371.14285714285677</v>
      </c>
      <c r="BZ83" s="14">
        <f>BY83*VLOOKUP('Données projet'!$B$12,Paramètres!$A$1:$I$89,3,0)*VLOOKUP('Données projet'!$B$12,Paramètres!$A$1:$I$89,5,0)</f>
        <v>318.44057142857116</v>
      </c>
      <c r="CA83" s="14">
        <f t="shared" si="93"/>
        <v>75.028792027395284</v>
      </c>
      <c r="CB83" s="22">
        <f t="shared" si="64"/>
        <v>685.29247468580832</v>
      </c>
      <c r="CC83" s="60">
        <f t="shared" si="65"/>
        <v>978.62580801914169</v>
      </c>
      <c r="CD83" s="60">
        <f ca="1">AVERAGE(OFFSET($CC$3,0,0,'Données projet'!$E$12+1,1))-AVERAGE(OFFSET($H$3,0,0,'Données projet'!$E$12+1,1))</f>
        <v>317.48648551307656</v>
      </c>
      <c r="CE83" s="60">
        <f t="shared" si="94"/>
        <v>133.09277301479563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0">
        <f t="shared" si="68"/>
        <v>293.33333333333582</v>
      </c>
      <c r="CY83" s="60">
        <f ca="1">AVERAGE(OFFSET($CX$3,0,0,'Données projet'!$E$13+1,1))-AVERAGE(OFFSET($H$3,0,0,'Données projet'!$E$13+1,1))</f>
        <v>194.42056369374041</v>
      </c>
      <c r="CZ83" s="60">
        <f t="shared" si="96"/>
        <v>185.75045299455371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272.7503999999999</v>
      </c>
      <c r="DQ83" s="14">
        <f t="shared" si="97"/>
        <v>65.432628830820633</v>
      </c>
      <c r="DR83" s="22">
        <f t="shared" si="70"/>
        <v>589.00210854701243</v>
      </c>
      <c r="DS83" s="60">
        <f t="shared" si="71"/>
        <v>882.3354418803458</v>
      </c>
      <c r="DT83" s="60">
        <f ca="1">AVERAGE(OFFSET($DS$3,0,0,'Données projet'!$E$14+1,1))-AVERAGE(OFFSET($H$3,0,0,'Données projet'!$E$14+1,1))</f>
        <v>274.31056057602081</v>
      </c>
      <c r="DU83" s="60">
        <f t="shared" si="98"/>
        <v>163.41029152029387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233.97435897435898</v>
      </c>
      <c r="EH83" s="13">
        <f>VLOOKUP(A83,'Données projet'!$A$191:$I$211,9,0)</f>
        <v>3.7179487179487181</v>
      </c>
      <c r="EI83" s="13">
        <f t="array" ref="EI83">INDEX(EH:EH,MIN(IF(ISNUMBER(EH83:EH279),ROW(EH83:EH279),"")))</f>
        <v>3.7179487179487181</v>
      </c>
      <c r="EJ83" s="13">
        <f>IF('Données projet'!$A$192&gt;35,EJ82+EI83-ER82,IF(A83&lt;'Données projet'!$A$192,$EG$205^A83,IF(A83='Données projet'!$A$192,'Données projet'!$B$192,EJ82+EI83-ER82)))</f>
        <v>233.97435897435903</v>
      </c>
      <c r="EK83" s="18">
        <f>EJ83*VLOOKUP('Données projet'!$B$15,Paramètres!$A$1:$I$89,3,0)*VLOOKUP('Données projet'!$B$15,Paramètres!$A$1:$I$89,5,0)</f>
        <v>156.95000000000005</v>
      </c>
      <c r="EL83" s="14">
        <f t="shared" si="99"/>
        <v>40.153810701715507</v>
      </c>
      <c r="EM83" s="22">
        <f t="shared" si="73"/>
        <v>343.28913697215461</v>
      </c>
      <c r="EN83" s="60">
        <f t="shared" si="74"/>
        <v>636.62247030548792</v>
      </c>
      <c r="EO83" s="60">
        <f ca="1">AVERAGE(OFFSET($EN$3,0,0,'Données projet'!$E$15+1,1))-AVERAGE(OFFSET($H$3,0,0,'Données projet'!$E$15+1,1))</f>
        <v>120.18668518376586</v>
      </c>
      <c r="EP83" s="60">
        <f t="shared" si="100"/>
        <v>110.24821114898037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22.435897435897434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8">
        <f t="shared" si="56"/>
        <v>453.91630320723971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8.9743589743589727</v>
      </c>
      <c r="N84" s="14">
        <f>IF('Données projet'!$A$36&gt;35,N83+M84-V83,IF(A84&lt;'Données projet'!$A$36,$K$205^A84,IF(A84='Données projet'!$A$36,'Données projet'!$B$36,N83+M84-V83)))</f>
        <v>329.23076923076889</v>
      </c>
      <c r="O84" s="14">
        <f>N84*VLOOKUP('Données projet'!$B$9,Paramètres!$A$1:$I$89,3,0)*VLOOKUP('Données projet'!$B$9,Paramètres!$A$1:$I$89,5,0)</f>
        <v>154.07999999999984</v>
      </c>
      <c r="P84" s="14">
        <f t="shared" si="87"/>
        <v>39.504327121889887</v>
      </c>
      <c r="Q84" s="22">
        <f t="shared" si="54"/>
        <v>337.15936973729123</v>
      </c>
      <c r="R84" s="60">
        <f t="shared" si="55"/>
        <v>630.49270307062454</v>
      </c>
      <c r="S84" s="60">
        <f ca="1">AVERAGE(OFFSET($R$3,0,0,'Données projet'!$E$9+1,1))-AVERAGE(OFFSET($H$3,0,0,'Données projet'!$E$9+1,1))</f>
        <v>106.50743833854523</v>
      </c>
      <c r="T84" s="60">
        <f t="shared" si="88"/>
        <v>47.606751325129608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0">
        <f t="shared" si="59"/>
        <v>775.45409146701161</v>
      </c>
      <c r="AN84" s="60">
        <f ca="1">AVERAGE(OFFSET($AM$3,0,0,'Données projet'!$E$10+1,1))-AVERAGE(OFFSET($H$3,0,0,'Données projet'!$E$10+1,1))</f>
        <v>247.65126267995316</v>
      </c>
      <c r="AO84" s="60">
        <f t="shared" si="90"/>
        <v>149.27472147904314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249.03839999999994</v>
      </c>
      <c r="BF84" s="14">
        <f t="shared" si="91"/>
        <v>60.379982523339947</v>
      </c>
      <c r="BG84" s="22">
        <f t="shared" si="61"/>
        <v>538.90368289481694</v>
      </c>
      <c r="BH84" s="60">
        <f t="shared" si="62"/>
        <v>832.2370162281502</v>
      </c>
      <c r="BI84" s="60">
        <f ca="1">AVERAGE(OFFSET($BH$3,0,0,'Données projet'!$E$11+1,1))-AVERAGE(OFFSET($H$3,0,0,'Données projet'!$E$11+1,1))</f>
        <v>294.2815419338562</v>
      </c>
      <c r="BJ84" s="60">
        <f t="shared" si="92"/>
        <v>173.99850582760712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11.571428571428571</v>
      </c>
      <c r="BY84" s="13">
        <f>IF('Données projet'!$A$114&gt;35,BY83+BX84-CG83,IF(A84&lt;'Données projet'!$A$114,$BV$205^A84,IF(A84='Données projet'!$A$114,'Données projet'!$B$114,BY83+BX84-CG83)))</f>
        <v>382.71428571428532</v>
      </c>
      <c r="BZ84" s="14">
        <f>BY84*VLOOKUP('Données projet'!$B$12,Paramètres!$A$1:$I$89,3,0)*VLOOKUP('Données projet'!$B$12,Paramètres!$A$1:$I$89,5,0)</f>
        <v>328.36885714285683</v>
      </c>
      <c r="CA84" s="14">
        <f t="shared" si="93"/>
        <v>77.092032177165478</v>
      </c>
      <c r="CB84" s="22">
        <f t="shared" si="64"/>
        <v>706.17771556570551</v>
      </c>
      <c r="CC84" s="60">
        <f t="shared" si="65"/>
        <v>999.51104889903877</v>
      </c>
      <c r="CD84" s="60">
        <f ca="1">AVERAGE(OFFSET($CC$3,0,0,'Données projet'!$E$12+1,1))-AVERAGE(OFFSET($H$3,0,0,'Données projet'!$E$12+1,1))</f>
        <v>317.48648551307656</v>
      </c>
      <c r="CE84" s="60">
        <f t="shared" si="94"/>
        <v>133.09277301479563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0">
        <f t="shared" si="68"/>
        <v>293.33333333333582</v>
      </c>
      <c r="CY84" s="60">
        <f ca="1">AVERAGE(OFFSET($CX$3,0,0,'Données projet'!$E$13+1,1))-AVERAGE(OFFSET($H$3,0,0,'Données projet'!$E$13+1,1))</f>
        <v>194.42056369374041</v>
      </c>
      <c r="CZ84" s="60">
        <f t="shared" si="96"/>
        <v>185.75045299455371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237.54431999999991</v>
      </c>
      <c r="DQ84" s="14">
        <f t="shared" si="97"/>
        <v>57.910863128487989</v>
      </c>
      <c r="DR84" s="22">
        <f t="shared" si="70"/>
        <v>514.58444394878302</v>
      </c>
      <c r="DS84" s="60">
        <f t="shared" si="71"/>
        <v>807.91777728211628</v>
      </c>
      <c r="DT84" s="60">
        <f ca="1">AVERAGE(OFFSET($DS$3,0,0,'Données projet'!$E$14+1,1))-AVERAGE(OFFSET($H$3,0,0,'Données projet'!$E$14+1,1))</f>
        <v>274.31056057602081</v>
      </c>
      <c r="DU84" s="60">
        <f t="shared" si="98"/>
        <v>163.41029152029387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3.5897435897435854</v>
      </c>
      <c r="EJ84" s="13">
        <f>IF('Données projet'!$A$192&gt;35,EJ83+EI84-ER83,IF(A84&lt;'Données projet'!$A$192,$EG$205^A84,IF(A84='Données projet'!$A$192,'Données projet'!$B$192,EJ83+EI84-ER83)))</f>
        <v>215.1282051282052</v>
      </c>
      <c r="EK84" s="18">
        <f>EJ84*VLOOKUP('Données projet'!$B$15,Paramètres!$A$1:$I$89,3,0)*VLOOKUP('Données projet'!$B$15,Paramètres!$A$1:$I$89,5,0)</f>
        <v>144.30800000000005</v>
      </c>
      <c r="EL84" s="14">
        <f t="shared" si="99"/>
        <v>37.282160275331499</v>
      </c>
      <c r="EM84" s="22">
        <f t="shared" si="73"/>
        <v>316.26952914620239</v>
      </c>
      <c r="EN84" s="60">
        <f t="shared" si="74"/>
        <v>609.6028624795357</v>
      </c>
      <c r="EO84" s="60">
        <f ca="1">AVERAGE(OFFSET($EN$3,0,0,'Données projet'!$E$15+1,1))-AVERAGE(OFFSET($H$3,0,0,'Données projet'!$E$15+1,1))</f>
        <v>120.18668518376586</v>
      </c>
      <c r="EP84" s="60">
        <f t="shared" si="100"/>
        <v>110.24821114898037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8">
        <f t="shared" si="56"/>
        <v>455.84803868381812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8.9743589743589727</v>
      </c>
      <c r="N85" s="14">
        <f>IF('Données projet'!$A$36&gt;35,N84+M85-V84,IF(A85&lt;'Données projet'!$A$36,$K$205^A85,IF(A85='Données projet'!$A$36,'Données projet'!$B$36,N84+M85-V84)))</f>
        <v>338.20512820512783</v>
      </c>
      <c r="O85" s="14">
        <f>N85*VLOOKUP('Données projet'!$B$9,Paramètres!$A$1:$I$89,3,0)*VLOOKUP('Données projet'!$B$9,Paramètres!$A$1:$I$89,5,0)</f>
        <v>158.27999999999983</v>
      </c>
      <c r="P85" s="14">
        <f t="shared" si="87"/>
        <v>40.454320907632543</v>
      </c>
      <c r="Q85" s="22">
        <f t="shared" si="54"/>
        <v>346.12894224745969</v>
      </c>
      <c r="R85" s="60">
        <f t="shared" si="55"/>
        <v>639.46227558079295</v>
      </c>
      <c r="S85" s="60">
        <f ca="1">AVERAGE(OFFSET($R$3,0,0,'Données projet'!$E$9+1,1))-AVERAGE(OFFSET($H$3,0,0,'Données projet'!$E$9+1,1))</f>
        <v>106.50743833854523</v>
      </c>
      <c r="T85" s="60">
        <f t="shared" si="88"/>
        <v>47.606751325129608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0">
        <f t="shared" si="59"/>
        <v>786.19217745579931</v>
      </c>
      <c r="AN85" s="60">
        <f ca="1">AVERAGE(OFFSET($AM$3,0,0,'Données projet'!$E$10+1,1))-AVERAGE(OFFSET($H$3,0,0,'Données projet'!$E$10+1,1))</f>
        <v>247.65126267995316</v>
      </c>
      <c r="AO85" s="60">
        <f t="shared" si="90"/>
        <v>149.27472147904314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254.71679999999992</v>
      </c>
      <c r="BF85" s="14">
        <f t="shared" si="91"/>
        <v>61.594871205031538</v>
      </c>
      <c r="BG85" s="22">
        <f t="shared" si="61"/>
        <v>550.9094940154298</v>
      </c>
      <c r="BH85" s="60">
        <f t="shared" si="62"/>
        <v>844.24282734876306</v>
      </c>
      <c r="BI85" s="60">
        <f ca="1">AVERAGE(OFFSET($BH$3,0,0,'Données projet'!$E$11+1,1))-AVERAGE(OFFSET($H$3,0,0,'Données projet'!$E$11+1,1))</f>
        <v>294.2815419338562</v>
      </c>
      <c r="BJ85" s="60">
        <f t="shared" si="92"/>
        <v>173.99850582760712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11.571428571428571</v>
      </c>
      <c r="BY85" s="13">
        <f>IF('Données projet'!$A$114&gt;35,BY84+BX85-CG84,IF(A85&lt;'Données projet'!$A$114,$BV$205^A85,IF(A85='Données projet'!$A$114,'Données projet'!$B$114,BY84+BX85-CG84)))</f>
        <v>394.28571428571388</v>
      </c>
      <c r="BZ85" s="14">
        <f>BY85*VLOOKUP('Données projet'!$B$12,Paramètres!$A$1:$I$89,3,0)*VLOOKUP('Données projet'!$B$12,Paramètres!$A$1:$I$89,5,0)</f>
        <v>338.29714285714255</v>
      </c>
      <c r="CA85" s="14">
        <f t="shared" si="93"/>
        <v>79.148022611058536</v>
      </c>
      <c r="CB85" s="22">
        <f t="shared" si="64"/>
        <v>727.05032985711694</v>
      </c>
      <c r="CC85" s="60">
        <f t="shared" si="65"/>
        <v>1020.3836631904503</v>
      </c>
      <c r="CD85" s="60">
        <f ca="1">AVERAGE(OFFSET($CC$3,0,0,'Données projet'!$E$12+1,1))-AVERAGE(OFFSET($H$3,0,0,'Données projet'!$E$12+1,1))</f>
        <v>317.48648551307656</v>
      </c>
      <c r="CE85" s="60">
        <f t="shared" si="94"/>
        <v>133.09277301479563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0">
        <f t="shared" si="68"/>
        <v>293.33333333333582</v>
      </c>
      <c r="CY85" s="60">
        <f ca="1">AVERAGE(OFFSET($CX$3,0,0,'Données projet'!$E$13+1,1))-AVERAGE(OFFSET($H$3,0,0,'Données projet'!$E$13+1,1))</f>
        <v>194.42056369374041</v>
      </c>
      <c r="CZ85" s="60">
        <f t="shared" si="96"/>
        <v>185.75045299455371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242.96063999999993</v>
      </c>
      <c r="DQ85" s="14">
        <f t="shared" si="97"/>
        <v>59.076071351835715</v>
      </c>
      <c r="DR85" s="22">
        <f t="shared" si="70"/>
        <v>526.04727227111368</v>
      </c>
      <c r="DS85" s="60">
        <f t="shared" si="71"/>
        <v>819.38060560444706</v>
      </c>
      <c r="DT85" s="60">
        <f ca="1">AVERAGE(OFFSET($DS$3,0,0,'Données projet'!$E$14+1,1))-AVERAGE(OFFSET($H$3,0,0,'Données projet'!$E$14+1,1))</f>
        <v>274.31056057602081</v>
      </c>
      <c r="DU85" s="60">
        <f t="shared" si="98"/>
        <v>163.41029152029387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3.5897435897435854</v>
      </c>
      <c r="EJ85" s="13">
        <f>IF('Données projet'!$A$192&gt;35,EJ84+EI85-ER84,IF(A85&lt;'Données projet'!$A$192,$EG$205^A85,IF(A85='Données projet'!$A$192,'Données projet'!$B$192,EJ84+EI85-ER84)))</f>
        <v>218.71794871794879</v>
      </c>
      <c r="EK85" s="18">
        <f>EJ85*VLOOKUP('Données projet'!$B$15,Paramètres!$A$1:$I$89,3,0)*VLOOKUP('Données projet'!$B$15,Paramètres!$A$1:$I$89,5,0)</f>
        <v>146.71600000000007</v>
      </c>
      <c r="EL85" s="14">
        <f t="shared" si="99"/>
        <v>37.831326067731702</v>
      </c>
      <c r="EM85" s="22">
        <f t="shared" si="73"/>
        <v>321.41992623463284</v>
      </c>
      <c r="EN85" s="60">
        <f t="shared" si="74"/>
        <v>614.7532595679661</v>
      </c>
      <c r="EO85" s="60">
        <f ca="1">AVERAGE(OFFSET($EN$3,0,0,'Données projet'!$E$15+1,1))-AVERAGE(OFFSET($H$3,0,0,'Données projet'!$E$15+1,1))</f>
        <v>120.18668518376586</v>
      </c>
      <c r="EP85" s="60">
        <f t="shared" si="100"/>
        <v>110.24821114898037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8">
        <f t="shared" si="56"/>
        <v>457.77923079416723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8.9743589743589727</v>
      </c>
      <c r="N86" s="14">
        <f>IF('Données projet'!$A$36&gt;35,N85+M86-V85,IF(A86&lt;'Données projet'!$A$36,$K$205^A86,IF(A86='Données projet'!$A$36,'Données projet'!$B$36,N85+M86-V85)))</f>
        <v>347.17948717948678</v>
      </c>
      <c r="O86" s="14">
        <f>N86*VLOOKUP('Données projet'!$B$9,Paramètres!$A$1:$I$89,3,0)*VLOOKUP('Données projet'!$B$9,Paramètres!$A$1:$I$89,5,0)</f>
        <v>162.47999999999982</v>
      </c>
      <c r="P86" s="14">
        <f t="shared" si="87"/>
        <v>41.401384607667218</v>
      </c>
      <c r="Q86" s="22">
        <f t="shared" si="54"/>
        <v>355.09341152502003</v>
      </c>
      <c r="R86" s="60">
        <f t="shared" si="55"/>
        <v>648.42674485835335</v>
      </c>
      <c r="S86" s="60">
        <f ca="1">AVERAGE(OFFSET($R$3,0,0,'Données projet'!$E$9+1,1))-AVERAGE(OFFSET($H$3,0,0,'Données projet'!$E$9+1,1))</f>
        <v>106.50743833854523</v>
      </c>
      <c r="T86" s="60">
        <f t="shared" si="88"/>
        <v>47.606751325129608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0">
        <f t="shared" si="59"/>
        <v>796.92530469359974</v>
      </c>
      <c r="AN86" s="60">
        <f ca="1">AVERAGE(OFFSET($AM$3,0,0,'Données projet'!$E$10+1,1))-AVERAGE(OFFSET($H$3,0,0,'Données projet'!$E$10+1,1))</f>
        <v>247.65126267995316</v>
      </c>
      <c r="AO86" s="60">
        <f t="shared" si="90"/>
        <v>149.27472147904314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260.39519999999987</v>
      </c>
      <c r="BF86" s="14">
        <f t="shared" si="91"/>
        <v>62.806611177714331</v>
      </c>
      <c r="BG86" s="22">
        <f t="shared" si="61"/>
        <v>562.90982113451889</v>
      </c>
      <c r="BH86" s="60">
        <f t="shared" si="62"/>
        <v>856.24315446785226</v>
      </c>
      <c r="BI86" s="60">
        <f ca="1">AVERAGE(OFFSET($BH$3,0,0,'Données projet'!$E$11+1,1))-AVERAGE(OFFSET($H$3,0,0,'Données projet'!$E$11+1,1))</f>
        <v>294.2815419338562</v>
      </c>
      <c r="BJ86" s="60">
        <f t="shared" si="92"/>
        <v>173.99850582760712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11.571428571428571</v>
      </c>
      <c r="BY86" s="13">
        <f>IF('Données projet'!$A$114&gt;35,BY85+BX86-CG85,IF(A86&lt;'Données projet'!$A$114,$BV$205^A86,IF(A86='Données projet'!$A$114,'Données projet'!$B$114,BY85+BX86-CG85)))</f>
        <v>405.85714285714243</v>
      </c>
      <c r="BZ86" s="14">
        <f>BY86*VLOOKUP('Données projet'!$B$12,Paramètres!$A$1:$I$89,3,0)*VLOOKUP('Données projet'!$B$12,Paramètres!$A$1:$I$89,5,0)</f>
        <v>348.22542857142827</v>
      </c>
      <c r="CA86" s="14">
        <f t="shared" si="93"/>
        <v>81.197000521911704</v>
      </c>
      <c r="CB86" s="22">
        <f t="shared" si="64"/>
        <v>747.91073067090053</v>
      </c>
      <c r="CC86" s="60">
        <f t="shared" si="65"/>
        <v>1041.2440640042339</v>
      </c>
      <c r="CD86" s="60">
        <f ca="1">AVERAGE(OFFSET($CC$3,0,0,'Données projet'!$E$12+1,1))-AVERAGE(OFFSET($H$3,0,0,'Données projet'!$E$12+1,1))</f>
        <v>317.48648551307656</v>
      </c>
      <c r="CE86" s="60">
        <f t="shared" si="94"/>
        <v>133.09277301479563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0">
        <f t="shared" si="68"/>
        <v>293.33333333333582</v>
      </c>
      <c r="CY86" s="60">
        <f ca="1">AVERAGE(OFFSET($CX$3,0,0,'Données projet'!$E$13+1,1))-AVERAGE(OFFSET($H$3,0,0,'Données projet'!$E$13+1,1))</f>
        <v>194.42056369374041</v>
      </c>
      <c r="CZ86" s="60">
        <f t="shared" si="96"/>
        <v>185.75045299455371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248.37695999999988</v>
      </c>
      <c r="DQ86" s="14">
        <f t="shared" si="97"/>
        <v>60.238259626372319</v>
      </c>
      <c r="DR86" s="22">
        <f t="shared" si="70"/>
        <v>537.50484084926495</v>
      </c>
      <c r="DS86" s="60">
        <f t="shared" si="71"/>
        <v>830.83817418259832</v>
      </c>
      <c r="DT86" s="60">
        <f ca="1">AVERAGE(OFFSET($DS$3,0,0,'Données projet'!$E$14+1,1))-AVERAGE(OFFSET($H$3,0,0,'Données projet'!$E$14+1,1))</f>
        <v>274.31056057602081</v>
      </c>
      <c r="DU86" s="60">
        <f t="shared" si="98"/>
        <v>163.41029152029387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3.5897435897435854</v>
      </c>
      <c r="EJ86" s="13">
        <f>IF('Données projet'!$A$192&gt;35,EJ85+EI86-ER85,IF(A86&lt;'Données projet'!$A$192,$EG$205^A86,IF(A86='Données projet'!$A$192,'Données projet'!$B$192,EJ85+EI86-ER85)))</f>
        <v>222.30769230769238</v>
      </c>
      <c r="EK86" s="18">
        <f>EJ86*VLOOKUP('Données projet'!$B$15,Paramètres!$A$1:$I$89,3,0)*VLOOKUP('Données projet'!$B$15,Paramètres!$A$1:$I$89,5,0)</f>
        <v>149.12400000000005</v>
      </c>
      <c r="EL86" s="14">
        <f t="shared" si="99"/>
        <v>38.379443667029406</v>
      </c>
      <c r="EM86" s="22">
        <f t="shared" si="73"/>
        <v>326.56849772007627</v>
      </c>
      <c r="EN86" s="60">
        <f t="shared" si="74"/>
        <v>619.90183105340952</v>
      </c>
      <c r="EO86" s="60">
        <f ca="1">AVERAGE(OFFSET($EN$3,0,0,'Données projet'!$E$15+1,1))-AVERAGE(OFFSET($H$3,0,0,'Données projet'!$E$15+1,1))</f>
        <v>120.18668518376586</v>
      </c>
      <c r="EP86" s="60">
        <f t="shared" si="100"/>
        <v>110.24821114898037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8">
        <f t="shared" si="56"/>
        <v>459.70988684212313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8.9743589743589727</v>
      </c>
      <c r="N87" s="14">
        <f>IF('Données projet'!$A$36&gt;35,N86+M87-V86,IF(A87&lt;'Données projet'!$A$36,$K$205^A87,IF(A87='Données projet'!$A$36,'Données projet'!$B$36,N86+M87-V86)))</f>
        <v>356.15384615384573</v>
      </c>
      <c r="O87" s="14">
        <f>N87*VLOOKUP('Données projet'!$B$9,Paramètres!$A$1:$I$89,3,0)*VLOOKUP('Données projet'!$B$9,Paramètres!$A$1:$I$89,5,0)</f>
        <v>166.67999999999981</v>
      </c>
      <c r="P87" s="14">
        <f t="shared" si="87"/>
        <v>42.345602670937915</v>
      </c>
      <c r="Q87" s="22">
        <f t="shared" si="54"/>
        <v>364.05292465188319</v>
      </c>
      <c r="R87" s="60">
        <f t="shared" si="55"/>
        <v>657.3862579852165</v>
      </c>
      <c r="S87" s="60">
        <f ca="1">AVERAGE(OFFSET($R$3,0,0,'Données projet'!$E$9+1,1))-AVERAGE(OFFSET($H$3,0,0,'Données projet'!$E$9+1,1))</f>
        <v>106.50743833854523</v>
      </c>
      <c r="T87" s="60">
        <f t="shared" si="88"/>
        <v>47.606751325129608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0">
        <f t="shared" si="59"/>
        <v>807.65359376827541</v>
      </c>
      <c r="AN87" s="60">
        <f ca="1">AVERAGE(OFFSET($AM$3,0,0,'Données projet'!$E$10+1,1))-AVERAGE(OFFSET($H$3,0,0,'Données projet'!$E$10+1,1))</f>
        <v>247.65126267995316</v>
      </c>
      <c r="AO87" s="60">
        <f t="shared" si="90"/>
        <v>149.27472147904314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266.07359999999994</v>
      </c>
      <c r="BF87" s="14">
        <f t="shared" si="91"/>
        <v>64.015279012301136</v>
      </c>
      <c r="BG87" s="22">
        <f t="shared" si="61"/>
        <v>574.90479761309098</v>
      </c>
      <c r="BH87" s="60">
        <f t="shared" si="62"/>
        <v>868.23813094642423</v>
      </c>
      <c r="BI87" s="60">
        <f ca="1">AVERAGE(OFFSET($BH$3,0,0,'Données projet'!$E$11+1,1))-AVERAGE(OFFSET($H$3,0,0,'Données projet'!$E$11+1,1))</f>
        <v>294.2815419338562</v>
      </c>
      <c r="BJ87" s="60">
        <f t="shared" si="92"/>
        <v>173.99850582760712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11.571428571428571</v>
      </c>
      <c r="BY87" s="13">
        <f>IF('Données projet'!$A$114&gt;35,BY86+BX87-CG86,IF(A87&lt;'Données projet'!$A$114,$BV$205^A87,IF(A87='Données projet'!$A$114,'Données projet'!$B$114,BY86+BX87-CG86)))</f>
        <v>417.42857142857099</v>
      </c>
      <c r="BZ87" s="14">
        <f>BY87*VLOOKUP('Données projet'!$B$12,Paramètres!$A$1:$I$89,3,0)*VLOOKUP('Données projet'!$B$12,Paramètres!$A$1:$I$89,5,0)</f>
        <v>358.15371428571393</v>
      </c>
      <c r="CA87" s="14">
        <f t="shared" si="93"/>
        <v>83.239188808004428</v>
      </c>
      <c r="CB87" s="22">
        <f t="shared" si="64"/>
        <v>768.75930622155954</v>
      </c>
      <c r="CC87" s="60">
        <f t="shared" si="65"/>
        <v>1062.0926395548929</v>
      </c>
      <c r="CD87" s="60">
        <f ca="1">AVERAGE(OFFSET($CC$3,0,0,'Données projet'!$E$12+1,1))-AVERAGE(OFFSET($H$3,0,0,'Données projet'!$E$12+1,1))</f>
        <v>317.48648551307656</v>
      </c>
      <c r="CE87" s="60">
        <f t="shared" si="94"/>
        <v>133.09277301479563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0">
        <f t="shared" si="68"/>
        <v>293.33333333333582</v>
      </c>
      <c r="CY87" s="60">
        <f ca="1">AVERAGE(OFFSET($CX$3,0,0,'Données projet'!$E$13+1,1))-AVERAGE(OFFSET($H$3,0,0,'Données projet'!$E$13+1,1))</f>
        <v>194.42056369374041</v>
      </c>
      <c r="CZ87" s="60">
        <f t="shared" si="96"/>
        <v>185.75045299455371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253.79327999999995</v>
      </c>
      <c r="DQ87" s="14">
        <f t="shared" si="97"/>
        <v>61.39750139179521</v>
      </c>
      <c r="DR87" s="22">
        <f t="shared" si="70"/>
        <v>548.95727759070985</v>
      </c>
      <c r="DS87" s="60">
        <f t="shared" si="71"/>
        <v>842.29061092404322</v>
      </c>
      <c r="DT87" s="60">
        <f ca="1">AVERAGE(OFFSET($DS$3,0,0,'Données projet'!$E$14+1,1))-AVERAGE(OFFSET($H$3,0,0,'Données projet'!$E$14+1,1))</f>
        <v>274.31056057602081</v>
      </c>
      <c r="DU87" s="60">
        <f t="shared" si="98"/>
        <v>163.41029152029387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3.5897435897435854</v>
      </c>
      <c r="EJ87" s="13">
        <f>IF('Données projet'!$A$192&gt;35,EJ86+EI87-ER86,IF(A87&lt;'Données projet'!$A$192,$EG$205^A87,IF(A87='Données projet'!$A$192,'Données projet'!$B$192,EJ86+EI87-ER86)))</f>
        <v>225.89743589743597</v>
      </c>
      <c r="EK87" s="18">
        <f>EJ87*VLOOKUP('Données projet'!$B$15,Paramètres!$A$1:$I$89,3,0)*VLOOKUP('Données projet'!$B$15,Paramètres!$A$1:$I$89,5,0)</f>
        <v>151.53200000000004</v>
      </c>
      <c r="EL87" s="14">
        <f t="shared" si="99"/>
        <v>38.926531953138308</v>
      </c>
      <c r="EM87" s="22">
        <f t="shared" si="73"/>
        <v>331.71527648504929</v>
      </c>
      <c r="EN87" s="60">
        <f t="shared" si="74"/>
        <v>625.0486098183826</v>
      </c>
      <c r="EO87" s="60">
        <f ca="1">AVERAGE(OFFSET($EN$3,0,0,'Données projet'!$E$15+1,1))-AVERAGE(OFFSET($H$3,0,0,'Données projet'!$E$15+1,1))</f>
        <v>120.18668518376586</v>
      </c>
      <c r="EP87" s="60">
        <f t="shared" si="100"/>
        <v>110.24821114898037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8">
        <f t="shared" si="56"/>
        <v>461.64001394761442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8.9743589743589727</v>
      </c>
      <c r="N88" s="14">
        <f>IF('Données projet'!$A$36&gt;35,N87+M88-V87,IF(A88&lt;'Données projet'!$A$36,$K$205^A88,IF(A88='Données projet'!$A$36,'Données projet'!$B$36,N87+M88-V87)))</f>
        <v>365.12820512820468</v>
      </c>
      <c r="O88" s="14">
        <f>N88*VLOOKUP('Données projet'!$B$9,Paramètres!$A$1:$I$89,3,0)*VLOOKUP('Données projet'!$B$9,Paramètres!$A$1:$I$89,5,0)</f>
        <v>170.8799999999998</v>
      </c>
      <c r="P88" s="14">
        <f t="shared" si="87"/>
        <v>43.287055047972629</v>
      </c>
      <c r="Q88" s="22">
        <f t="shared" si="54"/>
        <v>373.00762087521866</v>
      </c>
      <c r="R88" s="60">
        <f t="shared" si="55"/>
        <v>666.34095420855192</v>
      </c>
      <c r="S88" s="60">
        <f ca="1">AVERAGE(OFFSET($R$3,0,0,'Données projet'!$E$9+1,1))-AVERAGE(OFFSET($H$3,0,0,'Données projet'!$E$9+1,1))</f>
        <v>106.50743833854523</v>
      </c>
      <c r="T88" s="60">
        <f t="shared" si="88"/>
        <v>47.606751325129608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0">
        <f t="shared" si="59"/>
        <v>818.37715982660688</v>
      </c>
      <c r="AN88" s="60">
        <f ca="1">AVERAGE(OFFSET($AM$3,0,0,'Données projet'!$E$10+1,1))-AVERAGE(OFFSET($H$3,0,0,'Données projet'!$E$10+1,1))</f>
        <v>247.65126267995316</v>
      </c>
      <c r="AO88" s="60">
        <f t="shared" si="90"/>
        <v>149.27472147904314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271.75199999999995</v>
      </c>
      <c r="BF88" s="14">
        <f t="shared" si="91"/>
        <v>65.220947824724931</v>
      </c>
      <c r="BG88" s="22">
        <f t="shared" si="61"/>
        <v>586.89455079472907</v>
      </c>
      <c r="BH88" s="60">
        <f t="shared" si="62"/>
        <v>880.22788412806244</v>
      </c>
      <c r="BI88" s="60">
        <f ca="1">AVERAGE(OFFSET($BH$3,0,0,'Données projet'!$E$11+1,1))-AVERAGE(OFFSET($H$3,0,0,'Données projet'!$E$11+1,1))</f>
        <v>294.2815419338562</v>
      </c>
      <c r="BJ88" s="60">
        <f t="shared" si="92"/>
        <v>173.99850582760712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11.571428571428571</v>
      </c>
      <c r="BY88" s="13">
        <f>IF('Données projet'!$A$114&gt;35,BY87+BX88-CG87,IF(A88&lt;'Données projet'!$A$114,$BV$205^A88,IF(A88='Données projet'!$A$114,'Données projet'!$B$114,BY87+BX88-CG87)))</f>
        <v>428.99999999999955</v>
      </c>
      <c r="BZ88" s="14">
        <f>BY88*VLOOKUP('Données projet'!$B$12,Paramètres!$A$1:$I$89,3,0)*VLOOKUP('Données projet'!$B$12,Paramètres!$A$1:$I$89,5,0)</f>
        <v>368.08199999999965</v>
      </c>
      <c r="CA88" s="14">
        <f t="shared" si="93"/>
        <v>85.274797306599979</v>
      </c>
      <c r="CB88" s="22">
        <f t="shared" si="64"/>
        <v>789.59642197566097</v>
      </c>
      <c r="CC88" s="60">
        <f t="shared" si="65"/>
        <v>1082.9297553089943</v>
      </c>
      <c r="CD88" s="60">
        <f ca="1">AVERAGE(OFFSET($CC$3,0,0,'Données projet'!$E$12+1,1))-AVERAGE(OFFSET($H$3,0,0,'Données projet'!$E$12+1,1))</f>
        <v>317.48648551307656</v>
      </c>
      <c r="CE88" s="60">
        <f t="shared" si="94"/>
        <v>133.09277301479563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0">
        <f t="shared" si="68"/>
        <v>293.33333333333582</v>
      </c>
      <c r="CY88" s="60">
        <f ca="1">AVERAGE(OFFSET($CX$3,0,0,'Données projet'!$E$13+1,1))-AVERAGE(OFFSET($H$3,0,0,'Données projet'!$E$13+1,1))</f>
        <v>194.42056369374041</v>
      </c>
      <c r="CZ88" s="60">
        <f t="shared" si="96"/>
        <v>185.75045299455371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259.20959999999997</v>
      </c>
      <c r="DQ88" s="14">
        <f t="shared" si="97"/>
        <v>62.553866774106702</v>
      </c>
      <c r="DR88" s="22">
        <f t="shared" si="70"/>
        <v>560.40470463156907</v>
      </c>
      <c r="DS88" s="60">
        <f t="shared" si="71"/>
        <v>853.73803796490233</v>
      </c>
      <c r="DT88" s="60">
        <f ca="1">AVERAGE(OFFSET($DS$3,0,0,'Données projet'!$E$14+1,1))-AVERAGE(OFFSET($H$3,0,0,'Données projet'!$E$14+1,1))</f>
        <v>274.31056057602081</v>
      </c>
      <c r="DU88" s="60">
        <f t="shared" si="98"/>
        <v>163.41029152029387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229.48717948717947</v>
      </c>
      <c r="EH88" s="13">
        <f>VLOOKUP(A88,'Données projet'!$A$191:$I$211,9,0)</f>
        <v>3.5897435897435854</v>
      </c>
      <c r="EI88" s="13">
        <f t="array" ref="EI88">INDEX(EH:EH,MIN(IF(ISNUMBER(EH88:EH284),ROW(EH88:EH284),"")))</f>
        <v>3.5897435897435854</v>
      </c>
      <c r="EJ88" s="13">
        <f>IF('Données projet'!$A$192&gt;35,EJ87+EI88-ER87,IF(A88&lt;'Données projet'!$A$192,$EG$205^A88,IF(A88='Données projet'!$A$192,'Données projet'!$B$192,EJ87+EI88-ER87)))</f>
        <v>229.48717948717956</v>
      </c>
      <c r="EK88" s="18">
        <f>EJ88*VLOOKUP('Données projet'!$B$15,Paramètres!$A$1:$I$89,3,0)*VLOOKUP('Données projet'!$B$15,Paramètres!$A$1:$I$89,5,0)</f>
        <v>153.94000000000005</v>
      </c>
      <c r="EL88" s="14">
        <f t="shared" si="99"/>
        <v>39.472609171514129</v>
      </c>
      <c r="EM88" s="22">
        <f t="shared" si="73"/>
        <v>336.86029430705389</v>
      </c>
      <c r="EN88" s="60">
        <f t="shared" si="74"/>
        <v>630.19362764038715</v>
      </c>
      <c r="EO88" s="60">
        <f ca="1">AVERAGE(OFFSET($EN$3,0,0,'Données projet'!$E$15+1,1))-AVERAGE(OFFSET($H$3,0,0,'Données projet'!$E$15+1,1))</f>
        <v>120.18668518376586</v>
      </c>
      <c r="EP88" s="60">
        <f t="shared" si="100"/>
        <v>110.24821114898037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8">
        <f t="shared" si="56"/>
        <v>463.56961905340103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8.9743589743589727</v>
      </c>
      <c r="N89" s="14">
        <f>IF('Données projet'!$A$36&gt;35,N88+M89-V88,IF(A89&lt;'Données projet'!$A$36,$K$205^A89,IF(A89='Données projet'!$A$36,'Données projet'!$B$36,N88+M89-V88)))</f>
        <v>374.10256410256363</v>
      </c>
      <c r="O89" s="14">
        <f>N89*VLOOKUP('Données projet'!$B$9,Paramètres!$A$1:$I$89,3,0)*VLOOKUP('Données projet'!$B$9,Paramètres!$A$1:$I$89,5,0)</f>
        <v>175.07999999999976</v>
      </c>
      <c r="P89" s="14">
        <f t="shared" si="87"/>
        <v>44.225817535095111</v>
      </c>
      <c r="Q89" s="22">
        <f t="shared" si="54"/>
        <v>381.95763220695682</v>
      </c>
      <c r="R89" s="60">
        <f t="shared" si="55"/>
        <v>675.29096554029013</v>
      </c>
      <c r="S89" s="60">
        <f ca="1">AVERAGE(OFFSET($R$3,0,0,'Données projet'!$E$9+1,1))-AVERAGE(OFFSET($H$3,0,0,'Données projet'!$E$9+1,1))</f>
        <v>106.50743833854523</v>
      </c>
      <c r="T89" s="60">
        <f t="shared" si="88"/>
        <v>47.606751325129608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0">
        <f t="shared" si="59"/>
        <v>829.09611292828231</v>
      </c>
      <c r="AN89" s="60">
        <f ca="1">AVERAGE(OFFSET($AM$3,0,0,'Données projet'!$E$10+1,1))-AVERAGE(OFFSET($H$3,0,0,'Données projet'!$E$10+1,1))</f>
        <v>247.65126267995316</v>
      </c>
      <c r="AO89" s="60">
        <f t="shared" si="90"/>
        <v>149.27472147904314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277.43039999999996</v>
      </c>
      <c r="BF89" s="14">
        <f t="shared" si="91"/>
        <v>66.423687500715673</v>
      </c>
      <c r="BG89" s="22">
        <f t="shared" si="61"/>
        <v>598.87920239707967</v>
      </c>
      <c r="BH89" s="60">
        <f t="shared" si="62"/>
        <v>892.21253573041304</v>
      </c>
      <c r="BI89" s="60">
        <f ca="1">AVERAGE(OFFSET($BH$3,0,0,'Données projet'!$E$11+1,1))-AVERAGE(OFFSET($H$3,0,0,'Données projet'!$E$11+1,1))</f>
        <v>294.2815419338562</v>
      </c>
      <c r="BJ89" s="60">
        <f t="shared" si="92"/>
        <v>173.99850582760712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11.571428571428571</v>
      </c>
      <c r="BY89" s="13">
        <f>IF('Données projet'!$A$114&gt;35,BY88+BX89-CG88,IF(A89&lt;'Données projet'!$A$114,$BV$205^A89,IF(A89='Données projet'!$A$114,'Données projet'!$B$114,BY88+BX89-CG88)))</f>
        <v>440.5714285714281</v>
      </c>
      <c r="BZ89" s="14">
        <f>BY89*VLOOKUP('Données projet'!$B$12,Paramètres!$A$1:$I$89,3,0)*VLOOKUP('Données projet'!$B$12,Paramètres!$A$1:$I$89,5,0)</f>
        <v>378.01028571428532</v>
      </c>
      <c r="CA89" s="14">
        <f t="shared" si="93"/>
        <v>87.304023890653482</v>
      </c>
      <c r="CB89" s="22">
        <f t="shared" si="64"/>
        <v>810.42242256193504</v>
      </c>
      <c r="CC89" s="60">
        <f t="shared" si="65"/>
        <v>1103.7557558952683</v>
      </c>
      <c r="CD89" s="60">
        <f ca="1">AVERAGE(OFFSET($CC$3,0,0,'Données projet'!$E$12+1,1))-AVERAGE(OFFSET($H$3,0,0,'Données projet'!$E$12+1,1))</f>
        <v>317.48648551307656</v>
      </c>
      <c r="CE89" s="60">
        <f t="shared" si="94"/>
        <v>133.09277301479563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0">
        <f t="shared" si="68"/>
        <v>293.33333333333582</v>
      </c>
      <c r="CY89" s="60">
        <f ca="1">AVERAGE(OFFSET($CX$3,0,0,'Données projet'!$E$13+1,1))-AVERAGE(OFFSET($H$3,0,0,'Données projet'!$E$13+1,1))</f>
        <v>194.42056369374041</v>
      </c>
      <c r="CZ89" s="60">
        <f t="shared" si="96"/>
        <v>185.75045299455371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264.62591999999995</v>
      </c>
      <c r="DQ89" s="14">
        <f t="shared" si="97"/>
        <v>63.707422801198604</v>
      </c>
      <c r="DR89" s="22">
        <f t="shared" si="70"/>
        <v>571.84723871208746</v>
      </c>
      <c r="DS89" s="60">
        <f t="shared" si="71"/>
        <v>865.18057204542083</v>
      </c>
      <c r="DT89" s="60">
        <f ca="1">AVERAGE(OFFSET($DS$3,0,0,'Données projet'!$E$14+1,1))-AVERAGE(OFFSET($H$3,0,0,'Données projet'!$E$14+1,1))</f>
        <v>274.31056057602081</v>
      </c>
      <c r="DU89" s="60">
        <f t="shared" si="98"/>
        <v>163.41029152029387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3.3333333333333313</v>
      </c>
      <c r="EJ89" s="13">
        <f>IF('Données projet'!$A$192&gt;35,EJ88+EI89-ER88,IF(A89&lt;'Données projet'!$A$192,$EG$205^A89,IF(A89='Données projet'!$A$192,'Données projet'!$B$192,EJ88+EI89-ER88)))</f>
        <v>232.8205128205129</v>
      </c>
      <c r="EK89" s="18">
        <f>EJ89*VLOOKUP('Données projet'!$B$15,Paramètres!$A$1:$I$89,3,0)*VLOOKUP('Données projet'!$B$15,Paramètres!$A$1:$I$89,5,0)</f>
        <v>156.17600000000007</v>
      </c>
      <c r="EL89" s="14">
        <f t="shared" si="99"/>
        <v>39.978790985643677</v>
      </c>
      <c r="EM89" s="22">
        <f t="shared" si="73"/>
        <v>341.63626096666286</v>
      </c>
      <c r="EN89" s="60">
        <f t="shared" si="74"/>
        <v>634.96959429999617</v>
      </c>
      <c r="EO89" s="60">
        <f ca="1">AVERAGE(OFFSET($EN$3,0,0,'Données projet'!$E$15+1,1))-AVERAGE(OFFSET($H$3,0,0,'Données projet'!$E$15+1,1))</f>
        <v>120.18668518376586</v>
      </c>
      <c r="EP89" s="60">
        <f t="shared" si="100"/>
        <v>110.24821114898037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8">
        <f t="shared" si="56"/>
        <v>465.49870893149051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383.07692307692304</v>
      </c>
      <c r="L90" s="13">
        <f>VLOOKUP(A90,'Données projet'!$A$35:$I$55,9,0)</f>
        <v>8.9743589743589727</v>
      </c>
      <c r="M90" s="13">
        <f t="array" ref="M90">INDEX(L:L,MIN(IF(ISNUMBER(L90:L286),ROW(L90:L286),"")))</f>
        <v>8.9743589743589727</v>
      </c>
      <c r="N90" s="14">
        <f>IF('Données projet'!$A$36&gt;35,N89+M90-V89,IF(A90&lt;'Données projet'!$A$36,$K$205^A90,IF(A90='Données projet'!$A$36,'Données projet'!$B$36,N89+M90-V89)))</f>
        <v>383.07692307692258</v>
      </c>
      <c r="O90" s="14">
        <f>N90*VLOOKUP('Données projet'!$B$9,Paramètres!$A$1:$I$89,3,0)*VLOOKUP('Données projet'!$B$9,Paramètres!$A$1:$I$89,5,0)</f>
        <v>179.27999999999975</v>
      </c>
      <c r="P90" s="14">
        <f t="shared" si="87"/>
        <v>45.161962084677604</v>
      </c>
      <c r="Q90" s="22">
        <f t="shared" si="54"/>
        <v>390.90308396414639</v>
      </c>
      <c r="R90" s="60">
        <f t="shared" si="55"/>
        <v>684.23641729747965</v>
      </c>
      <c r="S90" s="60">
        <f ca="1">AVERAGE(OFFSET($R$3,0,0,'Données projet'!$E$9+1,1))-AVERAGE(OFFSET($H$3,0,0,'Données projet'!$E$9+1,1))</f>
        <v>106.50743833854523</v>
      </c>
      <c r="T90" s="60">
        <f t="shared" si="88"/>
        <v>47.606751325129608</v>
      </c>
      <c r="U90" s="16">
        <f>IF(ISNA(VLOOKUP(A90,'Données projet'!$A$35:$I$55,3,0)),0,VLOOKUP(A90,'Données projet'!$A$35:$I$55,3,0))</f>
        <v>4</v>
      </c>
      <c r="V90" s="16">
        <f>IF(ISNA(VLOOKUP(A90,'Données projet'!$A$35:$I$55,4,0)),0,VLOOKUP(A90,'Données projet'!$A$35:$I$55,4,0))</f>
        <v>83.076923076923038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0">
        <f t="shared" si="59"/>
        <v>839.81055837008694</v>
      </c>
      <c r="AN90" s="60">
        <f ca="1">AVERAGE(OFFSET($AM$3,0,0,'Données projet'!$E$10+1,1))-AVERAGE(OFFSET($H$3,0,0,'Données projet'!$E$10+1,1))</f>
        <v>247.65126267995316</v>
      </c>
      <c r="AO90" s="60">
        <f t="shared" si="90"/>
        <v>149.27472147904314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283.10879999999997</v>
      </c>
      <c r="BF90" s="14">
        <f t="shared" si="91"/>
        <v>67.623564901653808</v>
      </c>
      <c r="BG90" s="22">
        <f t="shared" si="61"/>
        <v>610.85886887038032</v>
      </c>
      <c r="BH90" s="60">
        <f t="shared" si="62"/>
        <v>904.19220220371358</v>
      </c>
      <c r="BI90" s="60">
        <f ca="1">AVERAGE(OFFSET($BH$3,0,0,'Données projet'!$E$11+1,1))-AVERAGE(OFFSET($H$3,0,0,'Données projet'!$E$11+1,1))</f>
        <v>294.2815419338562</v>
      </c>
      <c r="BJ90" s="60">
        <f t="shared" si="92"/>
        <v>173.99850582760712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11.571428571428571</v>
      </c>
      <c r="BY90" s="13">
        <f>IF('Données projet'!$A$114&gt;35,BY89+BX90-CG89,IF(A90&lt;'Données projet'!$A$114,$BV$205^A90,IF(A90='Données projet'!$A$114,'Données projet'!$B$114,BY89+BX90-CG89)))</f>
        <v>452.14285714285666</v>
      </c>
      <c r="BZ90" s="14">
        <f>BY90*VLOOKUP('Données projet'!$B$12,Paramètres!$A$1:$I$89,3,0)*VLOOKUP('Données projet'!$B$12,Paramètres!$A$1:$I$89,5,0)</f>
        <v>387.93857142857109</v>
      </c>
      <c r="CA90" s="14">
        <f t="shared" si="93"/>
        <v>89.327055447062278</v>
      </c>
      <c r="CB90" s="22">
        <f t="shared" si="64"/>
        <v>831.23763347506144</v>
      </c>
      <c r="CC90" s="60">
        <f t="shared" si="65"/>
        <v>1124.5709668083948</v>
      </c>
      <c r="CD90" s="60">
        <f ca="1">AVERAGE(OFFSET($CC$3,0,0,'Données projet'!$E$12+1,1))-AVERAGE(OFFSET($H$3,0,0,'Données projet'!$E$12+1,1))</f>
        <v>317.48648551307656</v>
      </c>
      <c r="CE90" s="60">
        <f t="shared" si="94"/>
        <v>133.09277301479563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0">
        <f t="shared" si="68"/>
        <v>293.33333333333582</v>
      </c>
      <c r="CY90" s="60">
        <f ca="1">AVERAGE(OFFSET($CX$3,0,0,'Données projet'!$E$13+1,1))-AVERAGE(OFFSET($H$3,0,0,'Données projet'!$E$13+1,1))</f>
        <v>194.42056369374041</v>
      </c>
      <c r="CZ90" s="60">
        <f t="shared" si="96"/>
        <v>185.75045299455371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270.04223999999999</v>
      </c>
      <c r="DQ90" s="14">
        <f t="shared" si="97"/>
        <v>64.858233600288145</v>
      </c>
      <c r="DR90" s="22">
        <f t="shared" si="70"/>
        <v>583.28499152050188</v>
      </c>
      <c r="DS90" s="60">
        <f t="shared" si="71"/>
        <v>876.61832485383525</v>
      </c>
      <c r="DT90" s="60">
        <f ca="1">AVERAGE(OFFSET($DS$3,0,0,'Données projet'!$E$14+1,1))-AVERAGE(OFFSET($H$3,0,0,'Données projet'!$E$14+1,1))</f>
        <v>274.31056057602081</v>
      </c>
      <c r="DU90" s="60">
        <f t="shared" si="98"/>
        <v>163.41029152029387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3.3333333333333313</v>
      </c>
      <c r="EJ90" s="13">
        <f>IF('Données projet'!$A$192&gt;35,EJ89+EI90-ER89,IF(A90&lt;'Données projet'!$A$192,$EG$205^A90,IF(A90='Données projet'!$A$192,'Données projet'!$B$192,EJ89+EI90-ER89)))</f>
        <v>236.15384615384625</v>
      </c>
      <c r="EK90" s="18">
        <f>EJ90*VLOOKUP('Données projet'!$B$15,Paramètres!$A$1:$I$89,3,0)*VLOOKUP('Données projet'!$B$15,Paramètres!$A$1:$I$89,5,0)</f>
        <v>158.41200000000006</v>
      </c>
      <c r="EL90" s="14">
        <f t="shared" si="99"/>
        <v>40.484129909813426</v>
      </c>
      <c r="EM90" s="22">
        <f t="shared" si="73"/>
        <v>346.4107595929251</v>
      </c>
      <c r="EN90" s="60">
        <f t="shared" si="74"/>
        <v>639.74409292625842</v>
      </c>
      <c r="EO90" s="60">
        <f ca="1">AVERAGE(OFFSET($EN$3,0,0,'Données projet'!$E$15+1,1))-AVERAGE(OFFSET($H$3,0,0,'Données projet'!$E$15+1,1))</f>
        <v>120.18668518376586</v>
      </c>
      <c r="EP90" s="60">
        <f t="shared" si="100"/>
        <v>110.24821114898037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8">
        <f t="shared" si="56"/>
        <v>467.42729018925121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8.1410256410256405</v>
      </c>
      <c r="N91" s="14">
        <f>IF('Données projet'!$A$36&gt;35,N90+M91-V90,IF(A91&lt;'Données projet'!$A$36,$K$205^A91,IF(A91='Données projet'!$A$36,'Données projet'!$B$36,N90+M91-V90)))</f>
        <v>308.14102564102518</v>
      </c>
      <c r="O91" s="14">
        <f>N91*VLOOKUP('Données projet'!$B$9,Paramètres!$A$1:$I$89,3,0)*VLOOKUP('Données projet'!$B$9,Paramètres!$A$1:$I$89,5,0)</f>
        <v>144.20999999999978</v>
      </c>
      <c r="P91" s="14">
        <f t="shared" si="87"/>
        <v>37.259788027931044</v>
      </c>
      <c r="Q91" s="22">
        <f t="shared" si="54"/>
        <v>316.05988081531285</v>
      </c>
      <c r="R91" s="60">
        <f t="shared" si="55"/>
        <v>609.39321414864617</v>
      </c>
      <c r="S91" s="60">
        <f ca="1">AVERAGE(OFFSET($R$3,0,0,'Données projet'!$E$9+1,1))-AVERAGE(OFFSET($H$3,0,0,'Données projet'!$E$9+1,1))</f>
        <v>106.50743833854523</v>
      </c>
      <c r="T91" s="60">
        <f t="shared" si="88"/>
        <v>47.606751325129608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0">
        <f t="shared" si="59"/>
        <v>850.52059698334892</v>
      </c>
      <c r="AN91" s="60">
        <f ca="1">AVERAGE(OFFSET($AM$3,0,0,'Données projet'!$E$10+1,1))-AVERAGE(OFFSET($H$3,0,0,'Données projet'!$E$10+1,1))</f>
        <v>247.65126267995316</v>
      </c>
      <c r="AO91" s="60">
        <f t="shared" si="90"/>
        <v>149.27472147904314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288.78720000000004</v>
      </c>
      <c r="BF91" s="14">
        <f t="shared" si="91"/>
        <v>68.820644053442436</v>
      </c>
      <c r="BG91" s="22">
        <f t="shared" si="61"/>
        <v>622.83366172641229</v>
      </c>
      <c r="BH91" s="60">
        <f t="shared" si="62"/>
        <v>916.16699505974566</v>
      </c>
      <c r="BI91" s="60">
        <f ca="1">AVERAGE(OFFSET($BH$3,0,0,'Données projet'!$E$11+1,1))-AVERAGE(OFFSET($H$3,0,0,'Données projet'!$E$11+1,1))</f>
        <v>294.2815419338562</v>
      </c>
      <c r="BJ91" s="60">
        <f t="shared" si="92"/>
        <v>173.99850582760712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11.571428571428571</v>
      </c>
      <c r="BY91" s="13">
        <f>IF('Données projet'!$A$114&gt;35,BY90+BX91-CG90,IF(A91&lt;'Données projet'!$A$114,$BV$205^A91,IF(A91='Données projet'!$A$114,'Données projet'!$B$114,BY90+BX91-CG90)))</f>
        <v>463.71428571428521</v>
      </c>
      <c r="BZ91" s="14">
        <f>BY91*VLOOKUP('Données projet'!$B$12,Paramètres!$A$1:$I$89,3,0)*VLOOKUP('Données projet'!$B$12,Paramètres!$A$1:$I$89,5,0)</f>
        <v>397.86685714285676</v>
      </c>
      <c r="CA91" s="14">
        <f t="shared" si="93"/>
        <v>91.344068751953515</v>
      </c>
      <c r="CB91" s="22">
        <f t="shared" si="64"/>
        <v>852.04236260012783</v>
      </c>
      <c r="CC91" s="60">
        <f t="shared" si="65"/>
        <v>1145.3756959334612</v>
      </c>
      <c r="CD91" s="60">
        <f ca="1">AVERAGE(OFFSET($CC$3,0,0,'Données projet'!$E$12+1,1))-AVERAGE(OFFSET($H$3,0,0,'Données projet'!$E$12+1,1))</f>
        <v>317.48648551307656</v>
      </c>
      <c r="CE91" s="60">
        <f t="shared" si="94"/>
        <v>133.09277301479563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0">
        <f t="shared" si="68"/>
        <v>293.33333333333582</v>
      </c>
      <c r="CY91" s="60">
        <f ca="1">AVERAGE(OFFSET($CX$3,0,0,'Données projet'!$E$13+1,1))-AVERAGE(OFFSET($H$3,0,0,'Données projet'!$E$13+1,1))</f>
        <v>194.42056369374041</v>
      </c>
      <c r="CZ91" s="60">
        <f t="shared" si="96"/>
        <v>185.75045299455371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275.45855999999998</v>
      </c>
      <c r="DQ91" s="14">
        <f t="shared" si="97"/>
        <v>66.006360579066197</v>
      </c>
      <c r="DR91" s="22">
        <f t="shared" si="70"/>
        <v>594.71807000854017</v>
      </c>
      <c r="DS91" s="60">
        <f t="shared" si="71"/>
        <v>888.05140334187354</v>
      </c>
      <c r="DT91" s="60">
        <f ca="1">AVERAGE(OFFSET($DS$3,0,0,'Données projet'!$E$14+1,1))-AVERAGE(OFFSET($H$3,0,0,'Données projet'!$E$14+1,1))</f>
        <v>274.31056057602081</v>
      </c>
      <c r="DU91" s="60">
        <f t="shared" si="98"/>
        <v>163.41029152029387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3.3333333333333313</v>
      </c>
      <c r="EJ91" s="13">
        <f>IF('Données projet'!$A$192&gt;35,EJ90+EI91-ER90,IF(A91&lt;'Données projet'!$A$192,$EG$205^A91,IF(A91='Données projet'!$A$192,'Données projet'!$B$192,EJ90+EI91-ER90)))</f>
        <v>239.48717948717959</v>
      </c>
      <c r="EK91" s="18">
        <f>EJ91*VLOOKUP('Données projet'!$B$15,Paramètres!$A$1:$I$89,3,0)*VLOOKUP('Données projet'!$B$15,Paramètres!$A$1:$I$89,5,0)</f>
        <v>160.64800000000008</v>
      </c>
      <c r="EL91" s="14">
        <f t="shared" si="99"/>
        <v>40.988639216339969</v>
      </c>
      <c r="EM91" s="22">
        <f t="shared" si="73"/>
        <v>351.18381330179227</v>
      </c>
      <c r="EN91" s="60">
        <f t="shared" si="74"/>
        <v>644.51714663512553</v>
      </c>
      <c r="EO91" s="60">
        <f ca="1">AVERAGE(OFFSET($EN$3,0,0,'Données projet'!$E$15+1,1))-AVERAGE(OFFSET($H$3,0,0,'Données projet'!$E$15+1,1))</f>
        <v>120.18668518376586</v>
      </c>
      <c r="EP91" s="60">
        <f t="shared" si="100"/>
        <v>110.24821114898037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8">
        <f t="shared" si="56"/>
        <v>469.35536927523879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8.1410256410256405</v>
      </c>
      <c r="N92" s="14">
        <f>IF('Données projet'!$A$36&gt;35,N91+M92-V91,IF(A92&lt;'Données projet'!$A$36,$K$205^A92,IF(A92='Données projet'!$A$36,'Données projet'!$B$36,N91+M92-V91)))</f>
        <v>316.28205128205082</v>
      </c>
      <c r="O92" s="14">
        <f>N92*VLOOKUP('Données projet'!$B$9,Paramètres!$A$1:$I$89,3,0)*VLOOKUP('Données projet'!$B$9,Paramètres!$A$1:$I$89,5,0)</f>
        <v>148.01999999999978</v>
      </c>
      <c r="P92" s="14">
        <f t="shared" si="87"/>
        <v>38.12827612701787</v>
      </c>
      <c r="Q92" s="22">
        <f t="shared" si="54"/>
        <v>324.20824758788905</v>
      </c>
      <c r="R92" s="60">
        <f t="shared" si="55"/>
        <v>617.54158092122236</v>
      </c>
      <c r="S92" s="60">
        <f ca="1">AVERAGE(OFFSET($R$3,0,0,'Données projet'!$E$9+1,1))-AVERAGE(OFFSET($H$3,0,0,'Données projet'!$E$9+1,1))</f>
        <v>106.50743833854523</v>
      </c>
      <c r="T92" s="60">
        <f t="shared" si="88"/>
        <v>47.606751325129608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0">
        <f t="shared" si="59"/>
        <v>861.22632540732775</v>
      </c>
      <c r="AN92" s="60">
        <f ca="1">AVERAGE(OFFSET($AM$3,0,0,'Données projet'!$E$10+1,1))-AVERAGE(OFFSET($H$3,0,0,'Données projet'!$E$10+1,1))</f>
        <v>247.65126267995316</v>
      </c>
      <c r="AO92" s="60">
        <f t="shared" si="90"/>
        <v>149.27472147904314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294.46560000000005</v>
      </c>
      <c r="BF92" s="14">
        <f t="shared" si="91"/>
        <v>70.014986320104285</v>
      </c>
      <c r="BG92" s="22">
        <f t="shared" si="61"/>
        <v>634.8036878408484</v>
      </c>
      <c r="BH92" s="60">
        <f t="shared" si="62"/>
        <v>928.13702117418165</v>
      </c>
      <c r="BI92" s="60">
        <f ca="1">AVERAGE(OFFSET($BH$3,0,0,'Données projet'!$E$11+1,1))-AVERAGE(OFFSET($H$3,0,0,'Données projet'!$E$11+1,1))</f>
        <v>294.2815419338562</v>
      </c>
      <c r="BJ92" s="60">
        <f t="shared" si="92"/>
        <v>173.99850582760712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11.571428571428571</v>
      </c>
      <c r="BY92" s="13">
        <f>IF('Données projet'!$A$114&gt;35,BY91+BX92-CG91,IF(A92&lt;'Données projet'!$A$114,$BV$205^A92,IF(A92='Données projet'!$A$114,'Données projet'!$B$114,BY91+BX92-CG91)))</f>
        <v>475.28571428571377</v>
      </c>
      <c r="BZ92" s="14">
        <f>BY92*VLOOKUP('Données projet'!$B$12,Paramètres!$A$1:$I$89,3,0)*VLOOKUP('Données projet'!$B$12,Paramètres!$A$1:$I$89,5,0)</f>
        <v>407.79514285714248</v>
      </c>
      <c r="CA92" s="14">
        <f t="shared" si="93"/>
        <v>93.355231256146254</v>
      </c>
      <c r="CB92" s="22">
        <f t="shared" si="64"/>
        <v>872.83690158064462</v>
      </c>
      <c r="CC92" s="60">
        <f t="shared" si="65"/>
        <v>1166.170234913978</v>
      </c>
      <c r="CD92" s="60">
        <f ca="1">AVERAGE(OFFSET($CC$3,0,0,'Données projet'!$E$12+1,1))-AVERAGE(OFFSET($H$3,0,0,'Données projet'!$E$12+1,1))</f>
        <v>317.48648551307656</v>
      </c>
      <c r="CE92" s="60">
        <f t="shared" si="94"/>
        <v>133.09277301479563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0">
        <f t="shared" si="68"/>
        <v>293.33333333333582</v>
      </c>
      <c r="CY92" s="60">
        <f ca="1">AVERAGE(OFFSET($CX$3,0,0,'Données projet'!$E$13+1,1))-AVERAGE(OFFSET($H$3,0,0,'Données projet'!$E$13+1,1))</f>
        <v>194.42056369374041</v>
      </c>
      <c r="CZ92" s="60">
        <f t="shared" si="96"/>
        <v>185.75045299455371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280.87488000000008</v>
      </c>
      <c r="DQ92" s="14">
        <f t="shared" si="97"/>
        <v>67.151862592195855</v>
      </c>
      <c r="DR92" s="22">
        <f t="shared" si="70"/>
        <v>606.14657668140785</v>
      </c>
      <c r="DS92" s="60">
        <f t="shared" si="71"/>
        <v>899.47991001474111</v>
      </c>
      <c r="DT92" s="60">
        <f ca="1">AVERAGE(OFFSET($DS$3,0,0,'Données projet'!$E$14+1,1))-AVERAGE(OFFSET($H$3,0,0,'Données projet'!$E$14+1,1))</f>
        <v>274.31056057602081</v>
      </c>
      <c r="DU92" s="60">
        <f t="shared" si="98"/>
        <v>163.41029152029387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3.3333333333333313</v>
      </c>
      <c r="EJ92" s="13">
        <f>IF('Données projet'!$A$192&gt;35,EJ91+EI92-ER91,IF(A92&lt;'Données projet'!$A$192,$EG$205^A92,IF(A92='Données projet'!$A$192,'Données projet'!$B$192,EJ91+EI92-ER91)))</f>
        <v>242.82051282051293</v>
      </c>
      <c r="EK92" s="18">
        <f>EJ92*VLOOKUP('Données projet'!$B$15,Paramètres!$A$1:$I$89,3,0)*VLOOKUP('Données projet'!$B$15,Paramètres!$A$1:$I$89,5,0)</f>
        <v>162.88400000000007</v>
      </c>
      <c r="EL92" s="14">
        <f t="shared" si="99"/>
        <v>41.492331786851203</v>
      </c>
      <c r="EM92" s="22">
        <f t="shared" si="73"/>
        <v>355.95544452876601</v>
      </c>
      <c r="EN92" s="60">
        <f t="shared" si="74"/>
        <v>649.28877786209932</v>
      </c>
      <c r="EO92" s="60">
        <f ca="1">AVERAGE(OFFSET($EN$3,0,0,'Données projet'!$E$15+1,1))-AVERAGE(OFFSET($H$3,0,0,'Données projet'!$E$15+1,1))</f>
        <v>120.18668518376586</v>
      </c>
      <c r="EP92" s="60">
        <f t="shared" si="100"/>
        <v>110.24821114898037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8">
        <f t="shared" si="56"/>
        <v>471.2829524847545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8.1410256410256405</v>
      </c>
      <c r="N93" s="14">
        <f>IF('Données projet'!$A$36&gt;35,N92+M93-V92,IF(A93&lt;'Données projet'!$A$36,$K$205^A93,IF(A93='Données projet'!$A$36,'Données projet'!$B$36,N92+M93-V92)))</f>
        <v>324.42307692307645</v>
      </c>
      <c r="O93" s="14">
        <f>N93*VLOOKUP('Données projet'!$B$9,Paramètres!$A$1:$I$89,3,0)*VLOOKUP('Données projet'!$B$9,Paramètres!$A$1:$I$89,5,0)</f>
        <v>151.82999999999979</v>
      </c>
      <c r="P93" s="14">
        <f t="shared" si="87"/>
        <v>38.994165732360706</v>
      </c>
      <c r="Q93" s="22">
        <f t="shared" si="54"/>
        <v>332.35208865052783</v>
      </c>
      <c r="R93" s="60">
        <f t="shared" si="55"/>
        <v>625.68542198386115</v>
      </c>
      <c r="S93" s="60">
        <f ca="1">AVERAGE(OFFSET($R$3,0,0,'Données projet'!$E$9+1,1))-AVERAGE(OFFSET($H$3,0,0,'Données projet'!$E$9+1,1))</f>
        <v>106.50743833854523</v>
      </c>
      <c r="T93" s="60">
        <f t="shared" si="88"/>
        <v>47.606751325129608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0">
        <f t="shared" si="59"/>
        <v>871.92783634092143</v>
      </c>
      <c r="AN93" s="60">
        <f ca="1">AVERAGE(OFFSET($AM$3,0,0,'Données projet'!$E$10+1,1))-AVERAGE(OFFSET($H$3,0,0,'Données projet'!$E$10+1,1))</f>
        <v>247.65126267995316</v>
      </c>
      <c r="AO93" s="60">
        <f t="shared" si="90"/>
        <v>149.27472147904314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300.14400000000006</v>
      </c>
      <c r="BF93" s="14">
        <f t="shared" si="91"/>
        <v>71.206650563609855</v>
      </c>
      <c r="BG93" s="22">
        <f t="shared" si="61"/>
        <v>646.76904973162061</v>
      </c>
      <c r="BH93" s="60">
        <f t="shared" si="62"/>
        <v>940.10238306495398</v>
      </c>
      <c r="BI93" s="60">
        <f ca="1">AVERAGE(OFFSET($BH$3,0,0,'Données projet'!$E$11+1,1))-AVERAGE(OFFSET($H$3,0,0,'Données projet'!$E$11+1,1))</f>
        <v>294.2815419338562</v>
      </c>
      <c r="BJ93" s="60">
        <f t="shared" si="92"/>
        <v>173.99850582760712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11.571428571428571</v>
      </c>
      <c r="BY93" s="13">
        <f>IF('Données projet'!$A$114&gt;35,BY92+BX93-CG92,IF(A93&lt;'Données projet'!$A$114,$BV$205^A93,IF(A93='Données projet'!$A$114,'Données projet'!$B$114,BY92+BX93-CG92)))</f>
        <v>486.85714285714232</v>
      </c>
      <c r="BZ93" s="14">
        <f>BY93*VLOOKUP('Données projet'!$B$12,Paramètres!$A$1:$I$89,3,0)*VLOOKUP('Données projet'!$B$12,Paramètres!$A$1:$I$89,5,0)</f>
        <v>417.7234285714282</v>
      </c>
      <c r="CA93" s="14">
        <f t="shared" si="93"/>
        <v>95.360701791967401</v>
      </c>
      <c r="CB93" s="22">
        <f t="shared" si="64"/>
        <v>893.62152704958055</v>
      </c>
      <c r="CC93" s="60">
        <f t="shared" si="65"/>
        <v>1186.9548603829139</v>
      </c>
      <c r="CD93" s="60">
        <f ca="1">AVERAGE(OFFSET($CC$3,0,0,'Données projet'!$E$12+1,1))-AVERAGE(OFFSET($H$3,0,0,'Données projet'!$E$12+1,1))</f>
        <v>317.48648551307656</v>
      </c>
      <c r="CE93" s="60">
        <f t="shared" si="94"/>
        <v>133.09277301479563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0">
        <f t="shared" si="68"/>
        <v>293.33333333333582</v>
      </c>
      <c r="CY93" s="60">
        <f ca="1">AVERAGE(OFFSET($CX$3,0,0,'Données projet'!$E$13+1,1))-AVERAGE(OFFSET($H$3,0,0,'Données projet'!$E$13+1,1))</f>
        <v>194.42056369374041</v>
      </c>
      <c r="CZ93" s="60">
        <f t="shared" si="96"/>
        <v>185.75045299455371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286.29120000000006</v>
      </c>
      <c r="DQ93" s="14">
        <f t="shared" si="97"/>
        <v>68.294796094604408</v>
      </c>
      <c r="DR93" s="22">
        <f t="shared" si="70"/>
        <v>617.57060986476938</v>
      </c>
      <c r="DS93" s="60">
        <f t="shared" si="71"/>
        <v>910.90394319810275</v>
      </c>
      <c r="DT93" s="60">
        <f ca="1">AVERAGE(OFFSET($DS$3,0,0,'Données projet'!$E$14+1,1))-AVERAGE(OFFSET($H$3,0,0,'Données projet'!$E$14+1,1))</f>
        <v>274.31056057602081</v>
      </c>
      <c r="DU93" s="60">
        <f t="shared" si="98"/>
        <v>163.41029152029387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246.15384615384613</v>
      </c>
      <c r="EH93" s="13">
        <f>VLOOKUP(A93,'Données projet'!$A$191:$I$211,9,0)</f>
        <v>3.3333333333333313</v>
      </c>
      <c r="EI93" s="13">
        <f t="array" ref="EI93">INDEX(EH:EH,MIN(IF(ISNUMBER(EH93:EH289),ROW(EH93:EH289),"")))</f>
        <v>3.3333333333333313</v>
      </c>
      <c r="EJ93" s="13">
        <f>IF('Données projet'!$A$192&gt;35,EJ92+EI93-ER92,IF(A93&lt;'Données projet'!$A$192,$EG$205^A93,IF(A93='Données projet'!$A$192,'Données projet'!$B$192,EJ92+EI93-ER92)))</f>
        <v>246.15384615384627</v>
      </c>
      <c r="EK93" s="18">
        <f>EJ93*VLOOKUP('Données projet'!$B$15,Paramètres!$A$1:$I$89,3,0)*VLOOKUP('Données projet'!$B$15,Paramètres!$A$1:$I$89,5,0)</f>
        <v>165.12000000000009</v>
      </c>
      <c r="EL93" s="14">
        <f t="shared" si="99"/>
        <v>41.995220128988628</v>
      </c>
      <c r="EM93" s="22">
        <f t="shared" si="73"/>
        <v>360.72567505798861</v>
      </c>
      <c r="EN93" s="60">
        <f t="shared" si="74"/>
        <v>654.05900839132187</v>
      </c>
      <c r="EO93" s="60">
        <f ca="1">AVERAGE(OFFSET($EN$3,0,0,'Données projet'!$E$15+1,1))-AVERAGE(OFFSET($H$3,0,0,'Données projet'!$E$15+1,1))</f>
        <v>120.18668518376586</v>
      </c>
      <c r="EP93" s="60">
        <f t="shared" si="100"/>
        <v>110.24821114898037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21.153846153846153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8">
        <f t="shared" si="56"/>
        <v>473.21004596514888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8.1410256410256405</v>
      </c>
      <c r="N94" s="14">
        <f>IF('Données projet'!$A$36&gt;35,N93+M94-V93,IF(A94&lt;'Données projet'!$A$36,$K$205^A94,IF(A94='Données projet'!$A$36,'Données projet'!$B$36,N93+M94-V93)))</f>
        <v>332.56410256410209</v>
      </c>
      <c r="O94" s="14">
        <f>N94*VLOOKUP('Données projet'!$B$9,Paramètres!$A$1:$I$89,3,0)*VLOOKUP('Données projet'!$B$9,Paramètres!$A$1:$I$89,5,0)</f>
        <v>155.63999999999979</v>
      </c>
      <c r="P94" s="14">
        <f t="shared" si="87"/>
        <v>39.857529549413819</v>
      </c>
      <c r="Q94" s="22">
        <f t="shared" si="54"/>
        <v>340.49153063189533</v>
      </c>
      <c r="R94" s="60">
        <f t="shared" si="55"/>
        <v>633.82486396522859</v>
      </c>
      <c r="S94" s="60">
        <f ca="1">AVERAGE(OFFSET($R$3,0,0,'Données projet'!$E$9+1,1))-AVERAGE(OFFSET($H$3,0,0,'Données projet'!$E$9+1,1))</f>
        <v>106.50743833854523</v>
      </c>
      <c r="T94" s="60">
        <f t="shared" si="88"/>
        <v>47.606751325129608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0">
        <f t="shared" si="59"/>
        <v>800.94897376928998</v>
      </c>
      <c r="AN94" s="60">
        <f ca="1">AVERAGE(OFFSET($AM$3,0,0,'Données projet'!$E$10+1,1))-AVERAGE(OFFSET($H$3,0,0,'Données projet'!$E$10+1,1))</f>
        <v>247.65126267995316</v>
      </c>
      <c r="AO94" s="60">
        <f t="shared" si="90"/>
        <v>149.27472147904314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262.52460000000002</v>
      </c>
      <c r="BF94" s="14">
        <f t="shared" si="91"/>
        <v>63.260217631774687</v>
      </c>
      <c r="BG94" s="22">
        <f t="shared" si="61"/>
        <v>567.40855737534105</v>
      </c>
      <c r="BH94" s="60">
        <f t="shared" si="62"/>
        <v>860.74189070867442</v>
      </c>
      <c r="BI94" s="60">
        <f ca="1">AVERAGE(OFFSET($BH$3,0,0,'Données projet'!$E$11+1,1))-AVERAGE(OFFSET($H$3,0,0,'Données projet'!$E$11+1,1))</f>
        <v>294.2815419338562</v>
      </c>
      <c r="BJ94" s="60">
        <f t="shared" si="92"/>
        <v>173.99850582760712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11.571428571428571</v>
      </c>
      <c r="BY94" s="13">
        <f>IF('Données projet'!$A$114&gt;35,BY93+BX94-CG93,IF(A94&lt;'Données projet'!$A$114,$BV$205^A94,IF(A94='Données projet'!$A$114,'Données projet'!$B$114,BY93+BX94-CG93)))</f>
        <v>498.42857142857088</v>
      </c>
      <c r="BZ94" s="14">
        <f>BY94*VLOOKUP('Données projet'!$B$12,Paramètres!$A$1:$I$89,3,0)*VLOOKUP('Données projet'!$B$12,Paramètres!$A$1:$I$89,5,0)</f>
        <v>427.65171428571387</v>
      </c>
      <c r="CA94" s="14">
        <f t="shared" si="93"/>
        <v>97.360631210977274</v>
      </c>
      <c r="CB94" s="22">
        <f t="shared" si="64"/>
        <v>914.39650174007045</v>
      </c>
      <c r="CC94" s="60">
        <f t="shared" si="65"/>
        <v>1207.7298350734038</v>
      </c>
      <c r="CD94" s="60">
        <f ca="1">AVERAGE(OFFSET($CC$3,0,0,'Données projet'!$E$12+1,1))-AVERAGE(OFFSET($H$3,0,0,'Données projet'!$E$12+1,1))</f>
        <v>317.48648551307656</v>
      </c>
      <c r="CE94" s="60">
        <f t="shared" si="94"/>
        <v>133.09277301479563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0">
        <f t="shared" si="68"/>
        <v>293.33333333333582</v>
      </c>
      <c r="CY94" s="60">
        <f ca="1">AVERAGE(OFFSET($CX$3,0,0,'Données projet'!$E$13+1,1))-AVERAGE(OFFSET($H$3,0,0,'Données projet'!$E$13+1,1))</f>
        <v>194.42056369374041</v>
      </c>
      <c r="CZ94" s="60">
        <f t="shared" si="96"/>
        <v>185.75045299455371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250.40808000000004</v>
      </c>
      <c r="DQ94" s="14">
        <f t="shared" si="97"/>
        <v>60.67331674592576</v>
      </c>
      <c r="DR94" s="22">
        <f t="shared" si="70"/>
        <v>541.80009933248743</v>
      </c>
      <c r="DS94" s="60">
        <f t="shared" si="71"/>
        <v>835.13343266582069</v>
      </c>
      <c r="DT94" s="60">
        <f ca="1">AVERAGE(OFFSET($DS$3,0,0,'Données projet'!$E$14+1,1))-AVERAGE(OFFSET($H$3,0,0,'Données projet'!$E$14+1,1))</f>
        <v>274.31056057602081</v>
      </c>
      <c r="DU94" s="60">
        <f t="shared" si="98"/>
        <v>163.41029152029387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3.2051282051282102</v>
      </c>
      <c r="EJ94" s="13">
        <f>IF('Données projet'!$A$192&gt;35,EJ93+EI94-ER93,IF(A94&lt;'Données projet'!$A$192,$EG$205^A94,IF(A94='Données projet'!$A$192,'Données projet'!$B$192,EJ93+EI94-ER93)))</f>
        <v>228.20512820512832</v>
      </c>
      <c r="EK94" s="18">
        <f>EJ94*VLOOKUP('Données projet'!$B$15,Paramètres!$A$1:$I$89,3,0)*VLOOKUP('Données projet'!$B$15,Paramètres!$A$1:$I$89,5,0)</f>
        <v>153.0800000000001</v>
      </c>
      <c r="EL94" s="14">
        <f t="shared" si="99"/>
        <v>39.277696538385037</v>
      </c>
      <c r="EM94" s="22">
        <f t="shared" si="73"/>
        <v>335.02298813768743</v>
      </c>
      <c r="EN94" s="60">
        <f t="shared" si="74"/>
        <v>628.35632147102069</v>
      </c>
      <c r="EO94" s="60">
        <f ca="1">AVERAGE(OFFSET($EN$3,0,0,'Données projet'!$E$15+1,1))-AVERAGE(OFFSET($H$3,0,0,'Données projet'!$E$15+1,1))</f>
        <v>120.18668518376586</v>
      </c>
      <c r="EP94" s="60">
        <f t="shared" si="100"/>
        <v>110.24821114898037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8">
        <f t="shared" si="56"/>
        <v>475.1366557208853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8.1410256410256405</v>
      </c>
      <c r="N95" s="14">
        <f>IF('Données projet'!$A$36&gt;35,N94+M95-V94,IF(A95&lt;'Données projet'!$A$36,$K$205^A95,IF(A95='Données projet'!$A$36,'Données projet'!$B$36,N94+M95-V94)))</f>
        <v>340.70512820512772</v>
      </c>
      <c r="O95" s="14">
        <f>N95*VLOOKUP('Données projet'!$B$9,Paramètres!$A$1:$I$89,3,0)*VLOOKUP('Données projet'!$B$9,Paramètres!$A$1:$I$89,5,0)</f>
        <v>159.44999999999976</v>
      </c>
      <c r="P95" s="14">
        <f t="shared" si="87"/>
        <v>40.718436521095953</v>
      </c>
      <c r="Q95" s="22">
        <f t="shared" si="54"/>
        <v>348.62669360757508</v>
      </c>
      <c r="R95" s="60">
        <f t="shared" si="55"/>
        <v>641.96002694090839</v>
      </c>
      <c r="S95" s="60">
        <f ca="1">AVERAGE(OFFSET($R$3,0,0,'Données projet'!$E$9+1,1))-AVERAGE(OFFSET($H$3,0,0,'Données projet'!$E$9+1,1))</f>
        <v>106.50743833854523</v>
      </c>
      <c r="T95" s="60">
        <f t="shared" si="88"/>
        <v>47.606751325129608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0">
        <f t="shared" si="59"/>
        <v>810.33492368208931</v>
      </c>
      <c r="AN95" s="60">
        <f ca="1">AVERAGE(OFFSET($AM$3,0,0,'Données projet'!$E$10+1,1))-AVERAGE(OFFSET($H$3,0,0,'Données projet'!$E$10+1,1))</f>
        <v>247.65126267995316</v>
      </c>
      <c r="AO95" s="60">
        <f t="shared" si="90"/>
        <v>149.27472147904314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267.49320000000006</v>
      </c>
      <c r="BF95" s="14">
        <f t="shared" si="91"/>
        <v>64.316974590266341</v>
      </c>
      <c r="BG95" s="22">
        <f t="shared" si="61"/>
        <v>577.90272074471397</v>
      </c>
      <c r="BH95" s="60">
        <f t="shared" si="62"/>
        <v>871.23605407804735</v>
      </c>
      <c r="BI95" s="60">
        <f ca="1">AVERAGE(OFFSET($BH$3,0,0,'Données projet'!$E$11+1,1))-AVERAGE(OFFSET($H$3,0,0,'Données projet'!$E$11+1,1))</f>
        <v>294.2815419338562</v>
      </c>
      <c r="BJ95" s="60">
        <f t="shared" si="92"/>
        <v>173.99850582760712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11.571428571428571</v>
      </c>
      <c r="BY95" s="13">
        <f>IF('Données projet'!$A$114&gt;35,BY94+BX95-CG94,IF(A95&lt;'Données projet'!$A$114,$BV$205^A95,IF(A95='Données projet'!$A$114,'Données projet'!$B$114,BY94+BX95-CG94)))</f>
        <v>509.99999999999943</v>
      </c>
      <c r="BZ95" s="14">
        <f>BY95*VLOOKUP('Données projet'!$B$12,Paramètres!$A$1:$I$89,3,0)*VLOOKUP('Données projet'!$B$12,Paramètres!$A$1:$I$89,5,0)</f>
        <v>437.57999999999959</v>
      </c>
      <c r="CA95" s="14">
        <f t="shared" si="93"/>
        <v>99.3551629608057</v>
      </c>
      <c r="CB95" s="22">
        <f t="shared" si="64"/>
        <v>935.16207549006924</v>
      </c>
      <c r="CC95" s="60">
        <f t="shared" si="65"/>
        <v>1228.4954088234026</v>
      </c>
      <c r="CD95" s="60">
        <f ca="1">AVERAGE(OFFSET($CC$3,0,0,'Données projet'!$E$12+1,1))-AVERAGE(OFFSET($H$3,0,0,'Données projet'!$E$12+1,1))</f>
        <v>317.48648551307656</v>
      </c>
      <c r="CE95" s="60">
        <f t="shared" si="94"/>
        <v>133.09277301479563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0">
        <f t="shared" si="68"/>
        <v>293.33333333333582</v>
      </c>
      <c r="CY95" s="60">
        <f ca="1">AVERAGE(OFFSET($CX$3,0,0,'Données projet'!$E$13+1,1))-AVERAGE(OFFSET($H$3,0,0,'Données projet'!$E$13+1,1))</f>
        <v>194.42056369374041</v>
      </c>
      <c r="CZ95" s="60">
        <f t="shared" si="96"/>
        <v>185.75045299455371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255.14736000000002</v>
      </c>
      <c r="DQ95" s="14">
        <f t="shared" si="97"/>
        <v>61.686859728645651</v>
      </c>
      <c r="DR95" s="22">
        <f t="shared" si="70"/>
        <v>551.81959936072451</v>
      </c>
      <c r="DS95" s="60">
        <f t="shared" si="71"/>
        <v>845.15293269405788</v>
      </c>
      <c r="DT95" s="60">
        <f ca="1">AVERAGE(OFFSET($DS$3,0,0,'Données projet'!$E$14+1,1))-AVERAGE(OFFSET($H$3,0,0,'Données projet'!$E$14+1,1))</f>
        <v>274.31056057602081</v>
      </c>
      <c r="DU95" s="60">
        <f t="shared" si="98"/>
        <v>163.41029152029387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3.2051282051282102</v>
      </c>
      <c r="EJ95" s="13">
        <f>IF('Données projet'!$A$192&gt;35,EJ94+EI95-ER94,IF(A95&lt;'Données projet'!$A$192,$EG$205^A95,IF(A95='Données projet'!$A$192,'Données projet'!$B$192,EJ94+EI95-ER94)))</f>
        <v>231.41025641025652</v>
      </c>
      <c r="EK95" s="18">
        <f>EJ95*VLOOKUP('Données projet'!$B$15,Paramètres!$A$1:$I$89,3,0)*VLOOKUP('Données projet'!$B$15,Paramètres!$A$1:$I$89,5,0)</f>
        <v>155.23000000000008</v>
      </c>
      <c r="EL95" s="14">
        <f t="shared" si="99"/>
        <v>39.764740791164932</v>
      </c>
      <c r="EM95" s="22">
        <f t="shared" si="73"/>
        <v>339.61584021127902</v>
      </c>
      <c r="EN95" s="60">
        <f t="shared" si="74"/>
        <v>632.94917354461234</v>
      </c>
      <c r="EO95" s="60">
        <f ca="1">AVERAGE(OFFSET($EN$3,0,0,'Données projet'!$E$15+1,1))-AVERAGE(OFFSET($H$3,0,0,'Données projet'!$E$15+1,1))</f>
        <v>120.18668518376586</v>
      </c>
      <c r="EP95" s="60">
        <f t="shared" si="100"/>
        <v>110.24821114898037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8">
        <f t="shared" si="56"/>
        <v>477.06278761837774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8.1410256410256405</v>
      </c>
      <c r="N96" s="14">
        <f>IF('Données projet'!$A$36&gt;35,N95+M96-V95,IF(A96&lt;'Données projet'!$A$36,$K$205^A96,IF(A96='Données projet'!$A$36,'Données projet'!$B$36,N95+M96-V95)))</f>
        <v>348.84615384615336</v>
      </c>
      <c r="O96" s="14">
        <f>N96*VLOOKUP('Données projet'!$B$9,Paramètres!$A$1:$I$89,3,0)*VLOOKUP('Données projet'!$B$9,Paramètres!$A$1:$I$89,5,0)</f>
        <v>163.25999999999976</v>
      </c>
      <c r="P96" s="14">
        <f t="shared" si="87"/>
        <v>41.576952107686338</v>
      </c>
      <c r="Q96" s="22">
        <f t="shared" si="54"/>
        <v>356.75769158755321</v>
      </c>
      <c r="R96" s="60">
        <f t="shared" si="55"/>
        <v>650.09102492088653</v>
      </c>
      <c r="S96" s="60">
        <f ca="1">AVERAGE(OFFSET($R$3,0,0,'Données projet'!$E$9+1,1))-AVERAGE(OFFSET($H$3,0,0,'Données projet'!$E$9+1,1))</f>
        <v>106.50743833854523</v>
      </c>
      <c r="T96" s="60">
        <f t="shared" si="88"/>
        <v>47.606751325129608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0">
        <f t="shared" si="59"/>
        <v>819.71727903145597</v>
      </c>
      <c r="AN96" s="60">
        <f ca="1">AVERAGE(OFFSET($AM$3,0,0,'Données projet'!$E$10+1,1))-AVERAGE(OFFSET($H$3,0,0,'Données projet'!$E$10+1,1))</f>
        <v>247.65126267995316</v>
      </c>
      <c r="AO96" s="60">
        <f t="shared" si="90"/>
        <v>149.27472147904314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272.46180000000004</v>
      </c>
      <c r="BF96" s="14">
        <f t="shared" si="91"/>
        <v>65.371449071921944</v>
      </c>
      <c r="BG96" s="22">
        <f t="shared" si="61"/>
        <v>588.39290880026408</v>
      </c>
      <c r="BH96" s="60">
        <f t="shared" si="62"/>
        <v>881.72624213359745</v>
      </c>
      <c r="BI96" s="60">
        <f ca="1">AVERAGE(OFFSET($BH$3,0,0,'Données projet'!$E$11+1,1))-AVERAGE(OFFSET($H$3,0,0,'Données projet'!$E$11+1,1))</f>
        <v>294.2815419338562</v>
      </c>
      <c r="BJ96" s="60">
        <f t="shared" si="92"/>
        <v>173.99850582760712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11.571428571428571</v>
      </c>
      <c r="BY96" s="13">
        <f>IF('Données projet'!$A$114&gt;35,BY95+BX96-CG95,IF(A96&lt;'Données projet'!$A$114,$BV$205^A96,IF(A96='Données projet'!$A$114,'Données projet'!$B$114,BY95+BX96-CG95)))</f>
        <v>521.57142857142799</v>
      </c>
      <c r="BZ96" s="14">
        <f>BY96*VLOOKUP('Données projet'!$B$12,Paramètres!$A$1:$I$89,3,0)*VLOOKUP('Données projet'!$B$12,Paramètres!$A$1:$I$89,5,0)</f>
        <v>447.50828571428525</v>
      </c>
      <c r="CA96" s="14">
        <f t="shared" si="93"/>
        <v>101.34443360815986</v>
      </c>
      <c r="CB96" s="22">
        <f t="shared" si="64"/>
        <v>955.91848615325853</v>
      </c>
      <c r="CC96" s="60">
        <f t="shared" si="65"/>
        <v>1249.2518194865918</v>
      </c>
      <c r="CD96" s="60">
        <f ca="1">AVERAGE(OFFSET($CC$3,0,0,'Données projet'!$E$12+1,1))-AVERAGE(OFFSET($H$3,0,0,'Données projet'!$E$12+1,1))</f>
        <v>317.48648551307656</v>
      </c>
      <c r="CE96" s="60">
        <f t="shared" si="94"/>
        <v>133.09277301479563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0">
        <f t="shared" si="68"/>
        <v>293.33333333333582</v>
      </c>
      <c r="CY96" s="60">
        <f ca="1">AVERAGE(OFFSET($CX$3,0,0,'Données projet'!$E$13+1,1))-AVERAGE(OFFSET($H$3,0,0,'Données projet'!$E$13+1,1))</f>
        <v>194.42056369374041</v>
      </c>
      <c r="CZ96" s="60">
        <f t="shared" si="96"/>
        <v>185.75045299455371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259.88664</v>
      </c>
      <c r="DQ96" s="14">
        <f t="shared" si="97"/>
        <v>62.698213571884004</v>
      </c>
      <c r="DR96" s="22">
        <f t="shared" si="70"/>
        <v>561.835286637698</v>
      </c>
      <c r="DS96" s="60">
        <f t="shared" si="71"/>
        <v>855.16861997103138</v>
      </c>
      <c r="DT96" s="60">
        <f ca="1">AVERAGE(OFFSET($DS$3,0,0,'Données projet'!$E$14+1,1))-AVERAGE(OFFSET($H$3,0,0,'Données projet'!$E$14+1,1))</f>
        <v>274.31056057602081</v>
      </c>
      <c r="DU96" s="60">
        <f t="shared" si="98"/>
        <v>163.41029152029387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3.2051282051282102</v>
      </c>
      <c r="EJ96" s="13">
        <f>IF('Données projet'!$A$192&gt;35,EJ95+EI96-ER95,IF(A96&lt;'Données projet'!$A$192,$EG$205^A96,IF(A96='Données projet'!$A$192,'Données projet'!$B$192,EJ95+EI96-ER95)))</f>
        <v>234.61538461538473</v>
      </c>
      <c r="EK96" s="18">
        <f>EJ96*VLOOKUP('Données projet'!$B$15,Paramètres!$A$1:$I$89,3,0)*VLOOKUP('Données projet'!$B$15,Paramètres!$A$1:$I$89,5,0)</f>
        <v>157.38000000000008</v>
      </c>
      <c r="EL96" s="14">
        <f t="shared" si="99"/>
        <v>40.25100044295251</v>
      </c>
      <c r="EM96" s="22">
        <f t="shared" si="73"/>
        <v>344.20732577147572</v>
      </c>
      <c r="EN96" s="60">
        <f t="shared" si="74"/>
        <v>637.54065910480904</v>
      </c>
      <c r="EO96" s="60">
        <f ca="1">AVERAGE(OFFSET($EN$3,0,0,'Données projet'!$E$15+1,1))-AVERAGE(OFFSET($H$3,0,0,'Données projet'!$E$15+1,1))</f>
        <v>120.18668518376586</v>
      </c>
      <c r="EP96" s="60">
        <f t="shared" si="100"/>
        <v>110.24821114898037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8">
        <f t="shared" si="56"/>
        <v>478.98844739061411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8.1410256410256405</v>
      </c>
      <c r="N97" s="14">
        <f>IF('Données projet'!$A$36&gt;35,N96+M97-V96,IF(A97&lt;'Données projet'!$A$36,$K$205^A97,IF(A97='Données projet'!$A$36,'Données projet'!$B$36,N96+M97-V96)))</f>
        <v>356.98717948717899</v>
      </c>
      <c r="O97" s="14">
        <f>N97*VLOOKUP('Données projet'!$B$9,Paramètres!$A$1:$I$89,3,0)*VLOOKUP('Données projet'!$B$9,Paramètres!$A$1:$I$89,5,0)</f>
        <v>167.06999999999977</v>
      </c>
      <c r="P97" s="14">
        <f t="shared" si="87"/>
        <v>42.433138539856941</v>
      </c>
      <c r="Q97" s="22">
        <f t="shared" si="54"/>
        <v>364.88463295691707</v>
      </c>
      <c r="R97" s="60">
        <f t="shared" si="55"/>
        <v>658.21796629025039</v>
      </c>
      <c r="S97" s="60">
        <f ca="1">AVERAGE(OFFSET($R$3,0,0,'Données projet'!$E$9+1,1))-AVERAGE(OFFSET($H$3,0,0,'Données projet'!$E$9+1,1))</f>
        <v>106.50743833854523</v>
      </c>
      <c r="T97" s="60">
        <f t="shared" si="88"/>
        <v>47.606751325129608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0">
        <f t="shared" si="59"/>
        <v>829.09611292828231</v>
      </c>
      <c r="AN97" s="60">
        <f ca="1">AVERAGE(OFFSET($AM$3,0,0,'Données projet'!$E$10+1,1))-AVERAGE(OFFSET($H$3,0,0,'Données projet'!$E$10+1,1))</f>
        <v>247.65126267995316</v>
      </c>
      <c r="AO97" s="60">
        <f t="shared" si="90"/>
        <v>149.27472147904314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277.43039999999996</v>
      </c>
      <c r="BF97" s="14">
        <f t="shared" si="91"/>
        <v>66.423687500715673</v>
      </c>
      <c r="BG97" s="22">
        <f t="shared" si="61"/>
        <v>598.87920239707967</v>
      </c>
      <c r="BH97" s="60">
        <f t="shared" si="62"/>
        <v>892.21253573041304</v>
      </c>
      <c r="BI97" s="60">
        <f ca="1">AVERAGE(OFFSET($BH$3,0,0,'Données projet'!$E$11+1,1))-AVERAGE(OFFSET($H$3,0,0,'Données projet'!$E$11+1,1))</f>
        <v>294.2815419338562</v>
      </c>
      <c r="BJ97" s="60">
        <f t="shared" si="92"/>
        <v>173.99850582760712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11.571428571428571</v>
      </c>
      <c r="BY97" s="13">
        <f>IF('Données projet'!$A$114&gt;35,BY96+BX97-CG96,IF(A97&lt;'Données projet'!$A$114,$BV$205^A97,IF(A97='Données projet'!$A$114,'Données projet'!$B$114,BY96+BX97-CG96)))</f>
        <v>533.14285714285654</v>
      </c>
      <c r="BZ97" s="14">
        <f>BY97*VLOOKUP('Données projet'!$B$12,Paramètres!$A$1:$I$89,3,0)*VLOOKUP('Données projet'!$B$12,Paramètres!$A$1:$I$89,5,0)</f>
        <v>457.43657142857097</v>
      </c>
      <c r="CA97" s="14">
        <f t="shared" si="93"/>
        <v>103.32857331411103</v>
      </c>
      <c r="CB97" s="22">
        <f t="shared" si="64"/>
        <v>976.66596042683784</v>
      </c>
      <c r="CC97" s="60">
        <f t="shared" si="65"/>
        <v>1269.9992937601712</v>
      </c>
      <c r="CD97" s="60">
        <f ca="1">AVERAGE(OFFSET($CC$3,0,0,'Données projet'!$E$12+1,1))-AVERAGE(OFFSET($H$3,0,0,'Données projet'!$E$12+1,1))</f>
        <v>317.48648551307656</v>
      </c>
      <c r="CE97" s="60">
        <f t="shared" si="94"/>
        <v>133.09277301479563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0">
        <f t="shared" si="68"/>
        <v>293.33333333333582</v>
      </c>
      <c r="CY97" s="60">
        <f ca="1">AVERAGE(OFFSET($CX$3,0,0,'Données projet'!$E$13+1,1))-AVERAGE(OFFSET($H$3,0,0,'Données projet'!$E$13+1,1))</f>
        <v>194.42056369374041</v>
      </c>
      <c r="CZ97" s="60">
        <f t="shared" si="96"/>
        <v>185.75045299455371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264.62591999999995</v>
      </c>
      <c r="DQ97" s="14">
        <f t="shared" si="97"/>
        <v>63.707422801198604</v>
      </c>
      <c r="DR97" s="22">
        <f t="shared" si="70"/>
        <v>571.84723871208746</v>
      </c>
      <c r="DS97" s="60">
        <f t="shared" si="71"/>
        <v>865.18057204542083</v>
      </c>
      <c r="DT97" s="60">
        <f ca="1">AVERAGE(OFFSET($DS$3,0,0,'Données projet'!$E$14+1,1))-AVERAGE(OFFSET($H$3,0,0,'Données projet'!$E$14+1,1))</f>
        <v>274.31056057602081</v>
      </c>
      <c r="DU97" s="60">
        <f t="shared" si="98"/>
        <v>163.41029152029387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3.2051282051282102</v>
      </c>
      <c r="EJ97" s="13">
        <f>IF('Données projet'!$A$192&gt;35,EJ96+EI97-ER96,IF(A97&lt;'Données projet'!$A$192,$EG$205^A97,IF(A97='Données projet'!$A$192,'Données projet'!$B$192,EJ96+EI97-ER96)))</f>
        <v>237.82051282051293</v>
      </c>
      <c r="EK97" s="18">
        <f>EJ97*VLOOKUP('Données projet'!$B$15,Paramètres!$A$1:$I$89,3,0)*VLOOKUP('Données projet'!$B$15,Paramètres!$A$1:$I$89,5,0)</f>
        <v>159.53000000000006</v>
      </c>
      <c r="EL97" s="14">
        <f t="shared" si="99"/>
        <v>40.736487451224015</v>
      </c>
      <c r="EM97" s="22">
        <f t="shared" si="73"/>
        <v>348.79746564421521</v>
      </c>
      <c r="EN97" s="60">
        <f t="shared" si="74"/>
        <v>642.13079897754847</v>
      </c>
      <c r="EO97" s="60">
        <f ca="1">AVERAGE(OFFSET($EN$3,0,0,'Données projet'!$E$15+1,1))-AVERAGE(OFFSET($H$3,0,0,'Données projet'!$E$15+1,1))</f>
        <v>120.18668518376586</v>
      </c>
      <c r="EP97" s="60">
        <f t="shared" si="100"/>
        <v>110.24821114898037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8">
        <f t="shared" si="56"/>
        <v>480.91364064157727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8.1410256410256405</v>
      </c>
      <c r="N98" s="14">
        <f>IF('Données projet'!$A$36&gt;35,N97+M98-V97,IF(A98&lt;'Données projet'!$A$36,$K$205^A98,IF(A98='Données projet'!$A$36,'Données projet'!$B$36,N97+M98-V97)))</f>
        <v>365.12820512820463</v>
      </c>
      <c r="O98" s="14">
        <f>N98*VLOOKUP('Données projet'!$B$9,Paramètres!$A$1:$I$89,3,0)*VLOOKUP('Données projet'!$B$9,Paramètres!$A$1:$I$89,5,0)</f>
        <v>170.87999999999977</v>
      </c>
      <c r="P98" s="14">
        <f t="shared" si="87"/>
        <v>43.287055047972629</v>
      </c>
      <c r="Q98" s="22">
        <f t="shared" si="54"/>
        <v>373.00762087521849</v>
      </c>
      <c r="R98" s="60">
        <f t="shared" si="55"/>
        <v>666.34095420855181</v>
      </c>
      <c r="S98" s="60">
        <f ca="1">AVERAGE(OFFSET($R$3,0,0,'Données projet'!$E$9+1,1))-AVERAGE(OFFSET($H$3,0,0,'Données projet'!$E$9+1,1))</f>
        <v>106.50743833854523</v>
      </c>
      <c r="T98" s="60">
        <f t="shared" si="88"/>
        <v>47.606751325129608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0">
        <f t="shared" si="59"/>
        <v>838.4714957147562</v>
      </c>
      <c r="AN98" s="60">
        <f ca="1">AVERAGE(OFFSET($AM$3,0,0,'Données projet'!$E$10+1,1))-AVERAGE(OFFSET($H$3,0,0,'Données projet'!$E$10+1,1))</f>
        <v>247.65126267995316</v>
      </c>
      <c r="AO98" s="60">
        <f t="shared" si="90"/>
        <v>149.27472147904314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282.399</v>
      </c>
      <c r="BF98" s="14">
        <f t="shared" si="91"/>
        <v>67.473734542548371</v>
      </c>
      <c r="BG98" s="22">
        <f t="shared" si="61"/>
        <v>609.36167932827175</v>
      </c>
      <c r="BH98" s="60">
        <f t="shared" si="62"/>
        <v>902.69501266160501</v>
      </c>
      <c r="BI98" s="60">
        <f ca="1">AVERAGE(OFFSET($BH$3,0,0,'Données projet'!$E$11+1,1))-AVERAGE(OFFSET($H$3,0,0,'Données projet'!$E$11+1,1))</f>
        <v>294.2815419338562</v>
      </c>
      <c r="BJ98" s="60">
        <f t="shared" si="92"/>
        <v>173.99850582760712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11.571428571428571</v>
      </c>
      <c r="BY98" s="13">
        <f>IF('Données projet'!$A$114&gt;35,BY97+BX98-CG97,IF(A98&lt;'Données projet'!$A$114,$BV$205^A98,IF(A98='Données projet'!$A$114,'Données projet'!$B$114,BY97+BX98-CG97)))</f>
        <v>544.7142857142851</v>
      </c>
      <c r="BZ98" s="14">
        <f>BY98*VLOOKUP('Données projet'!$B$12,Paramètres!$A$1:$I$89,3,0)*VLOOKUP('Données projet'!$B$12,Paramètres!$A$1:$I$89,5,0)</f>
        <v>467.36485714285664</v>
      </c>
      <c r="CA98" s="14">
        <f t="shared" si="93"/>
        <v>105.30770626695474</v>
      </c>
      <c r="CB98" s="22">
        <f t="shared" si="64"/>
        <v>997.4047146054213</v>
      </c>
      <c r="CC98" s="60">
        <f t="shared" si="65"/>
        <v>1290.7380479387546</v>
      </c>
      <c r="CD98" s="60">
        <f ca="1">AVERAGE(OFFSET($CC$3,0,0,'Données projet'!$E$12+1,1))-AVERAGE(OFFSET($H$3,0,0,'Données projet'!$E$12+1,1))</f>
        <v>317.48648551307656</v>
      </c>
      <c r="CE98" s="60">
        <f t="shared" si="94"/>
        <v>133.09277301479563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0">
        <f t="shared" si="68"/>
        <v>293.33333333333582</v>
      </c>
      <c r="CY98" s="60">
        <f ca="1">AVERAGE(OFFSET($CX$3,0,0,'Données projet'!$E$13+1,1))-AVERAGE(OFFSET($H$3,0,0,'Données projet'!$E$13+1,1))</f>
        <v>194.42056369374041</v>
      </c>
      <c r="CZ98" s="60">
        <f t="shared" si="96"/>
        <v>185.75045299455371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269.36519999999996</v>
      </c>
      <c r="DQ98" s="14">
        <f t="shared" si="97"/>
        <v>64.714530255967034</v>
      </c>
      <c r="DR98" s="22">
        <f t="shared" si="70"/>
        <v>581.85553019580914</v>
      </c>
      <c r="DS98" s="60">
        <f t="shared" si="71"/>
        <v>875.18886352914251</v>
      </c>
      <c r="DT98" s="60">
        <f ca="1">AVERAGE(OFFSET($DS$3,0,0,'Données projet'!$E$14+1,1))-AVERAGE(OFFSET($H$3,0,0,'Données projet'!$E$14+1,1))</f>
        <v>274.31056057602081</v>
      </c>
      <c r="DU98" s="60">
        <f t="shared" si="98"/>
        <v>163.41029152029387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241.02564102564102</v>
      </c>
      <c r="EH98" s="13">
        <f>VLOOKUP(A98,'Données projet'!$A$191:$I$211,9,0)</f>
        <v>3.2051282051282102</v>
      </c>
      <c r="EI98" s="13">
        <f t="array" ref="EI98">INDEX(EH:EH,MIN(IF(ISNUMBER(EH98:EH294),ROW(EH98:EH294),"")))</f>
        <v>3.2051282051282102</v>
      </c>
      <c r="EJ98" s="13">
        <f>IF('Données projet'!$A$192&gt;35,EJ97+EI98-ER97,IF(A98&lt;'Données projet'!$A$192,$EG$205^A98,IF(A98='Données projet'!$A$192,'Données projet'!$B$192,EJ97+EI98-ER97)))</f>
        <v>241.02564102564114</v>
      </c>
      <c r="EK98" s="18">
        <f>EJ98*VLOOKUP('Données projet'!$B$15,Paramètres!$A$1:$I$89,3,0)*VLOOKUP('Données projet'!$B$15,Paramètres!$A$1:$I$89,5,0)</f>
        <v>161.68000000000009</v>
      </c>
      <c r="EL98" s="14">
        <f t="shared" si="99"/>
        <v>41.221213432630442</v>
      </c>
      <c r="EM98" s="22">
        <f t="shared" si="73"/>
        <v>353.38628006183148</v>
      </c>
      <c r="EN98" s="60">
        <f t="shared" si="74"/>
        <v>646.71961339516474</v>
      </c>
      <c r="EO98" s="60">
        <f ca="1">AVERAGE(OFFSET($EN$3,0,0,'Données projet'!$E$15+1,1))-AVERAGE(OFFSET($H$3,0,0,'Données projet'!$E$15+1,1))</f>
        <v>120.18668518376586</v>
      </c>
      <c r="EP98" s="60">
        <f t="shared" si="100"/>
        <v>110.24821114898037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8">
        <f t="shared" si="56"/>
        <v>482.83837285047491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8.1410256410256405</v>
      </c>
      <c r="N99" s="14">
        <f>IF('Données projet'!$A$36&gt;35,N98+M99-V98,IF(A99&lt;'Données projet'!$A$36,$K$205^A99,IF(A99='Données projet'!$A$36,'Données projet'!$B$36,N98+M99-V98)))</f>
        <v>373.26923076923026</v>
      </c>
      <c r="O99" s="14">
        <f>N99*VLOOKUP('Données projet'!$B$9,Paramètres!$A$1:$I$89,3,0)*VLOOKUP('Données projet'!$B$9,Paramètres!$A$1:$I$89,5,0)</f>
        <v>174.68999999999974</v>
      </c>
      <c r="P99" s="14">
        <f t="shared" si="87"/>
        <v>44.138758070364624</v>
      </c>
      <c r="Q99" s="22">
        <f t="shared" ref="Q99:Q130" si="107">(O99+P99)*0.475*44/12</f>
        <v>381.1267536392179</v>
      </c>
      <c r="R99" s="60">
        <f t="shared" si="55"/>
        <v>674.46008697255115</v>
      </c>
      <c r="S99" s="60">
        <f ca="1">AVERAGE(OFFSET($R$3,0,0,'Données projet'!$E$9+1,1))-AVERAGE(OFFSET($H$3,0,0,'Données projet'!$E$9+1,1))</f>
        <v>106.50743833854523</v>
      </c>
      <c r="T99" s="60">
        <f t="shared" si="88"/>
        <v>47.606751325129608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0">
        <f t="shared" si="59"/>
        <v>847.84349511604591</v>
      </c>
      <c r="AN99" s="60">
        <f ca="1">AVERAGE(OFFSET($AM$3,0,0,'Données projet'!$E$10+1,1))-AVERAGE(OFFSET($H$3,0,0,'Données projet'!$E$10+1,1))</f>
        <v>247.65126267995316</v>
      </c>
      <c r="AO99" s="60">
        <f t="shared" si="90"/>
        <v>149.27472147904314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287.36759999999992</v>
      </c>
      <c r="BF99" s="14">
        <f t="shared" si="91"/>
        <v>68.521633201565123</v>
      </c>
      <c r="BG99" s="22">
        <f t="shared" si="61"/>
        <v>619.84041449272581</v>
      </c>
      <c r="BH99" s="60">
        <f t="shared" si="62"/>
        <v>913.17374782605907</v>
      </c>
      <c r="BI99" s="60">
        <f ca="1">AVERAGE(OFFSET($BH$3,0,0,'Données projet'!$E$11+1,1))-AVERAGE(OFFSET($H$3,0,0,'Données projet'!$E$11+1,1))</f>
        <v>294.2815419338562</v>
      </c>
      <c r="BJ99" s="60">
        <f t="shared" si="92"/>
        <v>173.99850582760712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11.571428571428571</v>
      </c>
      <c r="BY99" s="13">
        <f>IF('Données projet'!$A$114&gt;35,BY98+BX99-CG98,IF(A99&lt;'Données projet'!$A$114,$BV$205^A99,IF(A99='Données projet'!$A$114,'Données projet'!$B$114,BY98+BX99-CG98)))</f>
        <v>556.28571428571365</v>
      </c>
      <c r="BZ99" s="14">
        <f>BY99*VLOOKUP('Données projet'!$B$12,Paramètres!$A$1:$I$89,3,0)*VLOOKUP('Données projet'!$B$12,Paramètres!$A$1:$I$89,5,0)</f>
        <v>477.29314285714236</v>
      </c>
      <c r="CA99" s="14">
        <f t="shared" si="93"/>
        <v>107.28195107725094</v>
      </c>
      <c r="CB99" s="22">
        <f t="shared" si="64"/>
        <v>1018.1349552690684</v>
      </c>
      <c r="CC99" s="60">
        <f t="shared" si="65"/>
        <v>1311.4682886024018</v>
      </c>
      <c r="CD99" s="60">
        <f ca="1">AVERAGE(OFFSET($CC$3,0,0,'Données projet'!$E$12+1,1))-AVERAGE(OFFSET($H$3,0,0,'Données projet'!$E$12+1,1))</f>
        <v>317.48648551307656</v>
      </c>
      <c r="CE99" s="60">
        <f t="shared" si="94"/>
        <v>133.09277301479563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0">
        <f t="shared" si="68"/>
        <v>293.33333333333582</v>
      </c>
      <c r="CY99" s="60">
        <f ca="1">AVERAGE(OFFSET($CX$3,0,0,'Données projet'!$E$13+1,1))-AVERAGE(OFFSET($H$3,0,0,'Données projet'!$E$13+1,1))</f>
        <v>194.42056369374041</v>
      </c>
      <c r="CZ99" s="60">
        <f t="shared" si="96"/>
        <v>185.75045299455371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274.10447999999991</v>
      </c>
      <c r="DQ99" s="14">
        <f t="shared" si="97"/>
        <v>65.719577181765516</v>
      </c>
      <c r="DR99" s="22">
        <f t="shared" si="70"/>
        <v>591.86023292490802</v>
      </c>
      <c r="DS99" s="60">
        <f t="shared" si="71"/>
        <v>885.19356625824139</v>
      </c>
      <c r="DT99" s="60">
        <f ca="1">AVERAGE(OFFSET($DS$3,0,0,'Données projet'!$E$14+1,1))-AVERAGE(OFFSET($H$3,0,0,'Données projet'!$E$14+1,1))</f>
        <v>274.31056057602081</v>
      </c>
      <c r="DU99" s="60">
        <f t="shared" si="98"/>
        <v>163.41029152029387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3.0769230769230775</v>
      </c>
      <c r="EJ99" s="13">
        <f>IF('Données projet'!$A$192&gt;35,EJ98+EI99-ER98,IF(A99&lt;'Données projet'!$A$192,$EG$205^A99,IF(A99='Données projet'!$A$192,'Données projet'!$B$192,EJ98+EI99-ER98)))</f>
        <v>244.1025641025642</v>
      </c>
      <c r="EK99" s="18">
        <f>EJ99*VLOOKUP('Données projet'!$B$15,Paramètres!$A$1:$I$89,3,0)*VLOOKUP('Données projet'!$B$15,Paramètres!$A$1:$I$89,5,0)</f>
        <v>163.74400000000006</v>
      </c>
      <c r="EL99" s="14">
        <f t="shared" si="99"/>
        <v>41.685844883594605</v>
      </c>
      <c r="EM99" s="22">
        <f t="shared" si="73"/>
        <v>357.79031317226071</v>
      </c>
      <c r="EN99" s="60">
        <f t="shared" si="74"/>
        <v>651.12364650559402</v>
      </c>
      <c r="EO99" s="60">
        <f ca="1">AVERAGE(OFFSET($EN$3,0,0,'Données projet'!$E$15+1,1))-AVERAGE(OFFSET($H$3,0,0,'Données projet'!$E$15+1,1))</f>
        <v>120.18668518376586</v>
      </c>
      <c r="EP99" s="60">
        <f t="shared" si="100"/>
        <v>110.24821114898037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8">
        <f t="shared" si="56"/>
        <v>484.76264937578765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8.1410256410256405</v>
      </c>
      <c r="N100" s="14">
        <f>IF('Données projet'!$A$36&gt;35,N99+M100-V99,IF(A100&lt;'Données projet'!$A$36,$K$205^A100,IF(A100='Données projet'!$A$36,'Données projet'!$B$36,N99+M100-V99)))</f>
        <v>381.4102564102559</v>
      </c>
      <c r="O100" s="14">
        <f>N100*VLOOKUP('Données projet'!$B$9,Paramètres!$A$1:$I$89,3,0)*VLOOKUP('Données projet'!$B$9,Paramètres!$A$1:$I$89,5,0)</f>
        <v>178.49999999999977</v>
      </c>
      <c r="P100" s="14">
        <f t="shared" si="87"/>
        <v>44.988301442921504</v>
      </c>
      <c r="Q100" s="22">
        <f t="shared" si="107"/>
        <v>389.24212501308784</v>
      </c>
      <c r="R100" s="60">
        <f t="shared" si="55"/>
        <v>682.5754583464211</v>
      </c>
      <c r="S100" s="60">
        <f ca="1">AVERAGE(OFFSET($R$3,0,0,'Données projet'!$E$9+1,1))-AVERAGE(OFFSET($H$3,0,0,'Données projet'!$E$9+1,1))</f>
        <v>106.50743833854523</v>
      </c>
      <c r="T100" s="60">
        <f t="shared" si="88"/>
        <v>47.606751325129608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0">
        <f t="shared" si="59"/>
        <v>857.21217638119901</v>
      </c>
      <c r="AN100" s="60">
        <f ca="1">AVERAGE(OFFSET($AM$3,0,0,'Données projet'!$E$10+1,1))-AVERAGE(OFFSET($H$3,0,0,'Données projet'!$E$10+1,1))</f>
        <v>247.65126267995316</v>
      </c>
      <c r="AO100" s="60">
        <f t="shared" si="90"/>
        <v>149.27472147904314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292.33619999999996</v>
      </c>
      <c r="BF100" s="14">
        <f t="shared" si="91"/>
        <v>69.56742490962327</v>
      </c>
      <c r="BG100" s="22">
        <f t="shared" si="61"/>
        <v>630.31548005092702</v>
      </c>
      <c r="BH100" s="60">
        <f t="shared" si="62"/>
        <v>923.64881338426039</v>
      </c>
      <c r="BI100" s="60">
        <f ca="1">AVERAGE(OFFSET($BH$3,0,0,'Données projet'!$E$11+1,1))-AVERAGE(OFFSET($H$3,0,0,'Données projet'!$E$11+1,1))</f>
        <v>294.2815419338562</v>
      </c>
      <c r="BJ100" s="60">
        <f t="shared" si="92"/>
        <v>173.99850582760712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11.571428571428571</v>
      </c>
      <c r="BY100" s="13">
        <f>IF('Données projet'!$A$114&gt;35,BY99+BX100-CG99,IF(A100&lt;'Données projet'!$A$114,$BV$205^A100,IF(A100='Données projet'!$A$114,'Données projet'!$B$114,BY99+BX100-CG99)))</f>
        <v>567.85714285714221</v>
      </c>
      <c r="BZ100" s="14">
        <f>BY100*VLOOKUP('Données projet'!$B$12,Paramètres!$A$1:$I$89,3,0)*VLOOKUP('Données projet'!$B$12,Paramètres!$A$1:$I$89,5,0)</f>
        <v>487.22142857142802</v>
      </c>
      <c r="CA100" s="14">
        <f t="shared" si="93"/>
        <v>109.25142113906729</v>
      </c>
      <c r="CB100" s="22">
        <f t="shared" si="64"/>
        <v>1038.8568799124459</v>
      </c>
      <c r="CC100" s="60">
        <f t="shared" si="65"/>
        <v>1332.1902132457792</v>
      </c>
      <c r="CD100" s="60">
        <f ca="1">AVERAGE(OFFSET($CC$3,0,0,'Données projet'!$E$12+1,1))-AVERAGE(OFFSET($H$3,0,0,'Données projet'!$E$12+1,1))</f>
        <v>317.48648551307656</v>
      </c>
      <c r="CE100" s="60">
        <f t="shared" si="94"/>
        <v>133.09277301479563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0">
        <f t="shared" si="68"/>
        <v>293.33333333333582</v>
      </c>
      <c r="CY100" s="60">
        <f ca="1">AVERAGE(OFFSET($CX$3,0,0,'Données projet'!$E$13+1,1))-AVERAGE(OFFSET($H$3,0,0,'Données projet'!$E$13+1,1))</f>
        <v>194.42056369374041</v>
      </c>
      <c r="CZ100" s="60">
        <f t="shared" si="96"/>
        <v>185.75045299455371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278.84375999999992</v>
      </c>
      <c r="DQ100" s="14">
        <f t="shared" si="97"/>
        <v>66.722603316177725</v>
      </c>
      <c r="DR100" s="22">
        <f t="shared" si="70"/>
        <v>601.86141610900938</v>
      </c>
      <c r="DS100" s="60">
        <f t="shared" si="71"/>
        <v>895.19474944234275</v>
      </c>
      <c r="DT100" s="60">
        <f ca="1">AVERAGE(OFFSET($DS$3,0,0,'Données projet'!$E$14+1,1))-AVERAGE(OFFSET($H$3,0,0,'Données projet'!$E$14+1,1))</f>
        <v>274.31056057602081</v>
      </c>
      <c r="DU100" s="60">
        <f t="shared" si="98"/>
        <v>163.41029152029387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3.0769230769230775</v>
      </c>
      <c r="EJ100" s="13">
        <f>IF('Données projet'!$A$192&gt;35,EJ99+EI100-ER99,IF(A100&lt;'Données projet'!$A$192,$EG$205^A100,IF(A100='Données projet'!$A$192,'Données projet'!$B$192,EJ99+EI100-ER99)))</f>
        <v>247.17948717948727</v>
      </c>
      <c r="EK100" s="18">
        <f>EJ100*VLOOKUP('Données projet'!$B$15,Paramètres!$A$1:$I$89,3,0)*VLOOKUP('Données projet'!$B$15,Paramètres!$A$1:$I$89,5,0)</f>
        <v>165.80800000000008</v>
      </c>
      <c r="EL100" s="14">
        <f t="shared" si="99"/>
        <v>42.149795095597277</v>
      </c>
      <c r="EM100" s="22">
        <f t="shared" si="73"/>
        <v>362.19315979149877</v>
      </c>
      <c r="EN100" s="60">
        <f t="shared" si="74"/>
        <v>655.52649312483209</v>
      </c>
      <c r="EO100" s="60">
        <f ca="1">AVERAGE(OFFSET($EN$3,0,0,'Données projet'!$E$15+1,1))-AVERAGE(OFFSET($H$3,0,0,'Données projet'!$E$15+1,1))</f>
        <v>120.18668518376586</v>
      </c>
      <c r="EP100" s="60">
        <f t="shared" si="100"/>
        <v>110.24821114898037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8">
        <f t="shared" si="56"/>
        <v>486.68647545914564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8.1410256410256405</v>
      </c>
      <c r="N101" s="14">
        <f>IF('Données projet'!$A$36&gt;35,N100+M101-V100,IF(A101&lt;'Données projet'!$A$36,$K$205^A101,IF(A101='Données projet'!$A$36,'Données projet'!$B$36,N100+M101-V100)))</f>
        <v>389.55128205128153</v>
      </c>
      <c r="O101" s="14">
        <f>N101*VLOOKUP('Données projet'!$B$9,Paramètres!$A$1:$I$89,3,0)*VLOOKUP('Données projet'!$B$9,Paramètres!$A$1:$I$89,5,0)</f>
        <v>182.30999999999975</v>
      </c>
      <c r="P101" s="14">
        <f t="shared" si="87"/>
        <v>45.835736572036403</v>
      </c>
      <c r="Q101" s="22">
        <f t="shared" si="107"/>
        <v>397.35382452962966</v>
      </c>
      <c r="R101" s="60">
        <f t="shared" si="55"/>
        <v>690.68715786296298</v>
      </c>
      <c r="S101" s="60">
        <f ca="1">AVERAGE(OFFSET($R$3,0,0,'Données projet'!$E$9+1,1))-AVERAGE(OFFSET($H$3,0,0,'Données projet'!$E$9+1,1))</f>
        <v>106.50743833854523</v>
      </c>
      <c r="T101" s="60">
        <f t="shared" si="88"/>
        <v>47.606751325129608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0">
        <f t="shared" si="59"/>
        <v>866.57760241418919</v>
      </c>
      <c r="AN101" s="60">
        <f ca="1">AVERAGE(OFFSET($AM$3,0,0,'Données projet'!$E$10+1,1))-AVERAGE(OFFSET($H$3,0,0,'Données projet'!$E$10+1,1))</f>
        <v>247.65126267995316</v>
      </c>
      <c r="AO101" s="60">
        <f t="shared" si="90"/>
        <v>149.27472147904314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297.30479999999989</v>
      </c>
      <c r="BF101" s="14">
        <f t="shared" si="91"/>
        <v>70.611149609504906</v>
      </c>
      <c r="BG101" s="22">
        <f t="shared" si="61"/>
        <v>640.78694556988739</v>
      </c>
      <c r="BH101" s="60">
        <f t="shared" si="62"/>
        <v>934.12027890322065</v>
      </c>
      <c r="BI101" s="60">
        <f ca="1">AVERAGE(OFFSET($BH$3,0,0,'Données projet'!$E$11+1,1))-AVERAGE(OFFSET($H$3,0,0,'Données projet'!$E$11+1,1))</f>
        <v>294.2815419338562</v>
      </c>
      <c r="BJ101" s="60">
        <f t="shared" si="92"/>
        <v>173.99850582760712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11.571428571428571</v>
      </c>
      <c r="BY101" s="13">
        <f>IF('Données projet'!$A$114&gt;35,BY100+BX101-CG100,IF(A101&lt;'Données projet'!$A$114,$BV$205^A101,IF(A101='Données projet'!$A$114,'Données projet'!$B$114,BY100+BX101-CG100)))</f>
        <v>579.42857142857076</v>
      </c>
      <c r="BZ101" s="14">
        <f>BY101*VLOOKUP('Données projet'!$B$12,Paramètres!$A$1:$I$89,3,0)*VLOOKUP('Données projet'!$B$12,Paramètres!$A$1:$I$89,5,0)</f>
        <v>497.1497142857138</v>
      </c>
      <c r="CA101" s="14">
        <f t="shared" si="93"/>
        <v>111.21622496094722</v>
      </c>
      <c r="CB101" s="22">
        <f t="shared" si="64"/>
        <v>1059.5706775212677</v>
      </c>
      <c r="CC101" s="60">
        <f t="shared" si="65"/>
        <v>1352.904010854601</v>
      </c>
      <c r="CD101" s="60">
        <f ca="1">AVERAGE(OFFSET($CC$3,0,0,'Données projet'!$E$12+1,1))-AVERAGE(OFFSET($H$3,0,0,'Données projet'!$E$12+1,1))</f>
        <v>317.48648551307656</v>
      </c>
      <c r="CE101" s="60">
        <f t="shared" si="94"/>
        <v>133.09277301479563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0">
        <f t="shared" si="68"/>
        <v>293.33333333333582</v>
      </c>
      <c r="CY101" s="60">
        <f ca="1">AVERAGE(OFFSET($CX$3,0,0,'Données projet'!$E$13+1,1))-AVERAGE(OFFSET($H$3,0,0,'Données projet'!$E$13+1,1))</f>
        <v>194.42056369374041</v>
      </c>
      <c r="CZ101" s="60">
        <f t="shared" si="96"/>
        <v>185.75045299455371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283.58303999999993</v>
      </c>
      <c r="DQ101" s="14">
        <f t="shared" si="97"/>
        <v>67.723646968605209</v>
      </c>
      <c r="DR101" s="22">
        <f t="shared" si="70"/>
        <v>611.85914647032064</v>
      </c>
      <c r="DS101" s="60">
        <f t="shared" si="71"/>
        <v>905.1924798036539</v>
      </c>
      <c r="DT101" s="60">
        <f ca="1">AVERAGE(OFFSET($DS$3,0,0,'Données projet'!$E$14+1,1))-AVERAGE(OFFSET($H$3,0,0,'Données projet'!$E$14+1,1))</f>
        <v>274.31056057602081</v>
      </c>
      <c r="DU101" s="60">
        <f t="shared" si="98"/>
        <v>163.41029152029387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3.0769230769230775</v>
      </c>
      <c r="EJ101" s="13">
        <f>IF('Données projet'!$A$192&gt;35,EJ100+EI101-ER100,IF(A101&lt;'Données projet'!$A$192,$EG$205^A101,IF(A101='Données projet'!$A$192,'Données projet'!$B$192,EJ100+EI101-ER100)))</f>
        <v>250.25641025641033</v>
      </c>
      <c r="EK101" s="18">
        <f>EJ101*VLOOKUP('Données projet'!$B$15,Paramètres!$A$1:$I$89,3,0)*VLOOKUP('Données projet'!$B$15,Paramètres!$A$1:$I$89,5,0)</f>
        <v>167.87200000000004</v>
      </c>
      <c r="EL101" s="14">
        <f t="shared" si="99"/>
        <v>42.613073529517067</v>
      </c>
      <c r="EM101" s="22">
        <f t="shared" si="73"/>
        <v>366.59483639724226</v>
      </c>
      <c r="EN101" s="60">
        <f t="shared" si="74"/>
        <v>659.92816973057552</v>
      </c>
      <c r="EO101" s="60">
        <f ca="1">AVERAGE(OFFSET($EN$3,0,0,'Données projet'!$E$15+1,1))-AVERAGE(OFFSET($H$3,0,0,'Données projet'!$E$15+1,1))</f>
        <v>120.18668518376586</v>
      </c>
      <c r="EP101" s="60">
        <f t="shared" si="100"/>
        <v>110.24821114898037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8">
        <f t="shared" si="56"/>
        <v>488.6098562290428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>
        <f>VLOOKUP(A102,'Données projet'!$A$35:$I$55,2,0)</f>
        <v>397.69230769230768</v>
      </c>
      <c r="L102" s="13">
        <f>VLOOKUP(A102,'Données projet'!$A$35:$I$55,9,0)</f>
        <v>8.1410256410256405</v>
      </c>
      <c r="M102" s="13">
        <f t="array" ref="M102">INDEX(L:L,MIN(IF(ISNUMBER(L102:L298),ROW(L102:L298),"")))</f>
        <v>8.1410256410256405</v>
      </c>
      <c r="N102" s="14">
        <f>IF('Données projet'!$A$36&gt;35,N101+M102-V101,IF(A102&lt;'Données projet'!$A$36,$K$205^A102,IF(A102='Données projet'!$A$36,'Données projet'!$B$36,N101+M102-V101)))</f>
        <v>397.69230769230717</v>
      </c>
      <c r="O102" s="14">
        <f>N102*VLOOKUP('Données projet'!$B$9,Paramètres!$A$1:$I$89,3,0)*VLOOKUP('Données projet'!$B$9,Paramètres!$A$1:$I$89,5,0)</f>
        <v>186.11999999999975</v>
      </c>
      <c r="P102" s="14">
        <f t="shared" si="87"/>
        <v>46.681112592689374</v>
      </c>
      <c r="Q102" s="22">
        <f t="shared" si="107"/>
        <v>405.46193776560017</v>
      </c>
      <c r="R102" s="60">
        <f t="shared" si="55"/>
        <v>698.79527109893343</v>
      </c>
      <c r="S102" s="60">
        <f ca="1">AVERAGE(OFFSET($R$3,0,0,'Données projet'!$E$9+1,1))-AVERAGE(OFFSET($H$3,0,0,'Données projet'!$E$9+1,1))</f>
        <v>106.50743833854523</v>
      </c>
      <c r="T102" s="60">
        <f t="shared" si="88"/>
        <v>47.606751325129608</v>
      </c>
      <c r="U102" s="16">
        <f>IF(ISNA(VLOOKUP(A102,'Données projet'!$A$35:$I$55,3,0)),0,VLOOKUP(A102,'Données projet'!$A$35:$I$55,3,0))</f>
        <v>5</v>
      </c>
      <c r="V102" s="16">
        <f>IF(ISNA(VLOOKUP(A102,'Données projet'!$A$35:$I$55,4,0)),0,VLOOKUP(A102,'Données projet'!$A$35:$I$55,4,0))</f>
        <v>198.46153846153845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0">
        <f t="shared" si="59"/>
        <v>875.93983389595746</v>
      </c>
      <c r="AN102" s="60">
        <f ca="1">AVERAGE(OFFSET($AM$3,0,0,'Données projet'!$E$10+1,1))-AVERAGE(OFFSET($H$3,0,0,'Données projet'!$E$10+1,1))</f>
        <v>247.65126267995316</v>
      </c>
      <c r="AO102" s="60">
        <f t="shared" si="90"/>
        <v>149.27472147904314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302.27339999999987</v>
      </c>
      <c r="BF102" s="14">
        <f t="shared" si="91"/>
        <v>71.652845832409739</v>
      </c>
      <c r="BG102" s="22">
        <f t="shared" si="61"/>
        <v>651.25487815811346</v>
      </c>
      <c r="BH102" s="60">
        <f t="shared" si="62"/>
        <v>944.58821149144683</v>
      </c>
      <c r="BI102" s="60">
        <f ca="1">AVERAGE(OFFSET($BH$3,0,0,'Données projet'!$E$11+1,1))-AVERAGE(OFFSET($H$3,0,0,'Données projet'!$E$11+1,1))</f>
        <v>294.2815419338562</v>
      </c>
      <c r="BJ102" s="60">
        <f t="shared" si="92"/>
        <v>173.99850582760712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>
        <f>VLOOKUP(A102,'Données projet'!$A$113:$I$133,2,0)</f>
        <v>591</v>
      </c>
      <c r="BW102" s="13">
        <f>VLOOKUP(A102,'Données projet'!$A$113:$I$133,9,0)</f>
        <v>11.571428571428571</v>
      </c>
      <c r="BX102" s="13">
        <f t="array" ref="BX102">INDEX(BW:BW,MIN(IF(ISNUMBER(BW102:BW298),ROW(BW102:BW298),"")))</f>
        <v>11.571428571428571</v>
      </c>
      <c r="BY102" s="13">
        <f>IF('Données projet'!$A$114&gt;35,BY101+BX102-CG101,IF(A102&lt;'Données projet'!$A$114,$BV$205^A102,IF(A102='Données projet'!$A$114,'Données projet'!$B$114,BY101+BX102-CG101)))</f>
        <v>590.99999999999932</v>
      </c>
      <c r="BZ102" s="14">
        <f>BY102*VLOOKUP('Données projet'!$B$12,Paramètres!$A$1:$I$89,3,0)*VLOOKUP('Données projet'!$B$12,Paramètres!$A$1:$I$89,5,0)</f>
        <v>507.07799999999952</v>
      </c>
      <c r="CA102" s="14">
        <f t="shared" si="93"/>
        <v>113.17646646969139</v>
      </c>
      <c r="CB102" s="22">
        <f t="shared" si="64"/>
        <v>1080.2765291013782</v>
      </c>
      <c r="CC102" s="60">
        <f t="shared" si="65"/>
        <v>1373.6098624347114</v>
      </c>
      <c r="CD102" s="60">
        <f ca="1">AVERAGE(OFFSET($CC$3,0,0,'Données projet'!$E$12+1,1))-AVERAGE(OFFSET($H$3,0,0,'Données projet'!$E$12+1,1))</f>
        <v>317.48648551307656</v>
      </c>
      <c r="CE102" s="60">
        <f t="shared" si="94"/>
        <v>133.09277301479563</v>
      </c>
      <c r="CF102" s="16">
        <f>IF(ISNA(VLOOKUP(A102,'Données projet'!$A$113:$I$133,3,0)),0,VLOOKUP(A102,'Données projet'!$A$113:$I$133,3,0))</f>
        <v>10</v>
      </c>
      <c r="CG102" s="16">
        <f>IF(ISNA(VLOOKUP(A102,'Données projet'!$A$113:$I$133,4,0)),0,VLOOKUP(A102,'Données projet'!$A$113:$I$133,4,0))</f>
        <v>591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0">
        <f t="shared" si="68"/>
        <v>293.33333333333582</v>
      </c>
      <c r="CY102" s="60">
        <f ca="1">AVERAGE(OFFSET($CX$3,0,0,'Données projet'!$E$13+1,1))-AVERAGE(OFFSET($H$3,0,0,'Données projet'!$E$13+1,1))</f>
        <v>194.42056369374041</v>
      </c>
      <c r="CZ102" s="60">
        <f t="shared" si="96"/>
        <v>185.75045299455371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288.32231999999988</v>
      </c>
      <c r="DQ102" s="14">
        <f t="shared" si="97"/>
        <v>68.722745094590621</v>
      </c>
      <c r="DR102" s="22">
        <f t="shared" si="70"/>
        <v>621.85348837307845</v>
      </c>
      <c r="DS102" s="60">
        <f t="shared" si="71"/>
        <v>915.18682170641182</v>
      </c>
      <c r="DT102" s="60">
        <f ca="1">AVERAGE(OFFSET($DS$3,0,0,'Données projet'!$E$14+1,1))-AVERAGE(OFFSET($H$3,0,0,'Données projet'!$E$14+1,1))</f>
        <v>274.31056057602081</v>
      </c>
      <c r="DU102" s="60">
        <f t="shared" si="98"/>
        <v>163.41029152029387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3.0769230769230775</v>
      </c>
      <c r="EJ102" s="13">
        <f>IF('Données projet'!$A$192&gt;35,EJ101+EI102-ER101,IF(A102&lt;'Données projet'!$A$192,$EG$205^A102,IF(A102='Données projet'!$A$192,'Données projet'!$B$192,EJ101+EI102-ER101)))</f>
        <v>253.3333333333334</v>
      </c>
      <c r="EK102" s="18">
        <f>EJ102*VLOOKUP('Données projet'!$B$15,Paramètres!$A$1:$I$89,3,0)*VLOOKUP('Données projet'!$B$15,Paramètres!$A$1:$I$89,5,0)</f>
        <v>169.93600000000006</v>
      </c>
      <c r="EL102" s="14">
        <f t="shared" si="99"/>
        <v>43.075689400206009</v>
      </c>
      <c r="EM102" s="22">
        <f t="shared" si="73"/>
        <v>370.99535903869224</v>
      </c>
      <c r="EN102" s="60">
        <f t="shared" si="74"/>
        <v>664.32869237202556</v>
      </c>
      <c r="EO102" s="60">
        <f ca="1">AVERAGE(OFFSET($EN$3,0,0,'Données projet'!$E$15+1,1))-AVERAGE(OFFSET($H$3,0,0,'Données projet'!$E$15+1,1))</f>
        <v>120.18668518376586</v>
      </c>
      <c r="EP102" s="60">
        <f t="shared" si="100"/>
        <v>110.24821114898037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8">
        <f t="shared" si="56"/>
        <v>490.53279670439605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5.6923076923076907</v>
      </c>
      <c r="N103" s="14">
        <f>IF('Données projet'!$A$36&gt;35,N102+M103-V102,IF(A103&lt;'Données projet'!$A$36,$K$205^A103,IF(A103='Données projet'!$A$36,'Données projet'!$B$36,N102+M103-V102)))</f>
        <v>204.92307692307639</v>
      </c>
      <c r="O103" s="14">
        <f>N103*VLOOKUP('Données projet'!$B$9,Paramètres!$A$1:$I$89,3,0)*VLOOKUP('Données projet'!$B$9,Paramètres!$A$1:$I$89,5,0)</f>
        <v>95.903999999999741</v>
      </c>
      <c r="P103" s="14">
        <f t="shared" si="87"/>
        <v>25.983819565312803</v>
      </c>
      <c r="Q103" s="22">
        <f t="shared" si="107"/>
        <v>212.28795240958598</v>
      </c>
      <c r="R103" s="60">
        <f t="shared" si="55"/>
        <v>505.62128574291933</v>
      </c>
      <c r="S103" s="60">
        <f ca="1">AVERAGE(OFFSET($R$3,0,0,'Données projet'!$E$9+1,1))-AVERAGE(OFFSET($H$3,0,0,'Données projet'!$E$9+1,1))</f>
        <v>106.50743833854523</v>
      </c>
      <c r="T103" s="60">
        <f t="shared" si="88"/>
        <v>47.606751325129608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0">
        <f t="shared" si="59"/>
        <v>885.29892939819797</v>
      </c>
      <c r="AN103" s="60">
        <f ca="1">AVERAGE(OFFSET($AM$3,0,0,'Données projet'!$E$10+1,1))-AVERAGE(OFFSET($H$3,0,0,'Données projet'!$E$10+1,1))</f>
        <v>247.65126267995316</v>
      </c>
      <c r="AO103" s="60">
        <f t="shared" si="90"/>
        <v>149.27472147904314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307.24199999999985</v>
      </c>
      <c r="BF103" s="14">
        <f t="shared" si="91"/>
        <v>72.692550770207774</v>
      </c>
      <c r="BG103" s="22">
        <f t="shared" si="61"/>
        <v>661.71934259144484</v>
      </c>
      <c r="BH103" s="60">
        <f t="shared" si="62"/>
        <v>955.05267592477821</v>
      </c>
      <c r="BI103" s="60">
        <f ca="1">AVERAGE(OFFSET($BH$3,0,0,'Données projet'!$E$11+1,1))-AVERAGE(OFFSET($H$3,0,0,'Données projet'!$E$11+1,1))</f>
        <v>294.2815419338562</v>
      </c>
      <c r="BJ103" s="60">
        <f t="shared" si="92"/>
        <v>173.99850582760712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-6.8212102632969618E-13</v>
      </c>
      <c r="BZ103" s="14">
        <f>BY103*VLOOKUP('Données projet'!$B$12,Paramètres!$A$1:$I$89,3,0)*VLOOKUP('Données projet'!$B$12,Paramètres!$A$1:$I$89,5,0)</f>
        <v>-5.8525984059087939E-13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317.48648551307656</v>
      </c>
      <c r="CE103" s="60">
        <f t="shared" si="94"/>
        <v>133.09277301479563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0">
        <f t="shared" si="68"/>
        <v>293.33333333333582</v>
      </c>
      <c r="CY103" s="60">
        <f ca="1">AVERAGE(OFFSET($CX$3,0,0,'Données projet'!$E$13+1,1))-AVERAGE(OFFSET($H$3,0,0,'Données projet'!$E$13+1,1))</f>
        <v>194.42056369374041</v>
      </c>
      <c r="CZ103" s="60">
        <f t="shared" si="96"/>
        <v>185.75045299455371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293.06159999999983</v>
      </c>
      <c r="DQ103" s="14">
        <f t="shared" si="97"/>
        <v>69.719933365116546</v>
      </c>
      <c r="DR103" s="22">
        <f t="shared" si="70"/>
        <v>631.84450394424437</v>
      </c>
      <c r="DS103" s="60">
        <f t="shared" si="71"/>
        <v>925.17783727757774</v>
      </c>
      <c r="DT103" s="60">
        <f ca="1">AVERAGE(OFFSET($DS$3,0,0,'Données projet'!$E$14+1,1))-AVERAGE(OFFSET($H$3,0,0,'Données projet'!$E$14+1,1))</f>
        <v>274.31056057602081</v>
      </c>
      <c r="DU103" s="60">
        <f t="shared" si="98"/>
        <v>163.41029152029387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256.41025641025641</v>
      </c>
      <c r="EH103" s="13">
        <f>VLOOKUP(A103,'Données projet'!$A$191:$I$211,9,0)</f>
        <v>3.0769230769230775</v>
      </c>
      <c r="EI103" s="13">
        <f t="array" ref="EI103">INDEX(EH:EH,MIN(IF(ISNUMBER(EH103:EH299),ROW(EH103:EH299),"")))</f>
        <v>3.0769230769230775</v>
      </c>
      <c r="EJ103" s="13">
        <f>IF('Données projet'!$A$192&gt;35,EJ102+EI103-ER102,IF(A103&lt;'Données projet'!$A$192,$EG$205^A103,IF(A103='Données projet'!$A$192,'Données projet'!$B$192,EJ102+EI103-ER102)))</f>
        <v>256.41025641025647</v>
      </c>
      <c r="EK103" s="18">
        <f>EJ103*VLOOKUP('Données projet'!$B$15,Paramètres!$A$1:$I$89,3,0)*VLOOKUP('Données projet'!$B$15,Paramètres!$A$1:$I$89,5,0)</f>
        <v>172.00000000000003</v>
      </c>
      <c r="EL103" s="14">
        <f t="shared" si="99"/>
        <v>43.537651685795808</v>
      </c>
      <c r="EM103" s="22">
        <f t="shared" si="73"/>
        <v>375.394743352761</v>
      </c>
      <c r="EN103" s="60">
        <f t="shared" si="74"/>
        <v>668.72807668609425</v>
      </c>
      <c r="EO103" s="60">
        <f ca="1">AVERAGE(OFFSET($EN$3,0,0,'Données projet'!$E$15+1,1))-AVERAGE(OFFSET($H$3,0,0,'Données projet'!$E$15+1,1))</f>
        <v>120.18668518376586</v>
      </c>
      <c r="EP103" s="60">
        <f t="shared" si="100"/>
        <v>110.24821114898037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17.948717948717949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8">
        <f t="shared" si="56"/>
        <v>492.4553017979585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5.6923076923076907</v>
      </c>
      <c r="N104" s="14">
        <f>IF('Données projet'!$A$36&gt;35,N103+M104-V103,IF(A104&lt;'Données projet'!$A$36,$K$205^A104,IF(A104='Données projet'!$A$36,'Données projet'!$B$36,N103+M104-V103)))</f>
        <v>210.61538461538407</v>
      </c>
      <c r="O104" s="14">
        <f>N104*VLOOKUP('Données projet'!$B$9,Paramètres!$A$1:$I$89,3,0)*VLOOKUP('Données projet'!$B$9,Paramètres!$A$1:$I$89,5,0)</f>
        <v>98.567999999999756</v>
      </c>
      <c r="P104" s="14">
        <f t="shared" si="87"/>
        <v>26.620557442262673</v>
      </c>
      <c r="Q104" s="22">
        <f t="shared" si="107"/>
        <v>218.03673754527372</v>
      </c>
      <c r="R104" s="60">
        <f t="shared" si="55"/>
        <v>511.37007087860707</v>
      </c>
      <c r="S104" s="60">
        <f ca="1">AVERAGE(OFFSET($R$3,0,0,'Données projet'!$E$9+1,1))-AVERAGE(OFFSET($H$3,0,0,'Données projet'!$E$9+1,1))</f>
        <v>106.50743833854523</v>
      </c>
      <c r="T104" s="60">
        <f t="shared" si="88"/>
        <v>47.606751325129608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0">
        <f t="shared" si="59"/>
        <v>813.3989415432759</v>
      </c>
      <c r="AN104" s="60">
        <f ca="1">AVERAGE(OFFSET($AM$3,0,0,'Données projet'!$E$10+1,1))-AVERAGE(OFFSET($H$3,0,0,'Données projet'!$E$10+1,1))</f>
        <v>247.65126267995316</v>
      </c>
      <c r="AO104" s="60">
        <f t="shared" si="90"/>
        <v>149.27472147904314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269.1155999999998</v>
      </c>
      <c r="BF104" s="14">
        <f t="shared" si="91"/>
        <v>64.661541462287076</v>
      </c>
      <c r="BG104" s="22">
        <f t="shared" si="61"/>
        <v>581.3285213801496</v>
      </c>
      <c r="BH104" s="60">
        <f t="shared" si="62"/>
        <v>874.66185471348285</v>
      </c>
      <c r="BI104" s="60">
        <f ca="1">AVERAGE(OFFSET($BH$3,0,0,'Données projet'!$E$11+1,1))-AVERAGE(OFFSET($H$3,0,0,'Données projet'!$E$11+1,1))</f>
        <v>294.2815419338562</v>
      </c>
      <c r="BJ104" s="60">
        <f t="shared" si="92"/>
        <v>173.99850582760712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-6.8212102632969618E-13</v>
      </c>
      <c r="BZ104" s="14">
        <f>BY104*VLOOKUP('Données projet'!$B$12,Paramètres!$A$1:$I$89,3,0)*VLOOKUP('Données projet'!$B$12,Paramètres!$A$1:$I$89,5,0)</f>
        <v>-5.8525984059087939E-13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317.48648551307656</v>
      </c>
      <c r="CE104" s="60">
        <f t="shared" si="94"/>
        <v>133.09277301479563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0">
        <f t="shared" si="68"/>
        <v>293.33333333333582</v>
      </c>
      <c r="CY104" s="60">
        <f ca="1">AVERAGE(OFFSET($CX$3,0,0,'Données projet'!$E$13+1,1))-AVERAGE(OFFSET($H$3,0,0,'Données projet'!$E$13+1,1))</f>
        <v>194.42056369374041</v>
      </c>
      <c r="CZ104" s="60">
        <f t="shared" si="96"/>
        <v>185.75045299455371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256.69487999999984</v>
      </c>
      <c r="DQ104" s="14">
        <f t="shared" si="97"/>
        <v>62.017336223177502</v>
      </c>
      <c r="DR104" s="22">
        <f t="shared" si="70"/>
        <v>555.09044325536718</v>
      </c>
      <c r="DS104" s="60">
        <f t="shared" si="71"/>
        <v>848.42377658870055</v>
      </c>
      <c r="DT104" s="60">
        <f ca="1">AVERAGE(OFFSET($DS$3,0,0,'Données projet'!$E$14+1,1))-AVERAGE(OFFSET($H$3,0,0,'Données projet'!$E$14+1,1))</f>
        <v>274.31056057602081</v>
      </c>
      <c r="DU104" s="60">
        <f t="shared" si="98"/>
        <v>163.41029152029387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2.9487179487179502</v>
      </c>
      <c r="EJ104" s="13">
        <f>IF('Données projet'!$A$192&gt;35,EJ103+EI104-ER103,IF(A104&lt;'Données projet'!$A$192,$EG$205^A104,IF(A104='Données projet'!$A$192,'Données projet'!$B$192,EJ103+EI104-ER103)))</f>
        <v>241.41025641025647</v>
      </c>
      <c r="EK104" s="18">
        <f>EJ104*VLOOKUP('Données projet'!$B$15,Paramètres!$A$1:$I$89,3,0)*VLOOKUP('Données projet'!$B$15,Paramètres!$A$1:$I$89,5,0)</f>
        <v>161.93800000000005</v>
      </c>
      <c r="EL104" s="14">
        <f t="shared" si="99"/>
        <v>41.279329948855263</v>
      </c>
      <c r="EM104" s="22">
        <f t="shared" si="73"/>
        <v>353.93684966092297</v>
      </c>
      <c r="EN104" s="60">
        <f t="shared" si="74"/>
        <v>647.27018299425629</v>
      </c>
      <c r="EO104" s="60">
        <f ca="1">AVERAGE(OFFSET($EN$3,0,0,'Données projet'!$E$15+1,1))-AVERAGE(OFFSET($H$3,0,0,'Données projet'!$E$15+1,1))</f>
        <v>120.18668518376586</v>
      </c>
      <c r="EP104" s="60">
        <f t="shared" si="100"/>
        <v>110.24821114898037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8">
        <f t="shared" si="56"/>
        <v>494.37737631959351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5.6923076923076907</v>
      </c>
      <c r="N105" s="14">
        <f>IF('Données projet'!$A$36&gt;35,N104+M105-V104,IF(A105&lt;'Données projet'!$A$36,$K$205^A105,IF(A105='Données projet'!$A$36,'Données projet'!$B$36,N104+M105-V104)))</f>
        <v>216.30769230769175</v>
      </c>
      <c r="O105" s="14">
        <f>N105*VLOOKUP('Données projet'!$B$9,Paramètres!$A$1:$I$89,3,0)*VLOOKUP('Données projet'!$B$9,Paramètres!$A$1:$I$89,5,0)</f>
        <v>101.23199999999974</v>
      </c>
      <c r="P105" s="14">
        <f t="shared" si="87"/>
        <v>27.255295066527388</v>
      </c>
      <c r="Q105" s="22">
        <f t="shared" si="107"/>
        <v>223.78203890753477</v>
      </c>
      <c r="R105" s="60">
        <f t="shared" si="55"/>
        <v>517.11537224086806</v>
      </c>
      <c r="S105" s="60">
        <f ca="1">AVERAGE(OFFSET($R$3,0,0,'Données projet'!$E$9+1,1))-AVERAGE(OFFSET($H$3,0,0,'Données projet'!$E$9+1,1))</f>
        <v>106.50743833854523</v>
      </c>
      <c r="T105" s="60">
        <f t="shared" si="88"/>
        <v>47.606751325129608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0">
        <f t="shared" si="59"/>
        <v>821.82303552922986</v>
      </c>
      <c r="AN105" s="60">
        <f ca="1">AVERAGE(OFFSET($AM$3,0,0,'Données projet'!$E$10+1,1))-AVERAGE(OFFSET($H$3,0,0,'Données projet'!$E$10+1,1))</f>
        <v>247.65126267995316</v>
      </c>
      <c r="AO105" s="60">
        <f t="shared" si="90"/>
        <v>149.27472147904314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273.57719999999978</v>
      </c>
      <c r="BF105" s="14">
        <f t="shared" si="91"/>
        <v>65.60785888991505</v>
      </c>
      <c r="BG105" s="22">
        <f t="shared" si="61"/>
        <v>590.74731089993509</v>
      </c>
      <c r="BH105" s="60">
        <f t="shared" si="62"/>
        <v>884.08064423326846</v>
      </c>
      <c r="BI105" s="60">
        <f ca="1">AVERAGE(OFFSET($BH$3,0,0,'Données projet'!$E$11+1,1))-AVERAGE(OFFSET($H$3,0,0,'Données projet'!$E$11+1,1))</f>
        <v>294.2815419338562</v>
      </c>
      <c r="BJ105" s="60">
        <f t="shared" si="92"/>
        <v>173.99850582760712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-6.8212102632969618E-13</v>
      </c>
      <c r="BZ105" s="14">
        <f>BY105*VLOOKUP('Données projet'!$B$12,Paramètres!$A$1:$I$89,3,0)*VLOOKUP('Données projet'!$B$12,Paramètres!$A$1:$I$89,5,0)</f>
        <v>-5.8525984059087939E-13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317.48648551307656</v>
      </c>
      <c r="CE105" s="60">
        <f t="shared" si="94"/>
        <v>133.09277301479563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0">
        <f t="shared" si="68"/>
        <v>293.33333333333582</v>
      </c>
      <c r="CY105" s="60">
        <f ca="1">AVERAGE(OFFSET($CX$3,0,0,'Données projet'!$E$13+1,1))-AVERAGE(OFFSET($H$3,0,0,'Données projet'!$E$13+1,1))</f>
        <v>194.42056369374041</v>
      </c>
      <c r="CZ105" s="60">
        <f t="shared" si="96"/>
        <v>185.75045299455371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260.95055999999983</v>
      </c>
      <c r="DQ105" s="14">
        <f t="shared" si="97"/>
        <v>62.924955880176938</v>
      </c>
      <c r="DR105" s="22">
        <f t="shared" si="70"/>
        <v>564.08319015797451</v>
      </c>
      <c r="DS105" s="60">
        <f t="shared" si="71"/>
        <v>857.41652349130777</v>
      </c>
      <c r="DT105" s="60">
        <f ca="1">AVERAGE(OFFSET($DS$3,0,0,'Données projet'!$E$14+1,1))-AVERAGE(OFFSET($H$3,0,0,'Données projet'!$E$14+1,1))</f>
        <v>274.31056057602081</v>
      </c>
      <c r="DU105" s="60">
        <f t="shared" si="98"/>
        <v>163.41029152029387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2.9487179487179502</v>
      </c>
      <c r="EJ105" s="13">
        <f>IF('Données projet'!$A$192&gt;35,EJ104+EI105-ER104,IF(A105&lt;'Données projet'!$A$192,$EG$205^A105,IF(A105='Données projet'!$A$192,'Données projet'!$B$192,EJ104+EI105-ER104)))</f>
        <v>244.35897435897442</v>
      </c>
      <c r="EK105" s="18">
        <f>EJ105*VLOOKUP('Données projet'!$B$15,Paramètres!$A$1:$I$89,3,0)*VLOOKUP('Données projet'!$B$15,Paramètres!$A$1:$I$89,5,0)</f>
        <v>163.91600000000005</v>
      </c>
      <c r="EL105" s="14">
        <f t="shared" si="99"/>
        <v>41.724533288653539</v>
      </c>
      <c r="EM105" s="22">
        <f t="shared" si="73"/>
        <v>358.15726214440497</v>
      </c>
      <c r="EN105" s="60">
        <f t="shared" si="74"/>
        <v>651.49059547773822</v>
      </c>
      <c r="EO105" s="60">
        <f ca="1">AVERAGE(OFFSET($EN$3,0,0,'Données projet'!$E$15+1,1))-AVERAGE(OFFSET($H$3,0,0,'Données projet'!$E$15+1,1))</f>
        <v>120.18668518376586</v>
      </c>
      <c r="EP105" s="60">
        <f t="shared" si="100"/>
        <v>110.24821114898037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8">
        <f t="shared" si="56"/>
        <v>496.29902497941657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5.6923076923076907</v>
      </c>
      <c r="N106" s="14">
        <f>IF('Données projet'!$A$36&gt;35,N105+M106-V105,IF(A106&lt;'Données projet'!$A$36,$K$205^A106,IF(A106='Données projet'!$A$36,'Données projet'!$B$36,N105+M106-V105)))</f>
        <v>221.99999999999943</v>
      </c>
      <c r="O106" s="14">
        <f>N106*VLOOKUP('Données projet'!$B$9,Paramètres!$A$1:$I$89,3,0)*VLOOKUP('Données projet'!$B$9,Paramètres!$A$1:$I$89,5,0)</f>
        <v>103.89599999999973</v>
      </c>
      <c r="P106" s="14">
        <f t="shared" si="87"/>
        <v>27.888091127225749</v>
      </c>
      <c r="Q106" s="22">
        <f t="shared" si="107"/>
        <v>229.52395871325101</v>
      </c>
      <c r="R106" s="60">
        <f t="shared" si="55"/>
        <v>522.85729204658435</v>
      </c>
      <c r="S106" s="60">
        <f ca="1">AVERAGE(OFFSET($R$3,0,0,'Données projet'!$E$9+1,1))-AVERAGE(OFFSET($H$3,0,0,'Données projet'!$E$9+1,1))</f>
        <v>106.50743833854523</v>
      </c>
      <c r="T106" s="60">
        <f t="shared" si="88"/>
        <v>47.606751325129608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0">
        <f t="shared" si="59"/>
        <v>830.24430301815983</v>
      </c>
      <c r="AN106" s="60">
        <f ca="1">AVERAGE(OFFSET($AM$3,0,0,'Données projet'!$E$10+1,1))-AVERAGE(OFFSET($H$3,0,0,'Données projet'!$E$10+1,1))</f>
        <v>247.65126267995316</v>
      </c>
      <c r="AO106" s="60">
        <f t="shared" si="90"/>
        <v>149.27472147904314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278.03879999999975</v>
      </c>
      <c r="BF106" s="14">
        <f t="shared" si="91"/>
        <v>66.552381547717744</v>
      </c>
      <c r="BG106" s="22">
        <f t="shared" si="61"/>
        <v>600.16297452894128</v>
      </c>
      <c r="BH106" s="60">
        <f t="shared" si="62"/>
        <v>893.49630786227453</v>
      </c>
      <c r="BI106" s="60">
        <f ca="1">AVERAGE(OFFSET($BH$3,0,0,'Données projet'!$E$11+1,1))-AVERAGE(OFFSET($H$3,0,0,'Données projet'!$E$11+1,1))</f>
        <v>294.2815419338562</v>
      </c>
      <c r="BJ106" s="60">
        <f t="shared" si="92"/>
        <v>173.99850582760712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-6.8212102632969618E-13</v>
      </c>
      <c r="BZ106" s="14">
        <f>BY106*VLOOKUP('Données projet'!$B$12,Paramètres!$A$1:$I$89,3,0)*VLOOKUP('Données projet'!$B$12,Paramètres!$A$1:$I$89,5,0)</f>
        <v>-5.8525984059087939E-13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317.48648551307656</v>
      </c>
      <c r="CE106" s="60">
        <f t="shared" si="94"/>
        <v>133.09277301479563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0">
        <f t="shared" si="68"/>
        <v>293.33333333333582</v>
      </c>
      <c r="CY106" s="60">
        <f ca="1">AVERAGE(OFFSET($CX$3,0,0,'Données projet'!$E$13+1,1))-AVERAGE(OFFSET($H$3,0,0,'Données projet'!$E$13+1,1))</f>
        <v>194.42056369374041</v>
      </c>
      <c r="CZ106" s="60">
        <f t="shared" si="96"/>
        <v>185.75045299455371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265.20623999999975</v>
      </c>
      <c r="DQ106" s="14">
        <f t="shared" si="97"/>
        <v>63.830854160896386</v>
      </c>
      <c r="DR106" s="22">
        <f t="shared" si="70"/>
        <v>573.07293899689409</v>
      </c>
      <c r="DS106" s="60">
        <f t="shared" si="71"/>
        <v>866.40627233022747</v>
      </c>
      <c r="DT106" s="60">
        <f ca="1">AVERAGE(OFFSET($DS$3,0,0,'Données projet'!$E$14+1,1))-AVERAGE(OFFSET($H$3,0,0,'Données projet'!$E$14+1,1))</f>
        <v>274.31056057602081</v>
      </c>
      <c r="DU106" s="60">
        <f t="shared" si="98"/>
        <v>163.41029152029387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2.9487179487179502</v>
      </c>
      <c r="EJ106" s="13">
        <f>IF('Données projet'!$A$192&gt;35,EJ105+EI106-ER105,IF(A106&lt;'Données projet'!$A$192,$EG$205^A106,IF(A106='Données projet'!$A$192,'Données projet'!$B$192,EJ105+EI106-ER105)))</f>
        <v>247.30769230769238</v>
      </c>
      <c r="EK106" s="18">
        <f>EJ106*VLOOKUP('Données projet'!$B$15,Paramètres!$A$1:$I$89,3,0)*VLOOKUP('Données projet'!$B$15,Paramètres!$A$1:$I$89,5,0)</f>
        <v>165.89400000000006</v>
      </c>
      <c r="EL106" s="14">
        <f t="shared" si="99"/>
        <v>42.169111711210569</v>
      </c>
      <c r="EM106" s="22">
        <f t="shared" si="73"/>
        <v>362.3765862303585</v>
      </c>
      <c r="EN106" s="60">
        <f t="shared" si="74"/>
        <v>655.70991956369176</v>
      </c>
      <c r="EO106" s="60">
        <f ca="1">AVERAGE(OFFSET($EN$3,0,0,'Données projet'!$E$15+1,1))-AVERAGE(OFFSET($H$3,0,0,'Données projet'!$E$15+1,1))</f>
        <v>120.18668518376586</v>
      </c>
      <c r="EP106" s="60">
        <f t="shared" si="100"/>
        <v>110.24821114898037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8">
        <f t="shared" si="56"/>
        <v>498.22025239081199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5.6923076923076907</v>
      </c>
      <c r="N107" s="14">
        <f>IF('Données projet'!$A$36&gt;35,N106+M107-V106,IF(A107&lt;'Données projet'!$A$36,$K$205^A107,IF(A107='Données projet'!$A$36,'Données projet'!$B$36,N106+M107-V106)))</f>
        <v>227.69230769230711</v>
      </c>
      <c r="O107" s="14">
        <f>N107*VLOOKUP('Données projet'!$B$9,Paramètres!$A$1:$I$89,3,0)*VLOOKUP('Données projet'!$B$9,Paramètres!$A$1:$I$89,5,0)</f>
        <v>106.55999999999973</v>
      </c>
      <c r="P107" s="14">
        <f t="shared" si="87"/>
        <v>28.519001132310215</v>
      </c>
      <c r="Q107" s="22">
        <f t="shared" si="107"/>
        <v>235.26259363877315</v>
      </c>
      <c r="R107" s="60">
        <f t="shared" si="55"/>
        <v>528.59592697210644</v>
      </c>
      <c r="S107" s="60">
        <f ca="1">AVERAGE(OFFSET($R$3,0,0,'Données projet'!$E$9+1,1))-AVERAGE(OFFSET($H$3,0,0,'Données projet'!$E$9+1,1))</f>
        <v>106.50743833854523</v>
      </c>
      <c r="T107" s="60">
        <f t="shared" si="88"/>
        <v>47.606751325129608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0">
        <f t="shared" si="59"/>
        <v>838.6627946025028</v>
      </c>
      <c r="AN107" s="60">
        <f ca="1">AVERAGE(OFFSET($AM$3,0,0,'Données projet'!$E$10+1,1))-AVERAGE(OFFSET($H$3,0,0,'Données projet'!$E$10+1,1))</f>
        <v>247.65126267995316</v>
      </c>
      <c r="AO107" s="60">
        <f t="shared" si="90"/>
        <v>149.27472147904314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282.50039999999973</v>
      </c>
      <c r="BF107" s="14">
        <f t="shared" si="91"/>
        <v>67.495141560894311</v>
      </c>
      <c r="BG107" s="22">
        <f t="shared" si="61"/>
        <v>609.57556821855712</v>
      </c>
      <c r="BH107" s="60">
        <f t="shared" si="62"/>
        <v>902.90890155189049</v>
      </c>
      <c r="BI107" s="60">
        <f ca="1">AVERAGE(OFFSET($BH$3,0,0,'Données projet'!$E$11+1,1))-AVERAGE(OFFSET($H$3,0,0,'Données projet'!$E$11+1,1))</f>
        <v>294.2815419338562</v>
      </c>
      <c r="BJ107" s="60">
        <f t="shared" si="92"/>
        <v>173.99850582760712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-6.8212102632969618E-13</v>
      </c>
      <c r="BZ107" s="14">
        <f>BY107*VLOOKUP('Données projet'!$B$12,Paramètres!$A$1:$I$89,3,0)*VLOOKUP('Données projet'!$B$12,Paramètres!$A$1:$I$89,5,0)</f>
        <v>-5.8525984059087939E-13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317.48648551307656</v>
      </c>
      <c r="CE107" s="60">
        <f t="shared" si="94"/>
        <v>133.09277301479563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0">
        <f t="shared" si="68"/>
        <v>293.33333333333582</v>
      </c>
      <c r="CY107" s="60">
        <f ca="1">AVERAGE(OFFSET($CX$3,0,0,'Données projet'!$E$13+1,1))-AVERAGE(OFFSET($H$3,0,0,'Données projet'!$E$13+1,1))</f>
        <v>194.42056369374041</v>
      </c>
      <c r="CZ107" s="60">
        <f t="shared" si="96"/>
        <v>185.75045299455371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269.46191999999974</v>
      </c>
      <c r="DQ107" s="14">
        <f t="shared" si="97"/>
        <v>64.735061876839055</v>
      </c>
      <c r="DR107" s="22">
        <f t="shared" si="70"/>
        <v>582.05974343549417</v>
      </c>
      <c r="DS107" s="60">
        <f t="shared" si="71"/>
        <v>875.39307676882754</v>
      </c>
      <c r="DT107" s="60">
        <f ca="1">AVERAGE(OFFSET($DS$3,0,0,'Données projet'!$E$14+1,1))-AVERAGE(OFFSET($H$3,0,0,'Données projet'!$E$14+1,1))</f>
        <v>274.31056057602081</v>
      </c>
      <c r="DU107" s="60">
        <f t="shared" si="98"/>
        <v>163.41029152029387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2.9487179487179502</v>
      </c>
      <c r="EJ107" s="13">
        <f>IF('Données projet'!$A$192&gt;35,EJ106+EI107-ER106,IF(A107&lt;'Données projet'!$A$192,$EG$205^A107,IF(A107='Données projet'!$A$192,'Données projet'!$B$192,EJ106+EI107-ER106)))</f>
        <v>250.25641025641033</v>
      </c>
      <c r="EK107" s="18">
        <f>EJ107*VLOOKUP('Données projet'!$B$15,Paramètres!$A$1:$I$89,3,0)*VLOOKUP('Données projet'!$B$15,Paramètres!$A$1:$I$89,5,0)</f>
        <v>167.87200000000004</v>
      </c>
      <c r="EL107" s="14">
        <f t="shared" si="99"/>
        <v>42.613073529517067</v>
      </c>
      <c r="EM107" s="22">
        <f t="shared" si="73"/>
        <v>366.59483639724226</v>
      </c>
      <c r="EN107" s="60">
        <f t="shared" si="74"/>
        <v>659.92816973057552</v>
      </c>
      <c r="EO107" s="60">
        <f ca="1">AVERAGE(OFFSET($EN$3,0,0,'Données projet'!$E$15+1,1))-AVERAGE(OFFSET($H$3,0,0,'Données projet'!$E$15+1,1))</f>
        <v>120.18668518376586</v>
      </c>
      <c r="EP107" s="60">
        <f t="shared" si="100"/>
        <v>110.24821114898037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8">
        <f t="shared" si="56"/>
        <v>500.14106307332992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5.6923076923076907</v>
      </c>
      <c r="N108" s="14">
        <f>IF('Données projet'!$A$36&gt;35,N107+M108-V107,IF(A108&lt;'Données projet'!$A$36,$K$205^A108,IF(A108='Données projet'!$A$36,'Données projet'!$B$36,N107+M108-V107)))</f>
        <v>233.38461538461479</v>
      </c>
      <c r="O108" s="14">
        <f>N108*VLOOKUP('Données projet'!$B$9,Paramètres!$A$1:$I$89,3,0)*VLOOKUP('Données projet'!$B$9,Paramètres!$A$1:$I$89,5,0)</f>
        <v>109.22399999999972</v>
      </c>
      <c r="P108" s="14">
        <f t="shared" si="87"/>
        <v>29.148077656155348</v>
      </c>
      <c r="Q108" s="22">
        <f t="shared" si="107"/>
        <v>240.99803525113671</v>
      </c>
      <c r="R108" s="60">
        <f t="shared" si="55"/>
        <v>534.33136858447006</v>
      </c>
      <c r="S108" s="60">
        <f ca="1">AVERAGE(OFFSET($R$3,0,0,'Données projet'!$E$9+1,1))-AVERAGE(OFFSET($H$3,0,0,'Données projet'!$E$9+1,1))</f>
        <v>106.50743833854523</v>
      </c>
      <c r="T108" s="60">
        <f t="shared" si="88"/>
        <v>47.606751325129608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0">
        <f t="shared" si="59"/>
        <v>847.07855918499604</v>
      </c>
      <c r="AN108" s="60">
        <f ca="1">AVERAGE(OFFSET($AM$3,0,0,'Données projet'!$E$10+1,1))-AVERAGE(OFFSET($H$3,0,0,'Données projet'!$E$10+1,1))</f>
        <v>247.65126267995316</v>
      </c>
      <c r="AO108" s="60">
        <f t="shared" si="90"/>
        <v>149.27472147904314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286.9619999999997</v>
      </c>
      <c r="BF108" s="14">
        <f t="shared" si="91"/>
        <v>68.436169981717796</v>
      </c>
      <c r="BG108" s="22">
        <f t="shared" si="61"/>
        <v>618.98514605149137</v>
      </c>
      <c r="BH108" s="60">
        <f t="shared" si="62"/>
        <v>912.31847938482474</v>
      </c>
      <c r="BI108" s="60">
        <f ca="1">AVERAGE(OFFSET($BH$3,0,0,'Données projet'!$E$11+1,1))-AVERAGE(OFFSET($H$3,0,0,'Données projet'!$E$11+1,1))</f>
        <v>294.2815419338562</v>
      </c>
      <c r="BJ108" s="60">
        <f t="shared" si="92"/>
        <v>173.99850582760712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-6.8212102632969618E-13</v>
      </c>
      <c r="BZ108" s="14">
        <f>BY108*VLOOKUP('Données projet'!$B$12,Paramètres!$A$1:$I$89,3,0)*VLOOKUP('Données projet'!$B$12,Paramètres!$A$1:$I$89,5,0)</f>
        <v>-5.8525984059087939E-13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317.48648551307656</v>
      </c>
      <c r="CE108" s="60">
        <f t="shared" si="94"/>
        <v>133.09277301479563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0">
        <f t="shared" si="68"/>
        <v>293.33333333333582</v>
      </c>
      <c r="CY108" s="60">
        <f ca="1">AVERAGE(OFFSET($CX$3,0,0,'Données projet'!$E$13+1,1))-AVERAGE(OFFSET($H$3,0,0,'Données projet'!$E$13+1,1))</f>
        <v>194.42056369374041</v>
      </c>
      <c r="CZ108" s="60">
        <f t="shared" si="96"/>
        <v>185.75045299455371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273.71759999999972</v>
      </c>
      <c r="DQ108" s="14">
        <f t="shared" si="97"/>
        <v>65.637608810456612</v>
      </c>
      <c r="DR108" s="22">
        <f t="shared" si="70"/>
        <v>591.04365534487806</v>
      </c>
      <c r="DS108" s="60">
        <f t="shared" si="71"/>
        <v>884.37698867821132</v>
      </c>
      <c r="DT108" s="60">
        <f ca="1">AVERAGE(OFFSET($DS$3,0,0,'Données projet'!$E$14+1,1))-AVERAGE(OFFSET($H$3,0,0,'Données projet'!$E$14+1,1))</f>
        <v>274.31056057602081</v>
      </c>
      <c r="DU108" s="60">
        <f t="shared" si="98"/>
        <v>163.41029152029387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253.2051282051282</v>
      </c>
      <c r="EH108" s="13">
        <f>VLOOKUP(A108,'Données projet'!$A$191:$I$211,9,0)</f>
        <v>2.9487179487179502</v>
      </c>
      <c r="EI108" s="13">
        <f t="array" ref="EI108">INDEX(EH:EH,MIN(IF(ISNUMBER(EH108:EH304),ROW(EH108:EH304),"")))</f>
        <v>2.9487179487179502</v>
      </c>
      <c r="EJ108" s="13">
        <f>IF('Données projet'!$A$192&gt;35,EJ107+EI108-ER107,IF(A108&lt;'Données projet'!$A$192,$EG$205^A108,IF(A108='Données projet'!$A$192,'Données projet'!$B$192,EJ107+EI108-ER107)))</f>
        <v>253.20512820512829</v>
      </c>
      <c r="EK108" s="18">
        <f>EJ108*VLOOKUP('Données projet'!$B$15,Paramètres!$A$1:$I$89,3,0)*VLOOKUP('Données projet'!$B$15,Paramètres!$A$1:$I$89,5,0)</f>
        <v>169.85000000000008</v>
      </c>
      <c r="EL108" s="14">
        <f t="shared" si="99"/>
        <v>43.056426849389901</v>
      </c>
      <c r="EM108" s="22">
        <f t="shared" si="73"/>
        <v>370.81202676268754</v>
      </c>
      <c r="EN108" s="60">
        <f t="shared" si="74"/>
        <v>664.1453600960208</v>
      </c>
      <c r="EO108" s="60">
        <f ca="1">AVERAGE(OFFSET($EN$3,0,0,'Données projet'!$E$15+1,1))-AVERAGE(OFFSET($H$3,0,0,'Données projet'!$E$15+1,1))</f>
        <v>120.18668518376586</v>
      </c>
      <c r="EP108" s="60">
        <f t="shared" si="100"/>
        <v>110.24821114898037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8">
        <f t="shared" si="56"/>
        <v>502.06146145546995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5.6923076923076907</v>
      </c>
      <c r="N109" s="14">
        <f>IF('Données projet'!$A$36&gt;35,N108+M109-V108,IF(A109&lt;'Données projet'!$A$36,$K$205^A109,IF(A109='Données projet'!$A$36,'Données projet'!$B$36,N108+M109-V108)))</f>
        <v>239.07692307692247</v>
      </c>
      <c r="O109" s="14">
        <f>N109*VLOOKUP('Données projet'!$B$9,Paramètres!$A$1:$I$89,3,0)*VLOOKUP('Données projet'!$B$9,Paramètres!$A$1:$I$89,5,0)</f>
        <v>111.88799999999971</v>
      </c>
      <c r="P109" s="14">
        <f t="shared" si="87"/>
        <v>29.775370562311089</v>
      </c>
      <c r="Q109" s="22">
        <f t="shared" si="107"/>
        <v>246.73037039602465</v>
      </c>
      <c r="R109" s="60">
        <f t="shared" si="55"/>
        <v>540.06370372935794</v>
      </c>
      <c r="S109" s="60">
        <f ca="1">AVERAGE(OFFSET($R$3,0,0,'Données projet'!$E$9+1,1))-AVERAGE(OFFSET($H$3,0,0,'Données projet'!$E$9+1,1))</f>
        <v>106.50743833854523</v>
      </c>
      <c r="T109" s="60">
        <f t="shared" si="88"/>
        <v>47.606751325129608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0">
        <f t="shared" si="59"/>
        <v>855.49164406048612</v>
      </c>
      <c r="AN109" s="60">
        <f ca="1">AVERAGE(OFFSET($AM$3,0,0,'Données projet'!$E$10+1,1))-AVERAGE(OFFSET($H$3,0,0,'Données projet'!$E$10+1,1))</f>
        <v>247.65126267995316</v>
      </c>
      <c r="AO109" s="60">
        <f t="shared" si="90"/>
        <v>149.27472147904314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291.42359999999968</v>
      </c>
      <c r="BF109" s="14">
        <f t="shared" si="91"/>
        <v>69.375496841482104</v>
      </c>
      <c r="BG109" s="22">
        <f t="shared" si="61"/>
        <v>628.39176033224737</v>
      </c>
      <c r="BH109" s="60">
        <f t="shared" si="62"/>
        <v>921.72509366558074</v>
      </c>
      <c r="BI109" s="60">
        <f ca="1">AVERAGE(OFFSET($BH$3,0,0,'Données projet'!$E$11+1,1))-AVERAGE(OFFSET($H$3,0,0,'Données projet'!$E$11+1,1))</f>
        <v>294.2815419338562</v>
      </c>
      <c r="BJ109" s="60">
        <f t="shared" si="92"/>
        <v>173.99850582760712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-6.8212102632969618E-13</v>
      </c>
      <c r="BZ109" s="14">
        <f>BY109*VLOOKUP('Données projet'!$B$12,Paramètres!$A$1:$I$89,3,0)*VLOOKUP('Données projet'!$B$12,Paramètres!$A$1:$I$89,5,0)</f>
        <v>-5.8525984059087939E-13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317.48648551307656</v>
      </c>
      <c r="CE109" s="60">
        <f t="shared" si="94"/>
        <v>133.09277301479563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0">
        <f t="shared" si="68"/>
        <v>293.33333333333582</v>
      </c>
      <c r="CY109" s="60">
        <f ca="1">AVERAGE(OFFSET($CX$3,0,0,'Données projet'!$E$13+1,1))-AVERAGE(OFFSET($H$3,0,0,'Données projet'!$E$13+1,1))</f>
        <v>194.42056369374041</v>
      </c>
      <c r="CZ109" s="60">
        <f t="shared" si="96"/>
        <v>185.75045299455371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277.9732799999997</v>
      </c>
      <c r="DQ109" s="14">
        <f t="shared" si="97"/>
        <v>66.538523764973135</v>
      </c>
      <c r="DR109" s="22">
        <f t="shared" si="70"/>
        <v>600.0247248906611</v>
      </c>
      <c r="DS109" s="60">
        <f t="shared" si="71"/>
        <v>893.35805822399448</v>
      </c>
      <c r="DT109" s="60">
        <f ca="1">AVERAGE(OFFSET($DS$3,0,0,'Données projet'!$E$14+1,1))-AVERAGE(OFFSET($H$3,0,0,'Données projet'!$E$14+1,1))</f>
        <v>274.31056057602081</v>
      </c>
      <c r="DU109" s="60">
        <f t="shared" si="98"/>
        <v>163.41029152029387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2.8205128205128234</v>
      </c>
      <c r="EJ109" s="13">
        <f>IF('Données projet'!$A$192&gt;35,EJ108+EI109-ER108,IF(A109&lt;'Données projet'!$A$192,$EG$205^A109,IF(A109='Données projet'!$A$192,'Données projet'!$B$192,EJ108+EI109-ER108)))</f>
        <v>256.02564102564111</v>
      </c>
      <c r="EK109" s="18">
        <f>EJ109*VLOOKUP('Données projet'!$B$15,Paramètres!$A$1:$I$89,3,0)*VLOOKUP('Données projet'!$B$15,Paramètres!$A$1:$I$89,5,0)</f>
        <v>171.74200000000008</v>
      </c>
      <c r="EL109" s="14">
        <f t="shared" si="99"/>
        <v>43.479941841807872</v>
      </c>
      <c r="EM109" s="22">
        <f t="shared" si="73"/>
        <v>374.84488204114882</v>
      </c>
      <c r="EN109" s="60">
        <f t="shared" si="74"/>
        <v>668.17821537448208</v>
      </c>
      <c r="EO109" s="60">
        <f ca="1">AVERAGE(OFFSET($EN$3,0,0,'Données projet'!$E$15+1,1))-AVERAGE(OFFSET($H$3,0,0,'Données projet'!$E$15+1,1))</f>
        <v>120.18668518376586</v>
      </c>
      <c r="EP109" s="60">
        <f t="shared" si="100"/>
        <v>110.24821114898037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8">
        <f t="shared" si="56"/>
        <v>503.98145187735673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5.6923076923076907</v>
      </c>
      <c r="N110" s="14">
        <f>IF('Données projet'!$A$36&gt;35,N109+M110-V109,IF(A110&lt;'Données projet'!$A$36,$K$205^A110,IF(A110='Données projet'!$A$36,'Données projet'!$B$36,N109+M110-V109)))</f>
        <v>244.76923076923015</v>
      </c>
      <c r="O110" s="14">
        <f>N110*VLOOKUP('Données projet'!$B$9,Paramètres!$A$1:$I$89,3,0)*VLOOKUP('Données projet'!$B$9,Paramètres!$A$1:$I$89,5,0)</f>
        <v>114.55199999999971</v>
      </c>
      <c r="P110" s="14">
        <f t="shared" si="87"/>
        <v>30.400927204443892</v>
      </c>
      <c r="Q110" s="22">
        <f t="shared" si="107"/>
        <v>252.45968154773928</v>
      </c>
      <c r="R110" s="60">
        <f t="shared" si="55"/>
        <v>545.79301488107262</v>
      </c>
      <c r="S110" s="60">
        <f ca="1">AVERAGE(OFFSET($R$3,0,0,'Données projet'!$E$9+1,1))-AVERAGE(OFFSET($H$3,0,0,'Données projet'!$E$9+1,1))</f>
        <v>106.50743833854523</v>
      </c>
      <c r="T110" s="60">
        <f t="shared" si="88"/>
        <v>47.606751325129608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0">
        <f t="shared" si="59"/>
        <v>863.9020949925864</v>
      </c>
      <c r="AN110" s="60">
        <f ca="1">AVERAGE(OFFSET($AM$3,0,0,'Données projet'!$E$10+1,1))-AVERAGE(OFFSET($H$3,0,0,'Données projet'!$E$10+1,1))</f>
        <v>247.65126267995316</v>
      </c>
      <c r="AO110" s="60">
        <f t="shared" si="90"/>
        <v>149.27472147904314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295.88519999999966</v>
      </c>
      <c r="BF110" s="14">
        <f t="shared" si="91"/>
        <v>70.313151199178748</v>
      </c>
      <c r="BG110" s="22">
        <f t="shared" si="61"/>
        <v>637.79546167190244</v>
      </c>
      <c r="BH110" s="60">
        <f t="shared" si="62"/>
        <v>931.12879500523582</v>
      </c>
      <c r="BI110" s="60">
        <f ca="1">AVERAGE(OFFSET($BH$3,0,0,'Données projet'!$E$11+1,1))-AVERAGE(OFFSET($H$3,0,0,'Données projet'!$E$11+1,1))</f>
        <v>294.2815419338562</v>
      </c>
      <c r="BJ110" s="60">
        <f t="shared" si="92"/>
        <v>173.99850582760712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-6.8212102632969618E-13</v>
      </c>
      <c r="BZ110" s="14">
        <f>BY110*VLOOKUP('Données projet'!$B$12,Paramètres!$A$1:$I$89,3,0)*VLOOKUP('Données projet'!$B$12,Paramètres!$A$1:$I$89,5,0)</f>
        <v>-5.8525984059087939E-13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317.48648551307656</v>
      </c>
      <c r="CE110" s="60">
        <f t="shared" si="94"/>
        <v>133.09277301479563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0">
        <f t="shared" si="68"/>
        <v>293.33333333333582</v>
      </c>
      <c r="CY110" s="60">
        <f ca="1">AVERAGE(OFFSET($CX$3,0,0,'Données projet'!$E$13+1,1))-AVERAGE(OFFSET($H$3,0,0,'Données projet'!$E$13+1,1))</f>
        <v>194.42056369374041</v>
      </c>
      <c r="CZ110" s="60">
        <f t="shared" si="96"/>
        <v>185.75045299455371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282.22895999999969</v>
      </c>
      <c r="DQ110" s="14">
        <f t="shared" si="97"/>
        <v>67.437834611070301</v>
      </c>
      <c r="DR110" s="22">
        <f t="shared" si="70"/>
        <v>609.00300061428027</v>
      </c>
      <c r="DS110" s="60">
        <f t="shared" si="71"/>
        <v>902.33633394761364</v>
      </c>
      <c r="DT110" s="60">
        <f ca="1">AVERAGE(OFFSET($DS$3,0,0,'Données projet'!$E$14+1,1))-AVERAGE(OFFSET($H$3,0,0,'Données projet'!$E$14+1,1))</f>
        <v>274.31056057602081</v>
      </c>
      <c r="DU110" s="60">
        <f t="shared" si="98"/>
        <v>163.41029152029387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2.8205128205128234</v>
      </c>
      <c r="EJ110" s="13">
        <f>IF('Données projet'!$A$192&gt;35,EJ109+EI110-ER109,IF(A110&lt;'Données projet'!$A$192,$EG$205^A110,IF(A110='Données projet'!$A$192,'Données projet'!$B$192,EJ109+EI110-ER109)))</f>
        <v>258.84615384615392</v>
      </c>
      <c r="EK110" s="18">
        <f>EJ110*VLOOKUP('Données projet'!$B$15,Paramètres!$A$1:$I$89,3,0)*VLOOKUP('Données projet'!$B$15,Paramètres!$A$1:$I$89,5,0)</f>
        <v>173.63400000000004</v>
      </c>
      <c r="EL110" s="14">
        <f t="shared" si="99"/>
        <v>43.902914087449936</v>
      </c>
      <c r="EM110" s="22">
        <f t="shared" si="73"/>
        <v>378.87679203564204</v>
      </c>
      <c r="EN110" s="60">
        <f t="shared" si="74"/>
        <v>672.21012536897535</v>
      </c>
      <c r="EO110" s="60">
        <f ca="1">AVERAGE(OFFSET($EN$3,0,0,'Données projet'!$E$15+1,1))-AVERAGE(OFFSET($H$3,0,0,'Données projet'!$E$15+1,1))</f>
        <v>120.18668518376586</v>
      </c>
      <c r="EP110" s="60">
        <f t="shared" si="100"/>
        <v>110.24821114898037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8">
        <f t="shared" si="56"/>
        <v>505.90103859331265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5.6923076923076907</v>
      </c>
      <c r="N111" s="14">
        <f>IF('Données projet'!$A$36&gt;35,N110+M111-V110,IF(A111&lt;'Données projet'!$A$36,$K$205^A111,IF(A111='Données projet'!$A$36,'Données projet'!$B$36,N110+M111-V110)))</f>
        <v>250.46153846153783</v>
      </c>
      <c r="O111" s="14">
        <f>N111*VLOOKUP('Données projet'!$B$9,Paramètres!$A$1:$I$89,3,0)*VLOOKUP('Données projet'!$B$9,Paramètres!$A$1:$I$89,5,0)</f>
        <v>117.21599999999971</v>
      </c>
      <c r="P111" s="14">
        <f t="shared" si="87"/>
        <v>31.024792608059023</v>
      </c>
      <c r="Q111" s="22">
        <f t="shared" si="107"/>
        <v>258.18604712570226</v>
      </c>
      <c r="R111" s="60">
        <f t="shared" si="55"/>
        <v>551.51938045903557</v>
      </c>
      <c r="S111" s="60">
        <f ca="1">AVERAGE(OFFSET($R$3,0,0,'Données projet'!$E$9+1,1))-AVERAGE(OFFSET($H$3,0,0,'Données projet'!$E$9+1,1))</f>
        <v>106.50743833854523</v>
      </c>
      <c r="T111" s="60">
        <f t="shared" si="88"/>
        <v>47.606751325129608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0">
        <f t="shared" si="59"/>
        <v>872.30995628558094</v>
      </c>
      <c r="AN111" s="60">
        <f ca="1">AVERAGE(OFFSET($AM$3,0,0,'Données projet'!$E$10+1,1))-AVERAGE(OFFSET($H$3,0,0,'Données projet'!$E$10+1,1))</f>
        <v>247.65126267995316</v>
      </c>
      <c r="AO111" s="60">
        <f t="shared" si="90"/>
        <v>149.27472147904314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300.34679999999963</v>
      </c>
      <c r="BF111" s="14">
        <f t="shared" si="91"/>
        <v>71.249161187153291</v>
      </c>
      <c r="BG111" s="22">
        <f t="shared" si="61"/>
        <v>647.19629906762464</v>
      </c>
      <c r="BH111" s="60">
        <f t="shared" si="62"/>
        <v>940.52963240095801</v>
      </c>
      <c r="BI111" s="60">
        <f ca="1">AVERAGE(OFFSET($BH$3,0,0,'Données projet'!$E$11+1,1))-AVERAGE(OFFSET($H$3,0,0,'Données projet'!$E$11+1,1))</f>
        <v>294.2815419338562</v>
      </c>
      <c r="BJ111" s="60">
        <f t="shared" si="92"/>
        <v>173.99850582760712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-6.8212102632969618E-13</v>
      </c>
      <c r="BZ111" s="14">
        <f>BY111*VLOOKUP('Données projet'!$B$12,Paramètres!$A$1:$I$89,3,0)*VLOOKUP('Données projet'!$B$12,Paramètres!$A$1:$I$89,5,0)</f>
        <v>-5.8525984059087939E-13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317.48648551307656</v>
      </c>
      <c r="CE111" s="60">
        <f t="shared" si="94"/>
        <v>133.09277301479563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0">
        <f t="shared" si="68"/>
        <v>293.33333333333582</v>
      </c>
      <c r="CY111" s="60">
        <f ca="1">AVERAGE(OFFSET($CX$3,0,0,'Données projet'!$E$13+1,1))-AVERAGE(OFFSET($H$3,0,0,'Données projet'!$E$13+1,1))</f>
        <v>194.42056369374041</v>
      </c>
      <c r="CZ111" s="60">
        <f t="shared" si="96"/>
        <v>185.75045299455371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286.48463999999967</v>
      </c>
      <c r="DQ111" s="14">
        <f t="shared" si="97"/>
        <v>68.335568330677432</v>
      </c>
      <c r="DR111" s="22">
        <f t="shared" si="70"/>
        <v>617.97852950926267</v>
      </c>
      <c r="DS111" s="60">
        <f t="shared" si="71"/>
        <v>911.31186284259593</v>
      </c>
      <c r="DT111" s="60">
        <f ca="1">AVERAGE(OFFSET($DS$3,0,0,'Données projet'!$E$14+1,1))-AVERAGE(OFFSET($H$3,0,0,'Données projet'!$E$14+1,1))</f>
        <v>274.31056057602081</v>
      </c>
      <c r="DU111" s="60">
        <f t="shared" si="98"/>
        <v>163.41029152029387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2.8205128205128234</v>
      </c>
      <c r="EJ111" s="13">
        <f>IF('Données projet'!$A$192&gt;35,EJ110+EI111-ER110,IF(A111&lt;'Données projet'!$A$192,$EG$205^A111,IF(A111='Données projet'!$A$192,'Données projet'!$B$192,EJ110+EI111-ER110)))</f>
        <v>261.66666666666674</v>
      </c>
      <c r="EK111" s="18">
        <f>EJ111*VLOOKUP('Données projet'!$B$15,Paramètres!$A$1:$I$89,3,0)*VLOOKUP('Données projet'!$B$15,Paramètres!$A$1:$I$89,5,0)</f>
        <v>175.52600000000004</v>
      </c>
      <c r="EL111" s="14">
        <f t="shared" si="99"/>
        <v>44.325350184817701</v>
      </c>
      <c r="EM111" s="22">
        <f t="shared" si="73"/>
        <v>382.90776823855754</v>
      </c>
      <c r="EN111" s="60">
        <f t="shared" si="74"/>
        <v>676.24110157189079</v>
      </c>
      <c r="EO111" s="60">
        <f ca="1">AVERAGE(OFFSET($EN$3,0,0,'Données projet'!$E$15+1,1))-AVERAGE(OFFSET($H$3,0,0,'Données projet'!$E$15+1,1))</f>
        <v>120.18668518376586</v>
      </c>
      <c r="EP111" s="60">
        <f t="shared" si="100"/>
        <v>110.24821114898037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8">
        <f t="shared" si="56"/>
        <v>507.82022577433264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>
        <f>VLOOKUP(A112,'Données projet'!$A$35:$I$55,2,0)</f>
        <v>256.15384615384613</v>
      </c>
      <c r="L112" s="13">
        <f>VLOOKUP(A112,'Données projet'!$A$35:$I$55,9,0)</f>
        <v>5.6923076923076907</v>
      </c>
      <c r="M112" s="13">
        <f t="array" ref="M112">INDEX(L:L,MIN(IF(ISNUMBER(L112:L308),ROW(L112:L308),"")))</f>
        <v>5.6923076923076907</v>
      </c>
      <c r="N112" s="14">
        <f>IF('Données projet'!$A$36&gt;35,N111+M112-V111,IF(A112&lt;'Données projet'!$A$36,$K$205^A112,IF(A112='Données projet'!$A$36,'Données projet'!$B$36,N111+M112-V111)))</f>
        <v>256.15384615384551</v>
      </c>
      <c r="O112" s="14">
        <f>N112*VLOOKUP('Données projet'!$B$9,Paramètres!$A$1:$I$89,3,0)*VLOOKUP('Données projet'!$B$9,Paramètres!$A$1:$I$89,5,0)</f>
        <v>119.8799999999997</v>
      </c>
      <c r="P112" s="14">
        <f t="shared" si="87"/>
        <v>31.647009635236898</v>
      </c>
      <c r="Q112" s="22">
        <f t="shared" si="107"/>
        <v>263.90954178137036</v>
      </c>
      <c r="R112" s="60">
        <f t="shared" si="55"/>
        <v>557.24287511470368</v>
      </c>
      <c r="S112" s="60">
        <f ca="1">AVERAGE(OFFSET($R$3,0,0,'Données projet'!$E$9+1,1))-AVERAGE(OFFSET($H$3,0,0,'Données projet'!$E$9+1,1))</f>
        <v>106.50743833854523</v>
      </c>
      <c r="T112" s="60">
        <f t="shared" si="88"/>
        <v>47.606751325129608</v>
      </c>
      <c r="U112" s="16">
        <f>IF(ISNA(VLOOKUP(A112,'Données projet'!$A$35:$I$55,3,0)),0,VLOOKUP(A112,'Données projet'!$A$35:$I$55,3,0))</f>
        <v>6</v>
      </c>
      <c r="V112" s="16">
        <f>IF(ISNA(VLOOKUP(A112,'Données projet'!$A$35:$I$55,4,0)),0,VLOOKUP(A112,'Données projet'!$A$35:$I$55,4,0))</f>
        <v>256.15384615384613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0">
        <f t="shared" si="59"/>
        <v>880.71527085193179</v>
      </c>
      <c r="AN112" s="60">
        <f ca="1">AVERAGE(OFFSET($AM$3,0,0,'Données projet'!$E$10+1,1))-AVERAGE(OFFSET($H$3,0,0,'Données projet'!$E$10+1,1))</f>
        <v>247.65126267995316</v>
      </c>
      <c r="AO112" s="60">
        <f t="shared" si="90"/>
        <v>149.27472147904314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304.80839999999961</v>
      </c>
      <c r="BF112" s="14">
        <f t="shared" si="91"/>
        <v>72.183554053972728</v>
      </c>
      <c r="BG112" s="22">
        <f t="shared" si="61"/>
        <v>656.59431997733509</v>
      </c>
      <c r="BH112" s="60">
        <f t="shared" si="62"/>
        <v>949.92765331066835</v>
      </c>
      <c r="BI112" s="60">
        <f ca="1">AVERAGE(OFFSET($BH$3,0,0,'Données projet'!$E$11+1,1))-AVERAGE(OFFSET($H$3,0,0,'Données projet'!$E$11+1,1))</f>
        <v>294.2815419338562</v>
      </c>
      <c r="BJ112" s="60">
        <f t="shared" si="92"/>
        <v>173.99850582760712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-6.8212102632969618E-13</v>
      </c>
      <c r="BZ112" s="14">
        <f>BY112*VLOOKUP('Données projet'!$B$12,Paramètres!$A$1:$I$89,3,0)*VLOOKUP('Données projet'!$B$12,Paramètres!$A$1:$I$89,5,0)</f>
        <v>-5.8525984059087939E-13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317.48648551307656</v>
      </c>
      <c r="CE112" s="60">
        <f t="shared" si="94"/>
        <v>133.09277301479563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0">
        <f t="shared" si="68"/>
        <v>293.33333333333582</v>
      </c>
      <c r="CY112" s="60">
        <f ca="1">AVERAGE(OFFSET($CX$3,0,0,'Données projet'!$E$13+1,1))-AVERAGE(OFFSET($H$3,0,0,'Données projet'!$E$13+1,1))</f>
        <v>194.42056369374041</v>
      </c>
      <c r="CZ112" s="60">
        <f t="shared" si="96"/>
        <v>185.75045299455371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290.74031999999966</v>
      </c>
      <c r="DQ112" s="14">
        <f t="shared" si="97"/>
        <v>69.231751058085507</v>
      </c>
      <c r="DR112" s="22">
        <f t="shared" si="70"/>
        <v>626.95135709283159</v>
      </c>
      <c r="DS112" s="60">
        <f t="shared" si="71"/>
        <v>920.28469042616484</v>
      </c>
      <c r="DT112" s="60">
        <f ca="1">AVERAGE(OFFSET($DS$3,0,0,'Données projet'!$E$14+1,1))-AVERAGE(OFFSET($H$3,0,0,'Données projet'!$E$14+1,1))</f>
        <v>274.31056057602081</v>
      </c>
      <c r="DU112" s="60">
        <f t="shared" si="98"/>
        <v>163.41029152029387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2.8205128205128234</v>
      </c>
      <c r="EJ112" s="13">
        <f>IF('Données projet'!$A$192&gt;35,EJ111+EI112-ER111,IF(A112&lt;'Données projet'!$A$192,$EG$205^A112,IF(A112='Données projet'!$A$192,'Données projet'!$B$192,EJ111+EI112-ER111)))</f>
        <v>264.48717948717956</v>
      </c>
      <c r="EK112" s="18">
        <f>EJ112*VLOOKUP('Données projet'!$B$15,Paramètres!$A$1:$I$89,3,0)*VLOOKUP('Données projet'!$B$15,Paramètres!$A$1:$I$89,5,0)</f>
        <v>177.41800000000006</v>
      </c>
      <c r="EL112" s="14">
        <f t="shared" si="99"/>
        <v>44.747256581968685</v>
      </c>
      <c r="EM112" s="22">
        <f t="shared" si="73"/>
        <v>386.93782188026222</v>
      </c>
      <c r="EN112" s="60">
        <f t="shared" si="74"/>
        <v>680.27115521359553</v>
      </c>
      <c r="EO112" s="60">
        <f ca="1">AVERAGE(OFFSET($EN$3,0,0,'Données projet'!$E$15+1,1))-AVERAGE(OFFSET($H$3,0,0,'Données projet'!$E$15+1,1))</f>
        <v>120.18668518376586</v>
      </c>
      <c r="EP112" s="60">
        <f t="shared" si="100"/>
        <v>110.24821114898037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8">
        <f t="shared" si="56"/>
        <v>509.73901751046503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-6.2527760746888816E-13</v>
      </c>
      <c r="O113" s="14">
        <f>N113*VLOOKUP('Données projet'!$B$9,Paramètres!$A$1:$I$89,3,0)*VLOOKUP('Données projet'!$B$9,Paramètres!$A$1:$I$89,5,0)</f>
        <v>-2.9262992029543964E-13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106.50743833854523</v>
      </c>
      <c r="T113" s="60">
        <f t="shared" si="88"/>
        <v>47.606751325129608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0">
        <f t="shared" si="59"/>
        <v>889.11808027572556</v>
      </c>
      <c r="AN113" s="60">
        <f ca="1">AVERAGE(OFFSET($AM$3,0,0,'Données projet'!$E$10+1,1))-AVERAGE(OFFSET($H$3,0,0,'Données projet'!$E$10+1,1))</f>
        <v>247.65126267995316</v>
      </c>
      <c r="AO113" s="60">
        <f t="shared" si="90"/>
        <v>149.27472147904314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309.26999999999958</v>
      </c>
      <c r="BF113" s="14">
        <f t="shared" si="91"/>
        <v>73.116356204710968</v>
      </c>
      <c r="BG113" s="22">
        <f t="shared" si="61"/>
        <v>665.98957038987078</v>
      </c>
      <c r="BH113" s="60">
        <f t="shared" si="62"/>
        <v>959.32290372320404</v>
      </c>
      <c r="BI113" s="60">
        <f ca="1">AVERAGE(OFFSET($BH$3,0,0,'Données projet'!$E$11+1,1))-AVERAGE(OFFSET($H$3,0,0,'Données projet'!$E$11+1,1))</f>
        <v>294.2815419338562</v>
      </c>
      <c r="BJ113" s="60">
        <f t="shared" si="92"/>
        <v>173.99850582760712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-6.8212102632969618E-13</v>
      </c>
      <c r="BZ113" s="14">
        <f>BY113*VLOOKUP('Données projet'!$B$12,Paramètres!$A$1:$I$89,3,0)*VLOOKUP('Données projet'!$B$12,Paramètres!$A$1:$I$89,5,0)</f>
        <v>-5.8525984059087939E-13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317.48648551307656</v>
      </c>
      <c r="CE113" s="60">
        <f t="shared" si="94"/>
        <v>133.09277301479563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0">
        <f t="shared" si="68"/>
        <v>293.33333333333582</v>
      </c>
      <c r="CY113" s="60">
        <f ca="1">AVERAGE(OFFSET($CX$3,0,0,'Données projet'!$E$13+1,1))-AVERAGE(OFFSET($H$3,0,0,'Données projet'!$E$13+1,1))</f>
        <v>194.42056369374041</v>
      </c>
      <c r="CZ113" s="60">
        <f t="shared" si="96"/>
        <v>185.75045299455371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294.99599999999958</v>
      </c>
      <c r="DQ113" s="14">
        <f t="shared" si="97"/>
        <v>70.126408118585317</v>
      </c>
      <c r="DR113" s="22">
        <f t="shared" si="70"/>
        <v>635.92152747320199</v>
      </c>
      <c r="DS113" s="60">
        <f t="shared" si="71"/>
        <v>929.25486080653536</v>
      </c>
      <c r="DT113" s="60">
        <f ca="1">AVERAGE(OFFSET($DS$3,0,0,'Données projet'!$E$14+1,1))-AVERAGE(OFFSET($H$3,0,0,'Données projet'!$E$14+1,1))</f>
        <v>274.31056057602081</v>
      </c>
      <c r="DU113" s="60">
        <f t="shared" si="98"/>
        <v>163.41029152029387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267.30769230769232</v>
      </c>
      <c r="EH113" s="13">
        <f>VLOOKUP(A113,'Données projet'!$A$191:$I$211,9,0)</f>
        <v>2.8205128205128234</v>
      </c>
      <c r="EI113" s="13">
        <f t="array" ref="EI113">INDEX(EH:EH,MIN(IF(ISNUMBER(EH113:EH309),ROW(EH113:EH309),"")))</f>
        <v>2.8205128205128234</v>
      </c>
      <c r="EJ113" s="13">
        <f>IF('Données projet'!$A$192&gt;35,EJ112+EI113-ER112,IF(A113&lt;'Données projet'!$A$192,$EG$205^A113,IF(A113='Données projet'!$A$192,'Données projet'!$B$192,EJ112+EI113-ER112)))</f>
        <v>267.30769230769238</v>
      </c>
      <c r="EK113" s="18">
        <f>EJ113*VLOOKUP('Données projet'!$B$15,Paramètres!$A$1:$I$89,3,0)*VLOOKUP('Données projet'!$B$15,Paramètres!$A$1:$I$89,5,0)</f>
        <v>179.31000000000006</v>
      </c>
      <c r="EL113" s="14">
        <f t="shared" si="99"/>
        <v>45.168639581513062</v>
      </c>
      <c r="EM113" s="22">
        <f t="shared" si="73"/>
        <v>390.96696393780195</v>
      </c>
      <c r="EN113" s="60">
        <f t="shared" si="74"/>
        <v>684.30029727113526</v>
      </c>
      <c r="EO113" s="60">
        <f ca="1">AVERAGE(OFFSET($EN$3,0,0,'Données projet'!$E$15+1,1))-AVERAGE(OFFSET($H$3,0,0,'Données projet'!$E$15+1,1))</f>
        <v>120.18668518376586</v>
      </c>
      <c r="EP113" s="60">
        <f t="shared" si="100"/>
        <v>110.24821114898037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267.30769230769232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8">
        <f t="shared" si="56"/>
        <v>511.6574178131043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-6.2527760746888816E-13</v>
      </c>
      <c r="O114" s="14">
        <f>N114*VLOOKUP('Données projet'!$B$9,Paramètres!$A$1:$I$89,3,0)*VLOOKUP('Données projet'!$B$9,Paramètres!$A$1:$I$89,5,0)</f>
        <v>-2.9262992029543964E-13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106.50743833854523</v>
      </c>
      <c r="T114" s="60">
        <f t="shared" si="88"/>
        <v>47.606751325129608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0">
        <f t="shared" si="59"/>
        <v>821.63161043190416</v>
      </c>
      <c r="AN114" s="60">
        <f ca="1">AVERAGE(OFFSET($AM$3,0,0,'Données projet'!$E$10+1,1))-AVERAGE(OFFSET($H$3,0,0,'Données projet'!$E$10+1,1))</f>
        <v>247.65126267995316</v>
      </c>
      <c r="AO114" s="60">
        <f t="shared" si="90"/>
        <v>149.27472147904314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273.47579999999959</v>
      </c>
      <c r="BF114" s="14">
        <f t="shared" si="91"/>
        <v>65.586371730977532</v>
      </c>
      <c r="BG114" s="22">
        <f t="shared" si="61"/>
        <v>590.53328243145177</v>
      </c>
      <c r="BH114" s="60">
        <f t="shared" si="62"/>
        <v>883.86661576478514</v>
      </c>
      <c r="BI114" s="60">
        <f ca="1">AVERAGE(OFFSET($BH$3,0,0,'Données projet'!$E$11+1,1))-AVERAGE(OFFSET($H$3,0,0,'Données projet'!$E$11+1,1))</f>
        <v>294.2815419338562</v>
      </c>
      <c r="BJ114" s="60">
        <f t="shared" si="92"/>
        <v>173.99850582760712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-6.8212102632969618E-13</v>
      </c>
      <c r="BZ114" s="14">
        <f>BY114*VLOOKUP('Données projet'!$B$12,Paramètres!$A$1:$I$89,3,0)*VLOOKUP('Données projet'!$B$12,Paramètres!$A$1:$I$89,5,0)</f>
        <v>-5.8525984059087939E-13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317.48648551307656</v>
      </c>
      <c r="CE114" s="60">
        <f t="shared" si="94"/>
        <v>133.09277301479563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0">
        <f t="shared" si="68"/>
        <v>293.33333333333582</v>
      </c>
      <c r="CY114" s="60">
        <f ca="1">AVERAGE(OFFSET($CX$3,0,0,'Données projet'!$E$13+1,1))-AVERAGE(OFFSET($H$3,0,0,'Données projet'!$E$13+1,1))</f>
        <v>194.42056369374041</v>
      </c>
      <c r="CZ114" s="60">
        <f t="shared" si="96"/>
        <v>185.75045299455371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260.85383999999959</v>
      </c>
      <c r="DQ114" s="14">
        <f t="shared" si="97"/>
        <v>62.904347395903649</v>
      </c>
      <c r="DR114" s="22">
        <f t="shared" si="70"/>
        <v>563.87884304786473</v>
      </c>
      <c r="DS114" s="60">
        <f t="shared" si="71"/>
        <v>857.21217638119811</v>
      </c>
      <c r="DT114" s="60">
        <f ca="1">AVERAGE(OFFSET($DS$3,0,0,'Données projet'!$E$14+1,1))-AVERAGE(OFFSET($H$3,0,0,'Données projet'!$E$14+1,1))</f>
        <v>274.31056057602081</v>
      </c>
      <c r="DU114" s="60">
        <f t="shared" si="98"/>
        <v>163.41029152029387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5.6843418860808015E-14</v>
      </c>
      <c r="EK114" s="18">
        <f>EJ114*VLOOKUP('Données projet'!$B$15,Paramètres!$A$1:$I$89,3,0)*VLOOKUP('Données projet'!$B$15,Paramètres!$A$1:$I$89,5,0)</f>
        <v>3.813056537183002E-14</v>
      </c>
      <c r="EL114" s="14">
        <f t="shared" si="99"/>
        <v>6.4086286045526829E-13</v>
      </c>
      <c r="EM114" s="22">
        <f t="shared" si="73"/>
        <v>1.1825802166488628E-12</v>
      </c>
      <c r="EN114" s="60">
        <f t="shared" si="74"/>
        <v>293.33333333333451</v>
      </c>
      <c r="EO114" s="60">
        <f ca="1">AVERAGE(OFFSET($EN$3,0,0,'Données projet'!$E$15+1,1))-AVERAGE(OFFSET($H$3,0,0,'Données projet'!$E$15+1,1))</f>
        <v>120.18668518376586</v>
      </c>
      <c r="EP114" s="60">
        <f t="shared" si="100"/>
        <v>110.24821114898037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8">
        <f t="shared" si="56"/>
        <v>513.57543061719775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-6.2527760746888816E-13</v>
      </c>
      <c r="O115" s="14">
        <f>N115*VLOOKUP('Données projet'!$B$9,Paramètres!$A$1:$I$89,3,0)*VLOOKUP('Données projet'!$B$9,Paramètres!$A$1:$I$89,5,0)</f>
        <v>-2.9262992029543964E-13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106.50743833854523</v>
      </c>
      <c r="T115" s="60">
        <f t="shared" si="88"/>
        <v>47.606751325129608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0">
        <f t="shared" si="59"/>
        <v>828.7133714063857</v>
      </c>
      <c r="AN115" s="60">
        <f ca="1">AVERAGE(OFFSET($AM$3,0,0,'Données projet'!$E$10+1,1))-AVERAGE(OFFSET($H$3,0,0,'Données projet'!$E$10+1,1))</f>
        <v>247.65126267995316</v>
      </c>
      <c r="AO115" s="60">
        <f t="shared" si="90"/>
        <v>149.27472147904314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277.2275999999996</v>
      </c>
      <c r="BF115" s="14">
        <f t="shared" si="91"/>
        <v>66.380782187895392</v>
      </c>
      <c r="BG115" s="22">
        <f t="shared" si="61"/>
        <v>598.45126564391705</v>
      </c>
      <c r="BH115" s="60">
        <f t="shared" si="62"/>
        <v>891.78459897725043</v>
      </c>
      <c r="BI115" s="60">
        <f ca="1">AVERAGE(OFFSET($BH$3,0,0,'Données projet'!$E$11+1,1))-AVERAGE(OFFSET($H$3,0,0,'Données projet'!$E$11+1,1))</f>
        <v>294.2815419338562</v>
      </c>
      <c r="BJ115" s="60">
        <f t="shared" si="92"/>
        <v>173.99850582760712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-6.8212102632969618E-13</v>
      </c>
      <c r="BZ115" s="14">
        <f>BY115*VLOOKUP('Données projet'!$B$12,Paramètres!$A$1:$I$89,3,0)*VLOOKUP('Données projet'!$B$12,Paramètres!$A$1:$I$89,5,0)</f>
        <v>-5.8525984059087939E-13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317.48648551307656</v>
      </c>
      <c r="CE115" s="60">
        <f t="shared" si="94"/>
        <v>133.09277301479563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0">
        <f t="shared" si="68"/>
        <v>293.33333333333582</v>
      </c>
      <c r="CY115" s="60">
        <f ca="1">AVERAGE(OFFSET($CX$3,0,0,'Données projet'!$E$13+1,1))-AVERAGE(OFFSET($H$3,0,0,'Données projet'!$E$13+1,1))</f>
        <v>194.42056369374041</v>
      </c>
      <c r="CZ115" s="60">
        <f t="shared" si="96"/>
        <v>185.75045299455371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264.4324799999996</v>
      </c>
      <c r="DQ115" s="14">
        <f t="shared" si="97"/>
        <v>63.666272015882292</v>
      </c>
      <c r="DR115" s="22">
        <f t="shared" si="70"/>
        <v>571.43865976099426</v>
      </c>
      <c r="DS115" s="60">
        <f t="shared" si="71"/>
        <v>864.77199309432763</v>
      </c>
      <c r="DT115" s="60">
        <f ca="1">AVERAGE(OFFSET($DS$3,0,0,'Données projet'!$E$14+1,1))-AVERAGE(OFFSET($H$3,0,0,'Données projet'!$E$14+1,1))</f>
        <v>274.31056057602081</v>
      </c>
      <c r="DU115" s="60">
        <f t="shared" si="98"/>
        <v>163.41029152029387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5.6843418860808015E-14</v>
      </c>
      <c r="EK115" s="18">
        <f>EJ115*VLOOKUP('Données projet'!$B$15,Paramètres!$A$1:$I$89,3,0)*VLOOKUP('Données projet'!$B$15,Paramètres!$A$1:$I$89,5,0)</f>
        <v>3.813056537183002E-14</v>
      </c>
      <c r="EL115" s="14">
        <f t="shared" si="99"/>
        <v>6.4086286045526829E-13</v>
      </c>
      <c r="EM115" s="22">
        <f t="shared" si="73"/>
        <v>1.1825802166488628E-12</v>
      </c>
      <c r="EN115" s="60">
        <f t="shared" si="74"/>
        <v>293.33333333333451</v>
      </c>
      <c r="EO115" s="60">
        <f ca="1">AVERAGE(OFFSET($EN$3,0,0,'Données projet'!$E$15+1,1))-AVERAGE(OFFSET($H$3,0,0,'Données projet'!$E$15+1,1))</f>
        <v>120.18668518376586</v>
      </c>
      <c r="EP115" s="60">
        <f t="shared" si="100"/>
        <v>110.24821114898037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8">
        <f t="shared" si="56"/>
        <v>515.49305978337225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-6.2527760746888816E-13</v>
      </c>
      <c r="O116" s="14">
        <f>N116*VLOOKUP('Données projet'!$B$9,Paramètres!$A$1:$I$89,3,0)*VLOOKUP('Données projet'!$B$9,Paramètres!$A$1:$I$89,5,0)</f>
        <v>-2.9262992029543964E-13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106.50743833854523</v>
      </c>
      <c r="T116" s="60">
        <f t="shared" si="88"/>
        <v>47.606751325129608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0">
        <f t="shared" si="59"/>
        <v>835.79316307617296</v>
      </c>
      <c r="AN116" s="60">
        <f ca="1">AVERAGE(OFFSET($AM$3,0,0,'Données projet'!$E$10+1,1))-AVERAGE(OFFSET($H$3,0,0,'Données projet'!$E$10+1,1))</f>
        <v>247.65126267995316</v>
      </c>
      <c r="AO116" s="60">
        <f t="shared" si="90"/>
        <v>149.27472147904314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280.9793999999996</v>
      </c>
      <c r="BF116" s="14">
        <f t="shared" si="91"/>
        <v>67.173942175199358</v>
      </c>
      <c r="BG116" s="22">
        <f t="shared" si="61"/>
        <v>606.36707095513827</v>
      </c>
      <c r="BH116" s="60">
        <f t="shared" si="62"/>
        <v>899.70040428847165</v>
      </c>
      <c r="BI116" s="60">
        <f ca="1">AVERAGE(OFFSET($BH$3,0,0,'Données projet'!$E$11+1,1))-AVERAGE(OFFSET($H$3,0,0,'Données projet'!$E$11+1,1))</f>
        <v>294.2815419338562</v>
      </c>
      <c r="BJ116" s="60">
        <f t="shared" si="92"/>
        <v>173.99850582760712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-6.8212102632969618E-13</v>
      </c>
      <c r="BZ116" s="14">
        <f>BY116*VLOOKUP('Données projet'!$B$12,Paramètres!$A$1:$I$89,3,0)*VLOOKUP('Données projet'!$B$12,Paramètres!$A$1:$I$89,5,0)</f>
        <v>-5.8525984059087939E-13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317.48648551307656</v>
      </c>
      <c r="CE116" s="60">
        <f t="shared" si="94"/>
        <v>133.09277301479563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0">
        <f t="shared" si="68"/>
        <v>293.33333333333582</v>
      </c>
      <c r="CY116" s="60">
        <f ca="1">AVERAGE(OFFSET($CX$3,0,0,'Données projet'!$E$13+1,1))-AVERAGE(OFFSET($H$3,0,0,'Données projet'!$E$13+1,1))</f>
        <v>194.42056369374041</v>
      </c>
      <c r="CZ116" s="60">
        <f t="shared" si="96"/>
        <v>185.75045299455371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268.01111999999961</v>
      </c>
      <c r="DQ116" s="14">
        <f t="shared" si="97"/>
        <v>64.426997301716796</v>
      </c>
      <c r="DR116" s="22">
        <f t="shared" si="70"/>
        <v>578.99638763382268</v>
      </c>
      <c r="DS116" s="60">
        <f t="shared" si="71"/>
        <v>872.32972096715594</v>
      </c>
      <c r="DT116" s="60">
        <f ca="1">AVERAGE(OFFSET($DS$3,0,0,'Données projet'!$E$14+1,1))-AVERAGE(OFFSET($H$3,0,0,'Données projet'!$E$14+1,1))</f>
        <v>274.31056057602081</v>
      </c>
      <c r="DU116" s="60">
        <f t="shared" si="98"/>
        <v>163.41029152029387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5.6843418860808015E-14</v>
      </c>
      <c r="EK116" s="18">
        <f>EJ116*VLOOKUP('Données projet'!$B$15,Paramètres!$A$1:$I$89,3,0)*VLOOKUP('Données projet'!$B$15,Paramètres!$A$1:$I$89,5,0)</f>
        <v>3.813056537183002E-14</v>
      </c>
      <c r="EL116" s="14">
        <f t="shared" si="99"/>
        <v>6.4086286045526829E-13</v>
      </c>
      <c r="EM116" s="22">
        <f t="shared" si="73"/>
        <v>1.1825802166488628E-12</v>
      </c>
      <c r="EN116" s="60">
        <f t="shared" si="74"/>
        <v>293.33333333333451</v>
      </c>
      <c r="EO116" s="60">
        <f ca="1">AVERAGE(OFFSET($EN$3,0,0,'Données projet'!$E$15+1,1))-AVERAGE(OFFSET($H$3,0,0,'Données projet'!$E$15+1,1))</f>
        <v>120.18668518376586</v>
      </c>
      <c r="EP116" s="60">
        <f t="shared" si="100"/>
        <v>110.24821114898037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8">
        <f t="shared" si="56"/>
        <v>517.41030909998244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-6.2527760746888816E-13</v>
      </c>
      <c r="O117" s="14">
        <f>N117*VLOOKUP('Données projet'!$B$9,Paramètres!$A$1:$I$89,3,0)*VLOOKUP('Données projet'!$B$9,Paramètres!$A$1:$I$89,5,0)</f>
        <v>-2.9262992029543964E-13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106.50743833854523</v>
      </c>
      <c r="T117" s="60">
        <f t="shared" si="88"/>
        <v>47.606751325129608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0">
        <f t="shared" si="59"/>
        <v>842.87101477628994</v>
      </c>
      <c r="AN117" s="60">
        <f ca="1">AVERAGE(OFFSET($AM$3,0,0,'Données projet'!$E$10+1,1))-AVERAGE(OFFSET($H$3,0,0,'Données projet'!$E$10+1,1))</f>
        <v>247.65126267995316</v>
      </c>
      <c r="AO117" s="60">
        <f t="shared" si="90"/>
        <v>149.27472147904314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284.7311999999996</v>
      </c>
      <c r="BF117" s="14">
        <f t="shared" si="91"/>
        <v>67.965870320050882</v>
      </c>
      <c r="BG117" s="22">
        <f t="shared" si="61"/>
        <v>614.28073080742126</v>
      </c>
      <c r="BH117" s="60">
        <f t="shared" si="62"/>
        <v>907.61406414075464</v>
      </c>
      <c r="BI117" s="60">
        <f ca="1">AVERAGE(OFFSET($BH$3,0,0,'Données projet'!$E$11+1,1))-AVERAGE(OFFSET($H$3,0,0,'Données projet'!$E$11+1,1))</f>
        <v>294.2815419338562</v>
      </c>
      <c r="BJ117" s="60">
        <f t="shared" si="92"/>
        <v>173.99850582760712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-6.8212102632969618E-13</v>
      </c>
      <c r="BZ117" s="14">
        <f>BY117*VLOOKUP('Données projet'!$B$12,Paramètres!$A$1:$I$89,3,0)*VLOOKUP('Données projet'!$B$12,Paramètres!$A$1:$I$89,5,0)</f>
        <v>-5.8525984059087939E-13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317.48648551307656</v>
      </c>
      <c r="CE117" s="60">
        <f t="shared" si="94"/>
        <v>133.09277301479563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0">
        <f t="shared" si="68"/>
        <v>293.33333333333582</v>
      </c>
      <c r="CY117" s="60">
        <f ca="1">AVERAGE(OFFSET($CX$3,0,0,'Données projet'!$E$13+1,1))-AVERAGE(OFFSET($H$3,0,0,'Données projet'!$E$13+1,1))</f>
        <v>194.42056369374041</v>
      </c>
      <c r="CZ117" s="60">
        <f t="shared" si="96"/>
        <v>185.75045299455371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271.58975999999956</v>
      </c>
      <c r="DQ117" s="14">
        <f t="shared" si="97"/>
        <v>65.186541118848012</v>
      </c>
      <c r="DR117" s="22">
        <f t="shared" si="70"/>
        <v>586.55205778199286</v>
      </c>
      <c r="DS117" s="60">
        <f t="shared" si="71"/>
        <v>879.88539111532623</v>
      </c>
      <c r="DT117" s="60">
        <f ca="1">AVERAGE(OFFSET($DS$3,0,0,'Données projet'!$E$14+1,1))-AVERAGE(OFFSET($H$3,0,0,'Données projet'!$E$14+1,1))</f>
        <v>274.31056057602081</v>
      </c>
      <c r="DU117" s="60">
        <f t="shared" si="98"/>
        <v>163.41029152029387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5.6843418860808015E-14</v>
      </c>
      <c r="EK117" s="18">
        <f>EJ117*VLOOKUP('Données projet'!$B$15,Paramètres!$A$1:$I$89,3,0)*VLOOKUP('Données projet'!$B$15,Paramètres!$A$1:$I$89,5,0)</f>
        <v>3.813056537183002E-14</v>
      </c>
      <c r="EL117" s="14">
        <f t="shared" si="99"/>
        <v>6.4086286045526829E-13</v>
      </c>
      <c r="EM117" s="22">
        <f t="shared" si="73"/>
        <v>1.1825802166488628E-12</v>
      </c>
      <c r="EN117" s="60">
        <f t="shared" si="74"/>
        <v>293.33333333333451</v>
      </c>
      <c r="EO117" s="60">
        <f ca="1">AVERAGE(OFFSET($EN$3,0,0,'Données projet'!$E$15+1,1))-AVERAGE(OFFSET($H$3,0,0,'Données projet'!$E$15+1,1))</f>
        <v>120.18668518376586</v>
      </c>
      <c r="EP117" s="60">
        <f t="shared" si="100"/>
        <v>110.24821114898037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8">
        <f t="shared" si="56"/>
        <v>519.32718228508566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-6.2527760746888816E-13</v>
      </c>
      <c r="O118" s="14">
        <f>N118*VLOOKUP('Données projet'!$B$9,Paramètres!$A$1:$I$89,3,0)*VLOOKUP('Données projet'!$B$9,Paramètres!$A$1:$I$89,5,0)</f>
        <v>-2.9262992029543964E-13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106.50743833854523</v>
      </c>
      <c r="T118" s="60">
        <f t="shared" si="88"/>
        <v>47.606751325129608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0">
        <f t="shared" si="59"/>
        <v>849.94695502425111</v>
      </c>
      <c r="AN118" s="60">
        <f ca="1">AVERAGE(OFFSET($AM$3,0,0,'Données projet'!$E$10+1,1))-AVERAGE(OFFSET($H$3,0,0,'Données projet'!$E$10+1,1))</f>
        <v>247.65126267995316</v>
      </c>
      <c r="AO118" s="60">
        <f t="shared" si="90"/>
        <v>149.27472147904314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288.48299999999955</v>
      </c>
      <c r="BF118" s="14">
        <f t="shared" si="91"/>
        <v>68.756584730508635</v>
      </c>
      <c r="BG118" s="22">
        <f t="shared" si="61"/>
        <v>622.19227673896842</v>
      </c>
      <c r="BH118" s="60">
        <f t="shared" si="62"/>
        <v>915.52561007230179</v>
      </c>
      <c r="BI118" s="60">
        <f ca="1">AVERAGE(OFFSET($BH$3,0,0,'Données projet'!$E$11+1,1))-AVERAGE(OFFSET($H$3,0,0,'Données projet'!$E$11+1,1))</f>
        <v>294.2815419338562</v>
      </c>
      <c r="BJ118" s="60">
        <f t="shared" si="92"/>
        <v>173.99850582760712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-6.8212102632969618E-13</v>
      </c>
      <c r="BZ118" s="14">
        <f>BY118*VLOOKUP('Données projet'!$B$12,Paramètres!$A$1:$I$89,3,0)*VLOOKUP('Données projet'!$B$12,Paramètres!$A$1:$I$89,5,0)</f>
        <v>-5.8525984059087939E-13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317.48648551307656</v>
      </c>
      <c r="CE118" s="60">
        <f t="shared" si="94"/>
        <v>133.09277301479563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0">
        <f t="shared" si="68"/>
        <v>293.33333333333582</v>
      </c>
      <c r="CY118" s="60">
        <f ca="1">AVERAGE(OFFSET($CX$3,0,0,'Données projet'!$E$13+1,1))-AVERAGE(OFFSET($H$3,0,0,'Données projet'!$E$13+1,1))</f>
        <v>194.42056369374041</v>
      </c>
      <c r="CZ118" s="60">
        <f t="shared" si="96"/>
        <v>185.75045299455371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275.16839999999956</v>
      </c>
      <c r="DQ118" s="14">
        <f t="shared" si="97"/>
        <v>65.944920834841554</v>
      </c>
      <c r="DR118" s="22">
        <f t="shared" si="70"/>
        <v>594.10570045401494</v>
      </c>
      <c r="DS118" s="60">
        <f t="shared" si="71"/>
        <v>887.43903378734831</v>
      </c>
      <c r="DT118" s="60">
        <f ca="1">AVERAGE(OFFSET($DS$3,0,0,'Données projet'!$E$14+1,1))-AVERAGE(OFFSET($H$3,0,0,'Données projet'!$E$14+1,1))</f>
        <v>274.31056057602081</v>
      </c>
      <c r="DU118" s="60">
        <f t="shared" si="98"/>
        <v>163.41029152029387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5.6843418860808015E-14</v>
      </c>
      <c r="EK118" s="18">
        <f>EJ118*VLOOKUP('Données projet'!$B$15,Paramètres!$A$1:$I$89,3,0)*VLOOKUP('Données projet'!$B$15,Paramètres!$A$1:$I$89,5,0)</f>
        <v>3.813056537183002E-14</v>
      </c>
      <c r="EL118" s="14">
        <f t="shared" si="99"/>
        <v>6.4086286045526829E-13</v>
      </c>
      <c r="EM118" s="22">
        <f t="shared" si="73"/>
        <v>1.1825802166488628E-12</v>
      </c>
      <c r="EN118" s="60">
        <f t="shared" si="74"/>
        <v>293.33333333333451</v>
      </c>
      <c r="EO118" s="60">
        <f ca="1">AVERAGE(OFFSET($EN$3,0,0,'Données projet'!$E$15+1,1))-AVERAGE(OFFSET($H$3,0,0,'Données projet'!$E$15+1,1))</f>
        <v>120.18668518376586</v>
      </c>
      <c r="EP118" s="60">
        <f t="shared" si="100"/>
        <v>110.24821114898037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8">
        <f t="shared" si="56"/>
        <v>521.24368298834622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-6.2527760746888816E-13</v>
      </c>
      <c r="O119" s="14">
        <f>N119*VLOOKUP('Données projet'!$B$9,Paramètres!$A$1:$I$89,3,0)*VLOOKUP('Données projet'!$B$9,Paramètres!$A$1:$I$89,5,0)</f>
        <v>-2.9262992029543964E-13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106.50743833854523</v>
      </c>
      <c r="T119" s="60">
        <f t="shared" si="88"/>
        <v>47.606751325129608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0">
        <f t="shared" si="59"/>
        <v>857.02101155317155</v>
      </c>
      <c r="AN119" s="60">
        <f ca="1">AVERAGE(OFFSET($AM$3,0,0,'Données projet'!$E$10+1,1))-AVERAGE(OFFSET($H$3,0,0,'Données projet'!$E$10+1,1))</f>
        <v>247.65126267995316</v>
      </c>
      <c r="AO119" s="60">
        <f t="shared" si="90"/>
        <v>149.27472147904314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292.23479999999955</v>
      </c>
      <c r="BF119" s="14">
        <f t="shared" si="91"/>
        <v>69.546103016553644</v>
      </c>
      <c r="BG119" s="22">
        <f t="shared" si="61"/>
        <v>630.10173942049676</v>
      </c>
      <c r="BH119" s="60">
        <f t="shared" si="62"/>
        <v>923.43507275383013</v>
      </c>
      <c r="BI119" s="60">
        <f ca="1">AVERAGE(OFFSET($BH$3,0,0,'Données projet'!$E$11+1,1))-AVERAGE(OFFSET($H$3,0,0,'Données projet'!$E$11+1,1))</f>
        <v>294.2815419338562</v>
      </c>
      <c r="BJ119" s="60">
        <f t="shared" si="92"/>
        <v>173.99850582760712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-6.8212102632969618E-13</v>
      </c>
      <c r="BZ119" s="14">
        <f>BY119*VLOOKUP('Données projet'!$B$12,Paramètres!$A$1:$I$89,3,0)*VLOOKUP('Données projet'!$B$12,Paramètres!$A$1:$I$89,5,0)</f>
        <v>-5.8525984059087939E-13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317.48648551307656</v>
      </c>
      <c r="CE119" s="60">
        <f t="shared" si="94"/>
        <v>133.09277301479563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0">
        <f t="shared" si="68"/>
        <v>293.33333333333582</v>
      </c>
      <c r="CY119" s="60">
        <f ca="1">AVERAGE(OFFSET($CX$3,0,0,'Données projet'!$E$13+1,1))-AVERAGE(OFFSET($H$3,0,0,'Données projet'!$E$13+1,1))</f>
        <v>194.42056369374041</v>
      </c>
      <c r="CZ119" s="60">
        <f t="shared" si="96"/>
        <v>185.75045299455371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278.74703999999957</v>
      </c>
      <c r="DQ119" s="14">
        <f t="shared" si="97"/>
        <v>66.702153339553135</v>
      </c>
      <c r="DR119" s="22">
        <f t="shared" si="70"/>
        <v>601.65734506638762</v>
      </c>
      <c r="DS119" s="60">
        <f t="shared" si="71"/>
        <v>894.99067839972099</v>
      </c>
      <c r="DT119" s="60">
        <f ca="1">AVERAGE(OFFSET($DS$3,0,0,'Données projet'!$E$14+1,1))-AVERAGE(OFFSET($H$3,0,0,'Données projet'!$E$14+1,1))</f>
        <v>274.31056057602081</v>
      </c>
      <c r="DU119" s="60">
        <f t="shared" si="98"/>
        <v>163.41029152029387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5.6843418860808015E-14</v>
      </c>
      <c r="EK119" s="18">
        <f>EJ119*VLOOKUP('Données projet'!$B$15,Paramètres!$A$1:$I$89,3,0)*VLOOKUP('Données projet'!$B$15,Paramètres!$A$1:$I$89,5,0)</f>
        <v>3.813056537183002E-14</v>
      </c>
      <c r="EL119" s="14">
        <f t="shared" si="99"/>
        <v>6.4086286045526829E-13</v>
      </c>
      <c r="EM119" s="22">
        <f t="shared" si="73"/>
        <v>1.1825802166488628E-12</v>
      </c>
      <c r="EN119" s="60">
        <f t="shared" si="74"/>
        <v>293.33333333333451</v>
      </c>
      <c r="EO119" s="60">
        <f ca="1">AVERAGE(OFFSET($EN$3,0,0,'Données projet'!$E$15+1,1))-AVERAGE(OFFSET($H$3,0,0,'Données projet'!$E$15+1,1))</f>
        <v>120.18668518376586</v>
      </c>
      <c r="EP119" s="60">
        <f t="shared" si="100"/>
        <v>110.24821114898037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8">
        <f t="shared" si="56"/>
        <v>523.15981479287188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-6.2527760746888816E-13</v>
      </c>
      <c r="O120" s="14">
        <f>N120*VLOOKUP('Données projet'!$B$9,Paramètres!$A$1:$I$89,3,0)*VLOOKUP('Données projet'!$B$9,Paramètres!$A$1:$I$89,5,0)</f>
        <v>-2.9262992029543964E-13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106.50743833854523</v>
      </c>
      <c r="T120" s="60">
        <f t="shared" si="88"/>
        <v>47.606751325129608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0">
        <f t="shared" si="59"/>
        <v>864.09321134313223</v>
      </c>
      <c r="AN120" s="60">
        <f ca="1">AVERAGE(OFFSET($AM$3,0,0,'Données projet'!$E$10+1,1))-AVERAGE(OFFSET($H$3,0,0,'Données projet'!$E$10+1,1))</f>
        <v>247.65126267995316</v>
      </c>
      <c r="AO120" s="60">
        <f t="shared" si="90"/>
        <v>149.27472147904314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295.98659999999956</v>
      </c>
      <c r="BF120" s="14">
        <f t="shared" si="91"/>
        <v>70.334442310004661</v>
      </c>
      <c r="BG120" s="22">
        <f t="shared" si="61"/>
        <v>638.00914868992402</v>
      </c>
      <c r="BH120" s="60">
        <f t="shared" si="62"/>
        <v>931.34248202325739</v>
      </c>
      <c r="BI120" s="60">
        <f ca="1">AVERAGE(OFFSET($BH$3,0,0,'Données projet'!$E$11+1,1))-AVERAGE(OFFSET($H$3,0,0,'Données projet'!$E$11+1,1))</f>
        <v>294.2815419338562</v>
      </c>
      <c r="BJ120" s="60">
        <f t="shared" si="92"/>
        <v>173.99850582760712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-6.8212102632969618E-13</v>
      </c>
      <c r="BZ120" s="14">
        <f>BY120*VLOOKUP('Données projet'!$B$12,Paramètres!$A$1:$I$89,3,0)*VLOOKUP('Données projet'!$B$12,Paramètres!$A$1:$I$89,5,0)</f>
        <v>-5.8525984059087939E-13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317.48648551307656</v>
      </c>
      <c r="CE120" s="60">
        <f t="shared" si="94"/>
        <v>133.09277301479563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0">
        <f t="shared" si="68"/>
        <v>293.33333333333582</v>
      </c>
      <c r="CY120" s="60">
        <f ca="1">AVERAGE(OFFSET($CX$3,0,0,'Données projet'!$E$13+1,1))-AVERAGE(OFFSET($H$3,0,0,'Données projet'!$E$13+1,1))</f>
        <v>194.42056369374041</v>
      </c>
      <c r="CZ120" s="60">
        <f t="shared" si="96"/>
        <v>185.75045299455371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282.32567999999952</v>
      </c>
      <c r="DQ120" s="14">
        <f t="shared" si="97"/>
        <v>67.458255064229917</v>
      </c>
      <c r="DR120" s="22">
        <f t="shared" si="70"/>
        <v>609.20702023686624</v>
      </c>
      <c r="DS120" s="60">
        <f t="shared" si="71"/>
        <v>902.54035357019961</v>
      </c>
      <c r="DT120" s="60">
        <f ca="1">AVERAGE(OFFSET($DS$3,0,0,'Données projet'!$E$14+1,1))-AVERAGE(OFFSET($H$3,0,0,'Données projet'!$E$14+1,1))</f>
        <v>274.31056057602081</v>
      </c>
      <c r="DU120" s="60">
        <f t="shared" si="98"/>
        <v>163.41029152029387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5.6843418860808015E-14</v>
      </c>
      <c r="EK120" s="18">
        <f>EJ120*VLOOKUP('Données projet'!$B$15,Paramètres!$A$1:$I$89,3,0)*VLOOKUP('Données projet'!$B$15,Paramètres!$A$1:$I$89,5,0)</f>
        <v>3.813056537183002E-14</v>
      </c>
      <c r="EL120" s="14">
        <f t="shared" si="99"/>
        <v>6.4086286045526829E-13</v>
      </c>
      <c r="EM120" s="22">
        <f t="shared" si="73"/>
        <v>1.1825802166488628E-12</v>
      </c>
      <c r="EN120" s="60">
        <f t="shared" si="74"/>
        <v>293.33333333333451</v>
      </c>
      <c r="EO120" s="60">
        <f ca="1">AVERAGE(OFFSET($EN$3,0,0,'Données projet'!$E$15+1,1))-AVERAGE(OFFSET($H$3,0,0,'Données projet'!$E$15+1,1))</f>
        <v>120.18668518376586</v>
      </c>
      <c r="EP120" s="60">
        <f t="shared" si="100"/>
        <v>110.24821114898037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8">
        <f t="shared" si="56"/>
        <v>525.07558121698594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-6.2527760746888816E-13</v>
      </c>
      <c r="O121" s="14">
        <f>N121*VLOOKUP('Données projet'!$B$9,Paramètres!$A$1:$I$89,3,0)*VLOOKUP('Données projet'!$B$9,Paramètres!$A$1:$I$89,5,0)</f>
        <v>-2.9262992029543964E-13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106.50743833854523</v>
      </c>
      <c r="T121" s="60">
        <f t="shared" si="88"/>
        <v>47.606751325129608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0">
        <f t="shared" si="59"/>
        <v>871.16358065090617</v>
      </c>
      <c r="AN121" s="60">
        <f ca="1">AVERAGE(OFFSET($AM$3,0,0,'Données projet'!$E$10+1,1))-AVERAGE(OFFSET($H$3,0,0,'Données projet'!$E$10+1,1))</f>
        <v>247.65126267995316</v>
      </c>
      <c r="AO121" s="60">
        <f t="shared" si="90"/>
        <v>149.27472147904314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299.73839999999956</v>
      </c>
      <c r="BF121" s="14">
        <f t="shared" si="91"/>
        <v>71.121619283394352</v>
      </c>
      <c r="BG121" s="22">
        <f t="shared" si="61"/>
        <v>645.91453358524438</v>
      </c>
      <c r="BH121" s="60">
        <f t="shared" si="62"/>
        <v>939.24786691857776</v>
      </c>
      <c r="BI121" s="60">
        <f ca="1">AVERAGE(OFFSET($BH$3,0,0,'Données projet'!$E$11+1,1))-AVERAGE(OFFSET($H$3,0,0,'Données projet'!$E$11+1,1))</f>
        <v>294.2815419338562</v>
      </c>
      <c r="BJ121" s="60">
        <f t="shared" si="92"/>
        <v>173.99850582760712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-6.8212102632969618E-13</v>
      </c>
      <c r="BZ121" s="14">
        <f>BY121*VLOOKUP('Données projet'!$B$12,Paramètres!$A$1:$I$89,3,0)*VLOOKUP('Données projet'!$B$12,Paramètres!$A$1:$I$89,5,0)</f>
        <v>-5.8525984059087939E-13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317.48648551307656</v>
      </c>
      <c r="CE121" s="60">
        <f t="shared" si="94"/>
        <v>133.09277301479563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0">
        <f t="shared" si="68"/>
        <v>293.33333333333582</v>
      </c>
      <c r="CY121" s="60">
        <f ca="1">AVERAGE(OFFSET($CX$3,0,0,'Données projet'!$E$13+1,1))-AVERAGE(OFFSET($H$3,0,0,'Données projet'!$E$13+1,1))</f>
        <v>194.42056369374041</v>
      </c>
      <c r="CZ121" s="60">
        <f t="shared" si="96"/>
        <v>185.75045299455371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285.90431999999953</v>
      </c>
      <c r="DQ121" s="14">
        <f t="shared" si="97"/>
        <v>68.213241999614453</v>
      </c>
      <c r="DR121" s="22">
        <f t="shared" si="70"/>
        <v>616.75475381599438</v>
      </c>
      <c r="DS121" s="60">
        <f t="shared" si="71"/>
        <v>910.08808714932775</v>
      </c>
      <c r="DT121" s="60">
        <f ca="1">AVERAGE(OFFSET($DS$3,0,0,'Données projet'!$E$14+1,1))-AVERAGE(OFFSET($H$3,0,0,'Données projet'!$E$14+1,1))</f>
        <v>274.31056057602081</v>
      </c>
      <c r="DU121" s="60">
        <f t="shared" si="98"/>
        <v>163.41029152029387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5.6843418860808015E-14</v>
      </c>
      <c r="EK121" s="18">
        <f>EJ121*VLOOKUP('Données projet'!$B$15,Paramètres!$A$1:$I$89,3,0)*VLOOKUP('Données projet'!$B$15,Paramètres!$A$1:$I$89,5,0)</f>
        <v>3.813056537183002E-14</v>
      </c>
      <c r="EL121" s="14">
        <f t="shared" si="99"/>
        <v>6.4086286045526829E-13</v>
      </c>
      <c r="EM121" s="22">
        <f t="shared" si="73"/>
        <v>1.1825802166488628E-12</v>
      </c>
      <c r="EN121" s="60">
        <f t="shared" si="74"/>
        <v>293.33333333333451</v>
      </c>
      <c r="EO121" s="60">
        <f ca="1">AVERAGE(OFFSET($EN$3,0,0,'Données projet'!$E$15+1,1))-AVERAGE(OFFSET($H$3,0,0,'Données projet'!$E$15+1,1))</f>
        <v>120.18668518376586</v>
      </c>
      <c r="EP121" s="60">
        <f t="shared" si="100"/>
        <v>110.24821114898037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8">
        <f t="shared" si="56"/>
        <v>526.9909857159372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-6.2527760746888816E-13</v>
      </c>
      <c r="O122" s="14">
        <f>N122*VLOOKUP('Données projet'!$B$9,Paramètres!$A$1:$I$89,3,0)*VLOOKUP('Données projet'!$B$9,Paramètres!$A$1:$I$89,5,0)</f>
        <v>-2.9262992029543964E-13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106.50743833854523</v>
      </c>
      <c r="T122" s="60">
        <f t="shared" si="88"/>
        <v>47.606751325129608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0">
        <f t="shared" si="59"/>
        <v>878.23214503815643</v>
      </c>
      <c r="AN122" s="60">
        <f ca="1">AVERAGE(OFFSET($AM$3,0,0,'Données projet'!$E$10+1,1))-AVERAGE(OFFSET($H$3,0,0,'Données projet'!$E$10+1,1))</f>
        <v>247.65126267995316</v>
      </c>
      <c r="AO122" s="60">
        <f t="shared" si="90"/>
        <v>149.27472147904314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303.4901999999995</v>
      </c>
      <c r="BF122" s="14">
        <f t="shared" si="91"/>
        <v>71.907650167874138</v>
      </c>
      <c r="BG122" s="22">
        <f t="shared" si="61"/>
        <v>653.81792237571324</v>
      </c>
      <c r="BH122" s="60">
        <f t="shared" si="62"/>
        <v>947.15125570904661</v>
      </c>
      <c r="BI122" s="60">
        <f ca="1">AVERAGE(OFFSET($BH$3,0,0,'Données projet'!$E$11+1,1))-AVERAGE(OFFSET($H$3,0,0,'Données projet'!$E$11+1,1))</f>
        <v>294.2815419338562</v>
      </c>
      <c r="BJ122" s="60">
        <f t="shared" si="92"/>
        <v>173.99850582760712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-6.8212102632969618E-13</v>
      </c>
      <c r="BZ122" s="14">
        <f>BY122*VLOOKUP('Données projet'!$B$12,Paramètres!$A$1:$I$89,3,0)*VLOOKUP('Données projet'!$B$12,Paramètres!$A$1:$I$89,5,0)</f>
        <v>-5.8525984059087939E-13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317.48648551307656</v>
      </c>
      <c r="CE122" s="60">
        <f t="shared" si="94"/>
        <v>133.09277301479563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0">
        <f t="shared" si="68"/>
        <v>293.33333333333582</v>
      </c>
      <c r="CY122" s="60">
        <f ca="1">AVERAGE(OFFSET($CX$3,0,0,'Données projet'!$E$13+1,1))-AVERAGE(OFFSET($H$3,0,0,'Données projet'!$E$13+1,1))</f>
        <v>194.42056369374041</v>
      </c>
      <c r="CZ122" s="60">
        <f t="shared" si="96"/>
        <v>185.75045299455371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289.48295999999954</v>
      </c>
      <c r="DQ122" s="14">
        <f t="shared" si="97"/>
        <v>68.967129713117401</v>
      </c>
      <c r="DR122" s="22">
        <f t="shared" si="70"/>
        <v>624.300572917012</v>
      </c>
      <c r="DS122" s="60">
        <f t="shared" si="71"/>
        <v>917.63390625034526</v>
      </c>
      <c r="DT122" s="60">
        <f ca="1">AVERAGE(OFFSET($DS$3,0,0,'Données projet'!$E$14+1,1))-AVERAGE(OFFSET($H$3,0,0,'Données projet'!$E$14+1,1))</f>
        <v>274.31056057602081</v>
      </c>
      <c r="DU122" s="60">
        <f t="shared" si="98"/>
        <v>163.41029152029387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5.6843418860808015E-14</v>
      </c>
      <c r="EK122" s="18">
        <f>EJ122*VLOOKUP('Données projet'!$B$15,Paramètres!$A$1:$I$89,3,0)*VLOOKUP('Données projet'!$B$15,Paramètres!$A$1:$I$89,5,0)</f>
        <v>3.813056537183002E-14</v>
      </c>
      <c r="EL122" s="14">
        <f t="shared" si="99"/>
        <v>6.4086286045526829E-13</v>
      </c>
      <c r="EM122" s="22">
        <f t="shared" si="73"/>
        <v>1.1825802166488628E-12</v>
      </c>
      <c r="EN122" s="60">
        <f t="shared" si="74"/>
        <v>293.33333333333451</v>
      </c>
      <c r="EO122" s="60">
        <f ca="1">AVERAGE(OFFSET($EN$3,0,0,'Données projet'!$E$15+1,1))-AVERAGE(OFFSET($H$3,0,0,'Données projet'!$E$15+1,1))</f>
        <v>120.18668518376586</v>
      </c>
      <c r="EP122" s="60">
        <f t="shared" si="100"/>
        <v>110.24821114898037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8">
        <f t="shared" si="56"/>
        <v>528.90603168355119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-6.2527760746888816E-13</v>
      </c>
      <c r="O123" s="14">
        <f>N123*VLOOKUP('Données projet'!$B$9,Paramètres!$A$1:$I$89,3,0)*VLOOKUP('Données projet'!$B$9,Paramètres!$A$1:$I$89,5,0)</f>
        <v>-2.9262992029543964E-13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106.50743833854523</v>
      </c>
      <c r="T123" s="60">
        <f t="shared" si="88"/>
        <v>47.606751325129608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0">
        <f t="shared" si="59"/>
        <v>885.29892939819752</v>
      </c>
      <c r="AN123" s="60">
        <f ca="1">AVERAGE(OFFSET($AM$3,0,0,'Données projet'!$E$10+1,1))-AVERAGE(OFFSET($H$3,0,0,'Données projet'!$E$10+1,1))</f>
        <v>247.65126267995316</v>
      </c>
      <c r="AO123" s="60">
        <f t="shared" si="90"/>
        <v>149.27472147904314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307.24199999999951</v>
      </c>
      <c r="BF123" s="14">
        <f t="shared" si="91"/>
        <v>72.692550770207717</v>
      </c>
      <c r="BG123" s="22">
        <f t="shared" si="61"/>
        <v>661.71934259144427</v>
      </c>
      <c r="BH123" s="60">
        <f t="shared" si="62"/>
        <v>955.05267592477753</v>
      </c>
      <c r="BI123" s="60">
        <f ca="1">AVERAGE(OFFSET($BH$3,0,0,'Données projet'!$E$11+1,1))-AVERAGE(OFFSET($H$3,0,0,'Données projet'!$E$11+1,1))</f>
        <v>294.2815419338562</v>
      </c>
      <c r="BJ123" s="60">
        <f t="shared" si="92"/>
        <v>173.99850582760712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-6.8212102632969618E-13</v>
      </c>
      <c r="BZ123" s="14">
        <f>BY123*VLOOKUP('Données projet'!$B$12,Paramètres!$A$1:$I$89,3,0)*VLOOKUP('Données projet'!$B$12,Paramètres!$A$1:$I$89,5,0)</f>
        <v>-5.8525984059087939E-13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317.48648551307656</v>
      </c>
      <c r="CE123" s="60">
        <f t="shared" si="94"/>
        <v>133.09277301479563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0">
        <f t="shared" si="68"/>
        <v>293.33333333333582</v>
      </c>
      <c r="CY123" s="60">
        <f ca="1">AVERAGE(OFFSET($CX$3,0,0,'Données projet'!$E$13+1,1))-AVERAGE(OFFSET($H$3,0,0,'Données projet'!$E$13+1,1))</f>
        <v>194.42056369374041</v>
      </c>
      <c r="CZ123" s="60">
        <f t="shared" si="96"/>
        <v>185.75045299455371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293.06159999999949</v>
      </c>
      <c r="DQ123" s="14">
        <f t="shared" si="97"/>
        <v>69.719933365116432</v>
      </c>
      <c r="DR123" s="22">
        <f t="shared" si="70"/>
        <v>631.84450394424357</v>
      </c>
      <c r="DS123" s="60">
        <f t="shared" si="71"/>
        <v>925.17783727757683</v>
      </c>
      <c r="DT123" s="60">
        <f ca="1">AVERAGE(OFFSET($DS$3,0,0,'Données projet'!$E$14+1,1))-AVERAGE(OFFSET($H$3,0,0,'Données projet'!$E$14+1,1))</f>
        <v>274.31056057602081</v>
      </c>
      <c r="DU123" s="60">
        <f t="shared" si="98"/>
        <v>163.41029152029387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5.6843418860808015E-14</v>
      </c>
      <c r="EK123" s="18">
        <f>EJ123*VLOOKUP('Données projet'!$B$15,Paramètres!$A$1:$I$89,3,0)*VLOOKUP('Données projet'!$B$15,Paramètres!$A$1:$I$89,5,0)</f>
        <v>3.813056537183002E-14</v>
      </c>
      <c r="EL123" s="14">
        <f t="shared" si="99"/>
        <v>6.4086286045526829E-13</v>
      </c>
      <c r="EM123" s="22">
        <f t="shared" si="73"/>
        <v>1.1825802166488628E-12</v>
      </c>
      <c r="EN123" s="60">
        <f t="shared" si="74"/>
        <v>293.33333333333451</v>
      </c>
      <c r="EO123" s="60">
        <f ca="1">AVERAGE(OFFSET($EN$3,0,0,'Données projet'!$E$15+1,1))-AVERAGE(OFFSET($H$3,0,0,'Données projet'!$E$15+1,1))</f>
        <v>120.18668518376586</v>
      </c>
      <c r="EP123" s="60">
        <f t="shared" si="100"/>
        <v>110.24821114898037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8">
        <f t="shared" si="56"/>
        <v>530.8207224538246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-6.2527760746888816E-13</v>
      </c>
      <c r="O124" s="14">
        <f>N124*VLOOKUP('Données projet'!$B$9,Paramètres!$A$1:$I$89,3,0)*VLOOKUP('Données projet'!$B$9,Paramètres!$A$1:$I$89,5,0)</f>
        <v>-2.9262992029543964E-13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106.50743833854523</v>
      </c>
      <c r="T124" s="60">
        <f t="shared" si="88"/>
        <v>47.606751325129608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0">
        <f t="shared" si="59"/>
        <v>824.50283387733225</v>
      </c>
      <c r="AN124" s="60">
        <f ca="1">AVERAGE(OFFSET($AM$3,0,0,'Données projet'!$E$10+1,1))-AVERAGE(OFFSET($H$3,0,0,'Données projet'!$E$10+1,1))</f>
        <v>247.65126267995316</v>
      </c>
      <c r="AO124" s="60">
        <f t="shared" si="90"/>
        <v>149.27472147904314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274.9967999999995</v>
      </c>
      <c r="BF124" s="14">
        <f t="shared" si="91"/>
        <v>65.908581953881495</v>
      </c>
      <c r="BG124" s="22">
        <f t="shared" si="61"/>
        <v>593.74354023634271</v>
      </c>
      <c r="BH124" s="60">
        <f t="shared" si="62"/>
        <v>887.07687356967608</v>
      </c>
      <c r="BI124" s="60">
        <f ca="1">AVERAGE(OFFSET($BH$3,0,0,'Données projet'!$E$11+1,1))-AVERAGE(OFFSET($H$3,0,0,'Données projet'!$E$11+1,1))</f>
        <v>294.2815419338562</v>
      </c>
      <c r="BJ124" s="60">
        <f t="shared" si="92"/>
        <v>173.99850582760712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-6.8212102632969618E-13</v>
      </c>
      <c r="BZ124" s="14">
        <f>BY124*VLOOKUP('Données projet'!$B$12,Paramètres!$A$1:$I$89,3,0)*VLOOKUP('Données projet'!$B$12,Paramètres!$A$1:$I$89,5,0)</f>
        <v>-5.8525984059087939E-13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317.48648551307656</v>
      </c>
      <c r="CE124" s="60">
        <f t="shared" si="94"/>
        <v>133.09277301479563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0">
        <f t="shared" si="68"/>
        <v>293.33333333333582</v>
      </c>
      <c r="CY124" s="60">
        <f ca="1">AVERAGE(OFFSET($CX$3,0,0,'Données projet'!$E$13+1,1))-AVERAGE(OFFSET($H$3,0,0,'Données projet'!$E$13+1,1))</f>
        <v>194.42056369374041</v>
      </c>
      <c r="CZ124" s="60">
        <f t="shared" si="96"/>
        <v>185.75045299455371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262.30463999999949</v>
      </c>
      <c r="DQ124" s="14">
        <f t="shared" si="97"/>
        <v>63.213381472055985</v>
      </c>
      <c r="DR124" s="22">
        <f t="shared" si="70"/>
        <v>566.94388739716328</v>
      </c>
      <c r="DS124" s="60">
        <f t="shared" si="71"/>
        <v>860.27722073049654</v>
      </c>
      <c r="DT124" s="60">
        <f ca="1">AVERAGE(OFFSET($DS$3,0,0,'Données projet'!$E$14+1,1))-AVERAGE(OFFSET($H$3,0,0,'Données projet'!$E$14+1,1))</f>
        <v>274.31056057602081</v>
      </c>
      <c r="DU124" s="60">
        <f t="shared" si="98"/>
        <v>163.41029152029387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3.813056537183002E-14</v>
      </c>
      <c r="EL124" s="14">
        <f t="shared" si="99"/>
        <v>6.4086286045526829E-13</v>
      </c>
      <c r="EM124" s="22">
        <f t="shared" si="73"/>
        <v>1.1825802166488628E-12</v>
      </c>
      <c r="EN124" s="60">
        <f t="shared" si="74"/>
        <v>293.33333333333451</v>
      </c>
      <c r="EO124" s="60">
        <f ca="1">AVERAGE(OFFSET($EN$3,0,0,'Données projet'!$E$15+1,1))-AVERAGE(OFFSET($H$3,0,0,'Données projet'!$E$15+1,1))</f>
        <v>120.18668518376586</v>
      </c>
      <c r="EP124" s="60">
        <f t="shared" si="100"/>
        <v>110.24821114898037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8">
        <f t="shared" si="56"/>
        <v>532.73506130246597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-6.2527760746888816E-13</v>
      </c>
      <c r="O125" s="14">
        <f>N125*VLOOKUP('Données projet'!$B$9,Paramètres!$A$1:$I$89,3,0)*VLOOKUP('Données projet'!$B$9,Paramètres!$A$1:$I$89,5,0)</f>
        <v>-2.9262992029543964E-13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106.50743833854523</v>
      </c>
      <c r="T125" s="60">
        <f t="shared" si="88"/>
        <v>47.606751325129608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0">
        <f t="shared" si="59"/>
        <v>830.62702157178478</v>
      </c>
      <c r="AN125" s="60">
        <f ca="1">AVERAGE(OFFSET($AM$3,0,0,'Données projet'!$E$10+1,1))-AVERAGE(OFFSET($H$3,0,0,'Données projet'!$E$10+1,1))</f>
        <v>247.65126267995316</v>
      </c>
      <c r="AO125" s="60">
        <f t="shared" si="90"/>
        <v>149.27472147904314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278.24159999999949</v>
      </c>
      <c r="BF125" s="14">
        <f t="shared" si="91"/>
        <v>66.595272276139681</v>
      </c>
      <c r="BG125" s="22">
        <f t="shared" si="61"/>
        <v>600.59088588094244</v>
      </c>
      <c r="BH125" s="60">
        <f t="shared" si="62"/>
        <v>893.92421921427581</v>
      </c>
      <c r="BI125" s="60">
        <f ca="1">AVERAGE(OFFSET($BH$3,0,0,'Données projet'!$E$11+1,1))-AVERAGE(OFFSET($H$3,0,0,'Données projet'!$E$11+1,1))</f>
        <v>294.2815419338562</v>
      </c>
      <c r="BJ125" s="60">
        <f t="shared" si="92"/>
        <v>173.99850582760712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-6.8212102632969618E-13</v>
      </c>
      <c r="BZ125" s="14">
        <f>BY125*VLOOKUP('Données projet'!$B$12,Paramètres!$A$1:$I$89,3,0)*VLOOKUP('Données projet'!$B$12,Paramètres!$A$1:$I$89,5,0)</f>
        <v>-5.8525984059087939E-13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317.48648551307656</v>
      </c>
      <c r="CE125" s="60">
        <f t="shared" si="94"/>
        <v>133.09277301479563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0">
        <f t="shared" si="68"/>
        <v>293.33333333333582</v>
      </c>
      <c r="CY125" s="60">
        <f ca="1">AVERAGE(OFFSET($CX$3,0,0,'Données projet'!$E$13+1,1))-AVERAGE(OFFSET($H$3,0,0,'Données projet'!$E$13+1,1))</f>
        <v>194.42056369374041</v>
      </c>
      <c r="CZ125" s="60">
        <f t="shared" si="96"/>
        <v>185.75045299455371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265.39967999999948</v>
      </c>
      <c r="DQ125" s="14">
        <f t="shared" si="97"/>
        <v>63.87199095821434</v>
      </c>
      <c r="DR125" s="22">
        <f t="shared" si="70"/>
        <v>573.48149358555565</v>
      </c>
      <c r="DS125" s="60">
        <f t="shared" si="71"/>
        <v>866.81482691888891</v>
      </c>
      <c r="DT125" s="60">
        <f ca="1">AVERAGE(OFFSET($DS$3,0,0,'Données projet'!$E$14+1,1))-AVERAGE(OFFSET($H$3,0,0,'Données projet'!$E$14+1,1))</f>
        <v>274.31056057602081</v>
      </c>
      <c r="DU125" s="60">
        <f t="shared" si="98"/>
        <v>163.41029152029387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3.813056537183002E-14</v>
      </c>
      <c r="EL125" s="14">
        <f t="shared" si="99"/>
        <v>6.4086286045526829E-13</v>
      </c>
      <c r="EM125" s="22">
        <f t="shared" si="73"/>
        <v>1.1825802166488628E-12</v>
      </c>
      <c r="EN125" s="60">
        <f t="shared" si="74"/>
        <v>293.33333333333451</v>
      </c>
      <c r="EO125" s="60">
        <f ca="1">AVERAGE(OFFSET($EN$3,0,0,'Données projet'!$E$15+1,1))-AVERAGE(OFFSET($H$3,0,0,'Données projet'!$E$15+1,1))</f>
        <v>120.18668518376586</v>
      </c>
      <c r="EP125" s="60">
        <f t="shared" si="100"/>
        <v>110.24821114898037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8">
        <f t="shared" si="56"/>
        <v>534.64905144838292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-6.2527760746888816E-13</v>
      </c>
      <c r="O126" s="14">
        <f>N126*VLOOKUP('Données projet'!$B$9,Paramètres!$A$1:$I$89,3,0)*VLOOKUP('Données projet'!$B$9,Paramètres!$A$1:$I$89,5,0)</f>
        <v>-2.9262992029543964E-13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106.50743833854523</v>
      </c>
      <c r="T126" s="60">
        <f t="shared" si="88"/>
        <v>47.606751325129608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0">
        <f t="shared" si="59"/>
        <v>836.74974224894845</v>
      </c>
      <c r="AN126" s="60">
        <f ca="1">AVERAGE(OFFSET($AM$3,0,0,'Données projet'!$E$10+1,1))-AVERAGE(OFFSET($H$3,0,0,'Données projet'!$E$10+1,1))</f>
        <v>247.65126267995316</v>
      </c>
      <c r="AO126" s="60">
        <f t="shared" si="90"/>
        <v>149.27472147904314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281.48639999999949</v>
      </c>
      <c r="BF126" s="14">
        <f t="shared" si="91"/>
        <v>67.281031071373235</v>
      </c>
      <c r="BG126" s="22">
        <f t="shared" si="61"/>
        <v>607.43660911597419</v>
      </c>
      <c r="BH126" s="60">
        <f t="shared" si="62"/>
        <v>900.76994244930756</v>
      </c>
      <c r="BI126" s="60">
        <f ca="1">AVERAGE(OFFSET($BH$3,0,0,'Données projet'!$E$11+1,1))-AVERAGE(OFFSET($H$3,0,0,'Données projet'!$E$11+1,1))</f>
        <v>294.2815419338562</v>
      </c>
      <c r="BJ126" s="60">
        <f t="shared" si="92"/>
        <v>173.99850582760712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-6.8212102632969618E-13</v>
      </c>
      <c r="BZ126" s="14">
        <f>BY126*VLOOKUP('Données projet'!$B$12,Paramètres!$A$1:$I$89,3,0)*VLOOKUP('Données projet'!$B$12,Paramètres!$A$1:$I$89,5,0)</f>
        <v>-5.8525984059087939E-13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317.48648551307656</v>
      </c>
      <c r="CE126" s="60">
        <f t="shared" si="94"/>
        <v>133.09277301479563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0">
        <f t="shared" si="68"/>
        <v>293.33333333333582</v>
      </c>
      <c r="CY126" s="60">
        <f ca="1">AVERAGE(OFFSET($CX$3,0,0,'Données projet'!$E$13+1,1))-AVERAGE(OFFSET($H$3,0,0,'Données projet'!$E$13+1,1))</f>
        <v>194.42056369374041</v>
      </c>
      <c r="CZ126" s="60">
        <f t="shared" si="96"/>
        <v>185.75045299455371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268.49471999999946</v>
      </c>
      <c r="DQ126" s="14">
        <f t="shared" si="97"/>
        <v>64.529707010294615</v>
      </c>
      <c r="DR126" s="22">
        <f t="shared" si="70"/>
        <v>580.01754370959543</v>
      </c>
      <c r="DS126" s="60">
        <f t="shared" si="71"/>
        <v>873.35087704292869</v>
      </c>
      <c r="DT126" s="60">
        <f ca="1">AVERAGE(OFFSET($DS$3,0,0,'Données projet'!$E$14+1,1))-AVERAGE(OFFSET($H$3,0,0,'Données projet'!$E$14+1,1))</f>
        <v>274.31056057602081</v>
      </c>
      <c r="DU126" s="60">
        <f t="shared" si="98"/>
        <v>163.41029152029387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3.813056537183002E-14</v>
      </c>
      <c r="EL126" s="14">
        <f t="shared" si="99"/>
        <v>6.4086286045526829E-13</v>
      </c>
      <c r="EM126" s="22">
        <f t="shared" si="73"/>
        <v>1.1825802166488628E-12</v>
      </c>
      <c r="EN126" s="60">
        <f t="shared" si="74"/>
        <v>293.33333333333451</v>
      </c>
      <c r="EO126" s="60">
        <f ca="1">AVERAGE(OFFSET($EN$3,0,0,'Données projet'!$E$15+1,1))-AVERAGE(OFFSET($H$3,0,0,'Données projet'!$E$15+1,1))</f>
        <v>120.18668518376586</v>
      </c>
      <c r="EP126" s="60">
        <f t="shared" si="100"/>
        <v>110.24821114898037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8">
        <f t="shared" si="56"/>
        <v>536.56269605512193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-6.2527760746888816E-13</v>
      </c>
      <c r="O127" s="14">
        <f>N127*VLOOKUP('Données projet'!$B$9,Paramètres!$A$1:$I$89,3,0)*VLOOKUP('Données projet'!$B$9,Paramètres!$A$1:$I$89,5,0)</f>
        <v>-2.9262992029543964E-13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106.50743833854523</v>
      </c>
      <c r="T127" s="60">
        <f t="shared" si="88"/>
        <v>47.606751325129608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0">
        <f t="shared" si="59"/>
        <v>842.87101477628971</v>
      </c>
      <c r="AN127" s="60">
        <f ca="1">AVERAGE(OFFSET($AM$3,0,0,'Données projet'!$E$10+1,1))-AVERAGE(OFFSET($H$3,0,0,'Données projet'!$E$10+1,1))</f>
        <v>247.65126267995316</v>
      </c>
      <c r="AO127" s="60">
        <f t="shared" si="90"/>
        <v>149.27472147904314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284.73119999999943</v>
      </c>
      <c r="BF127" s="14">
        <f t="shared" si="91"/>
        <v>67.965870320050826</v>
      </c>
      <c r="BG127" s="22">
        <f t="shared" si="61"/>
        <v>614.28073080742081</v>
      </c>
      <c r="BH127" s="60">
        <f t="shared" si="62"/>
        <v>907.61406414075418</v>
      </c>
      <c r="BI127" s="60">
        <f ca="1">AVERAGE(OFFSET($BH$3,0,0,'Données projet'!$E$11+1,1))-AVERAGE(OFFSET($H$3,0,0,'Données projet'!$E$11+1,1))</f>
        <v>294.2815419338562</v>
      </c>
      <c r="BJ127" s="60">
        <f t="shared" si="92"/>
        <v>173.99850582760712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-6.8212102632969618E-13</v>
      </c>
      <c r="BZ127" s="14">
        <f>BY127*VLOOKUP('Données projet'!$B$12,Paramètres!$A$1:$I$89,3,0)*VLOOKUP('Données projet'!$B$12,Paramètres!$A$1:$I$89,5,0)</f>
        <v>-5.8525984059087939E-13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317.48648551307656</v>
      </c>
      <c r="CE127" s="60">
        <f t="shared" si="94"/>
        <v>133.09277301479563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0">
        <f t="shared" si="68"/>
        <v>293.33333333333582</v>
      </c>
      <c r="CY127" s="60">
        <f ca="1">AVERAGE(OFFSET($CX$3,0,0,'Données projet'!$E$13+1,1))-AVERAGE(OFFSET($H$3,0,0,'Données projet'!$E$13+1,1))</f>
        <v>194.42056369374041</v>
      </c>
      <c r="CZ127" s="60">
        <f t="shared" si="96"/>
        <v>185.75045299455371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271.5897599999995</v>
      </c>
      <c r="DQ127" s="14">
        <f t="shared" si="97"/>
        <v>65.186541118848012</v>
      </c>
      <c r="DR127" s="22">
        <f t="shared" si="70"/>
        <v>586.55205778199274</v>
      </c>
      <c r="DS127" s="60">
        <f t="shared" si="71"/>
        <v>879.885391115326</v>
      </c>
      <c r="DT127" s="60">
        <f ca="1">AVERAGE(OFFSET($DS$3,0,0,'Données projet'!$E$14+1,1))-AVERAGE(OFFSET($H$3,0,0,'Données projet'!$E$14+1,1))</f>
        <v>274.31056057602081</v>
      </c>
      <c r="DU127" s="60">
        <f t="shared" si="98"/>
        <v>163.41029152029387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3.813056537183002E-14</v>
      </c>
      <c r="EL127" s="14">
        <f t="shared" si="99"/>
        <v>6.4086286045526829E-13</v>
      </c>
      <c r="EM127" s="22">
        <f t="shared" si="73"/>
        <v>1.1825802166488628E-12</v>
      </c>
      <c r="EN127" s="60">
        <f t="shared" si="74"/>
        <v>293.33333333333451</v>
      </c>
      <c r="EO127" s="60">
        <f ca="1">AVERAGE(OFFSET($EN$3,0,0,'Données projet'!$E$15+1,1))-AVERAGE(OFFSET($H$3,0,0,'Données projet'!$E$15+1,1))</f>
        <v>120.18668518376586</v>
      </c>
      <c r="EP127" s="60">
        <f t="shared" si="100"/>
        <v>110.24821114898037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8">
        <f t="shared" si="56"/>
        <v>538.47599823225801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-6.2527760746888816E-13</v>
      </c>
      <c r="O128" s="14">
        <f>N128*VLOOKUP('Données projet'!$B$9,Paramètres!$A$1:$I$89,3,0)*VLOOKUP('Données projet'!$B$9,Paramètres!$A$1:$I$89,5,0)</f>
        <v>-2.9262992029543964E-13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106.50743833854523</v>
      </c>
      <c r="T128" s="60">
        <f t="shared" si="88"/>
        <v>47.606751325129608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0">
        <f t="shared" si="59"/>
        <v>848.99085756649174</v>
      </c>
      <c r="AN128" s="60">
        <f ca="1">AVERAGE(OFFSET($AM$3,0,0,'Données projet'!$E$10+1,1))-AVERAGE(OFFSET($H$3,0,0,'Données projet'!$E$10+1,1))</f>
        <v>247.65126267995316</v>
      </c>
      <c r="AO128" s="60">
        <f t="shared" si="90"/>
        <v>149.27472147904314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287.97599999999943</v>
      </c>
      <c r="BF128" s="14">
        <f t="shared" si="91"/>
        <v>68.649801713863027</v>
      </c>
      <c r="BG128" s="22">
        <f t="shared" si="61"/>
        <v>621.12327131831046</v>
      </c>
      <c r="BH128" s="60">
        <f t="shared" si="62"/>
        <v>914.45660465164383</v>
      </c>
      <c r="BI128" s="60">
        <f ca="1">AVERAGE(OFFSET($BH$3,0,0,'Données projet'!$E$11+1,1))-AVERAGE(OFFSET($H$3,0,0,'Données projet'!$E$11+1,1))</f>
        <v>294.2815419338562</v>
      </c>
      <c r="BJ128" s="60">
        <f t="shared" si="92"/>
        <v>173.99850582760712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-6.8212102632969618E-13</v>
      </c>
      <c r="BZ128" s="14">
        <f>BY128*VLOOKUP('Données projet'!$B$12,Paramètres!$A$1:$I$89,3,0)*VLOOKUP('Données projet'!$B$12,Paramètres!$A$1:$I$89,5,0)</f>
        <v>-5.8525984059087939E-13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317.48648551307656</v>
      </c>
      <c r="CE128" s="60">
        <f t="shared" si="94"/>
        <v>133.09277301479563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0">
        <f t="shared" si="68"/>
        <v>293.33333333333582</v>
      </c>
      <c r="CY128" s="60">
        <f ca="1">AVERAGE(OFFSET($CX$3,0,0,'Données projet'!$E$13+1,1))-AVERAGE(OFFSET($H$3,0,0,'Données projet'!$E$13+1,1))</f>
        <v>194.42056369374041</v>
      </c>
      <c r="CZ128" s="60">
        <f t="shared" si="96"/>
        <v>185.75045299455371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274.68479999999943</v>
      </c>
      <c r="DQ128" s="14">
        <f t="shared" si="97"/>
        <v>65.842504497456545</v>
      </c>
      <c r="DR128" s="22">
        <f t="shared" si="70"/>
        <v>593.08505533306914</v>
      </c>
      <c r="DS128" s="60">
        <f t="shared" si="71"/>
        <v>886.41838866640251</v>
      </c>
      <c r="DT128" s="60">
        <f ca="1">AVERAGE(OFFSET($DS$3,0,0,'Données projet'!$E$14+1,1))-AVERAGE(OFFSET($H$3,0,0,'Données projet'!$E$14+1,1))</f>
        <v>274.31056057602081</v>
      </c>
      <c r="DU128" s="60">
        <f t="shared" si="98"/>
        <v>163.41029152029387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3.813056537183002E-14</v>
      </c>
      <c r="EL128" s="14">
        <f t="shared" si="99"/>
        <v>6.4086286045526829E-13</v>
      </c>
      <c r="EM128" s="22">
        <f t="shared" si="73"/>
        <v>1.1825802166488628E-12</v>
      </c>
      <c r="EN128" s="60">
        <f t="shared" si="74"/>
        <v>293.33333333333451</v>
      </c>
      <c r="EO128" s="60">
        <f ca="1">AVERAGE(OFFSET($EN$3,0,0,'Données projet'!$E$15+1,1))-AVERAGE(OFFSET($H$3,0,0,'Données projet'!$E$15+1,1))</f>
        <v>120.18668518376586</v>
      </c>
      <c r="EP128" s="60">
        <f t="shared" si="100"/>
        <v>110.24821114898037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8">
        <f t="shared" si="56"/>
        <v>540.38896103674051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-6.2527760746888816E-13</v>
      </c>
      <c r="O129" s="14">
        <f>N129*VLOOKUP('Données projet'!$B$9,Paramètres!$A$1:$I$89,3,0)*VLOOKUP('Données projet'!$B$9,Paramètres!$A$1:$I$89,5,0)</f>
        <v>-2.9262992029543964E-13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106.50743833854523</v>
      </c>
      <c r="T129" s="60">
        <f t="shared" si="88"/>
        <v>47.606751325129608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0">
        <f t="shared" si="59"/>
        <v>855.10928859341493</v>
      </c>
      <c r="AN129" s="60">
        <f ca="1">AVERAGE(OFFSET($AM$3,0,0,'Données projet'!$E$10+1,1))-AVERAGE(OFFSET($H$3,0,0,'Données projet'!$E$10+1,1))</f>
        <v>247.65126267995316</v>
      </c>
      <c r="AO129" s="60">
        <f t="shared" si="90"/>
        <v>149.27472147904314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291.22079999999943</v>
      </c>
      <c r="BF129" s="14">
        <f t="shared" si="91"/>
        <v>69.33283666585649</v>
      </c>
      <c r="BG129" s="22">
        <f t="shared" si="61"/>
        <v>627.96425052636573</v>
      </c>
      <c r="BH129" s="60">
        <f t="shared" si="62"/>
        <v>921.29758385969899</v>
      </c>
      <c r="BI129" s="60">
        <f ca="1">AVERAGE(OFFSET($BH$3,0,0,'Données projet'!$E$11+1,1))-AVERAGE(OFFSET($H$3,0,0,'Données projet'!$E$11+1,1))</f>
        <v>294.2815419338562</v>
      </c>
      <c r="BJ129" s="60">
        <f t="shared" si="92"/>
        <v>173.99850582760712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-6.8212102632969618E-13</v>
      </c>
      <c r="BZ129" s="14">
        <f>BY129*VLOOKUP('Données projet'!$B$12,Paramètres!$A$1:$I$89,3,0)*VLOOKUP('Données projet'!$B$12,Paramètres!$A$1:$I$89,5,0)</f>
        <v>-5.8525984059087939E-13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317.48648551307656</v>
      </c>
      <c r="CE129" s="60">
        <f t="shared" si="94"/>
        <v>133.09277301479563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0">
        <f t="shared" si="68"/>
        <v>293.33333333333582</v>
      </c>
      <c r="CY129" s="60">
        <f ca="1">AVERAGE(OFFSET($CX$3,0,0,'Données projet'!$E$13+1,1))-AVERAGE(OFFSET($H$3,0,0,'Données projet'!$E$13+1,1))</f>
        <v>194.42056369374041</v>
      </c>
      <c r="CZ129" s="60">
        <f t="shared" si="96"/>
        <v>185.75045299455371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277.77983999999947</v>
      </c>
      <c r="DQ129" s="14">
        <f t="shared" si="97"/>
        <v>66.497608092453063</v>
      </c>
      <c r="DR129" s="22">
        <f t="shared" si="70"/>
        <v>599.61655542768813</v>
      </c>
      <c r="DS129" s="60">
        <f t="shared" si="71"/>
        <v>892.94988876102138</v>
      </c>
      <c r="DT129" s="60">
        <f ca="1">AVERAGE(OFFSET($DS$3,0,0,'Données projet'!$E$14+1,1))-AVERAGE(OFFSET($H$3,0,0,'Données projet'!$E$14+1,1))</f>
        <v>274.31056057602081</v>
      </c>
      <c r="DU129" s="60">
        <f t="shared" si="98"/>
        <v>163.41029152029387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3.813056537183002E-14</v>
      </c>
      <c r="EL129" s="14">
        <f t="shared" si="99"/>
        <v>6.4086286045526829E-13</v>
      </c>
      <c r="EM129" s="22">
        <f t="shared" si="73"/>
        <v>1.1825802166488628E-12</v>
      </c>
      <c r="EN129" s="60">
        <f t="shared" si="74"/>
        <v>293.33333333333451</v>
      </c>
      <c r="EO129" s="60">
        <f ca="1">AVERAGE(OFFSET($EN$3,0,0,'Données projet'!$E$15+1,1))-AVERAGE(OFFSET($H$3,0,0,'Données projet'!$E$15+1,1))</f>
        <v>120.18668518376586</v>
      </c>
      <c r="EP129" s="60">
        <f t="shared" si="100"/>
        <v>110.24821114898037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8">
        <f t="shared" si="56"/>
        <v>542.30158747419375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-6.2527760746888816E-13</v>
      </c>
      <c r="O130" s="14">
        <f>N130*VLOOKUP('Données projet'!$B$9,Paramètres!$A$1:$I$89,3,0)*VLOOKUP('Données projet'!$B$9,Paramètres!$A$1:$I$89,5,0)</f>
        <v>-2.9262992029543964E-13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106.50743833854523</v>
      </c>
      <c r="T130" s="60">
        <f t="shared" si="88"/>
        <v>47.606751325129608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0">
        <f t="shared" si="59"/>
        <v>861.22632540732639</v>
      </c>
      <c r="AN130" s="60">
        <f ca="1">AVERAGE(OFFSET($AM$3,0,0,'Données projet'!$E$10+1,1))-AVERAGE(OFFSET($H$3,0,0,'Données projet'!$E$10+1,1))</f>
        <v>247.65126267995316</v>
      </c>
      <c r="AO130" s="60">
        <f t="shared" si="90"/>
        <v>149.27472147904314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294.46559999999943</v>
      </c>
      <c r="BF130" s="14">
        <f t="shared" si="91"/>
        <v>70.0149863201041</v>
      </c>
      <c r="BG130" s="22">
        <f t="shared" si="61"/>
        <v>634.80368784084692</v>
      </c>
      <c r="BH130" s="60">
        <f t="shared" si="62"/>
        <v>928.13702117418029</v>
      </c>
      <c r="BI130" s="60">
        <f ca="1">AVERAGE(OFFSET($BH$3,0,0,'Données projet'!$E$11+1,1))-AVERAGE(OFFSET($H$3,0,0,'Données projet'!$E$11+1,1))</f>
        <v>294.2815419338562</v>
      </c>
      <c r="BJ130" s="60">
        <f t="shared" si="92"/>
        <v>173.99850582760712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-6.8212102632969618E-13</v>
      </c>
      <c r="BZ130" s="14">
        <f>BY130*VLOOKUP('Données projet'!$B$12,Paramètres!$A$1:$I$89,3,0)*VLOOKUP('Données projet'!$B$12,Paramètres!$A$1:$I$89,5,0)</f>
        <v>-5.8525984059087939E-13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317.48648551307656</v>
      </c>
      <c r="CE130" s="60">
        <f t="shared" si="94"/>
        <v>133.09277301479563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0">
        <f t="shared" si="68"/>
        <v>293.33333333333582</v>
      </c>
      <c r="CY130" s="60">
        <f ca="1">AVERAGE(OFFSET($CX$3,0,0,'Données projet'!$E$13+1,1))-AVERAGE(OFFSET($H$3,0,0,'Données projet'!$E$13+1,1))</f>
        <v>194.42056369374041</v>
      </c>
      <c r="CZ130" s="60">
        <f t="shared" si="96"/>
        <v>185.75045299455371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280.87487999999945</v>
      </c>
      <c r="DQ130" s="14">
        <f t="shared" si="97"/>
        <v>67.151862592195727</v>
      </c>
      <c r="DR130" s="22">
        <f t="shared" si="70"/>
        <v>606.1465766814066</v>
      </c>
      <c r="DS130" s="60">
        <f t="shared" si="71"/>
        <v>899.47991001473997</v>
      </c>
      <c r="DT130" s="60">
        <f ca="1">AVERAGE(OFFSET($DS$3,0,0,'Données projet'!$E$14+1,1))-AVERAGE(OFFSET($H$3,0,0,'Données projet'!$E$14+1,1))</f>
        <v>274.31056057602081</v>
      </c>
      <c r="DU130" s="60">
        <f t="shared" si="98"/>
        <v>163.41029152029387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3.813056537183002E-14</v>
      </c>
      <c r="EL130" s="14">
        <f t="shared" si="99"/>
        <v>6.4086286045526829E-13</v>
      </c>
      <c r="EM130" s="22">
        <f t="shared" si="73"/>
        <v>1.1825802166488628E-12</v>
      </c>
      <c r="EN130" s="60">
        <f t="shared" si="74"/>
        <v>293.33333333333451</v>
      </c>
      <c r="EO130" s="60">
        <f ca="1">AVERAGE(OFFSET($EN$3,0,0,'Données projet'!$E$15+1,1))-AVERAGE(OFFSET($H$3,0,0,'Données projet'!$E$15+1,1))</f>
        <v>120.18668518376586</v>
      </c>
      <c r="EP130" s="60">
        <f t="shared" si="100"/>
        <v>110.24821114898037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8">
        <f t="shared" si="56"/>
        <v>544.21388050017583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-6.2527760746888816E-13</v>
      </c>
      <c r="O131" s="14">
        <f>N131*VLOOKUP('Données projet'!$B$9,Paramètres!$A$1:$I$89,3,0)*VLOOKUP('Données projet'!$B$9,Paramètres!$A$1:$I$89,5,0)</f>
        <v>-2.9262992029543964E-13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106.50743833854523</v>
      </c>
      <c r="T131" s="60">
        <f t="shared" si="88"/>
        <v>47.606751325129608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0">
        <f t="shared" si="59"/>
        <v>867.3419851494366</v>
      </c>
      <c r="AN131" s="60">
        <f ca="1">AVERAGE(OFFSET($AM$3,0,0,'Données projet'!$E$10+1,1))-AVERAGE(OFFSET($H$3,0,0,'Données projet'!$E$10+1,1))</f>
        <v>247.65126267995316</v>
      </c>
      <c r="AO131" s="60">
        <f t="shared" si="90"/>
        <v>149.27472147904314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297.71039999999937</v>
      </c>
      <c r="BF131" s="14">
        <f t="shared" si="91"/>
        <v>70.696261560936534</v>
      </c>
      <c r="BG131" s="22">
        <f t="shared" si="61"/>
        <v>641.64160221862994</v>
      </c>
      <c r="BH131" s="60">
        <f t="shared" si="62"/>
        <v>934.9749355519632</v>
      </c>
      <c r="BI131" s="60">
        <f ca="1">AVERAGE(OFFSET($BH$3,0,0,'Données projet'!$E$11+1,1))-AVERAGE(OFFSET($H$3,0,0,'Données projet'!$E$11+1,1))</f>
        <v>294.2815419338562</v>
      </c>
      <c r="BJ131" s="60">
        <f t="shared" si="92"/>
        <v>173.99850582760712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-6.8212102632969618E-13</v>
      </c>
      <c r="BZ131" s="14">
        <f>BY131*VLOOKUP('Données projet'!$B$12,Paramètres!$A$1:$I$89,3,0)*VLOOKUP('Données projet'!$B$12,Paramètres!$A$1:$I$89,5,0)</f>
        <v>-5.8525984059087939E-13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317.48648551307656</v>
      </c>
      <c r="CE131" s="60">
        <f t="shared" si="94"/>
        <v>133.09277301479563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0">
        <f t="shared" si="68"/>
        <v>293.33333333333582</v>
      </c>
      <c r="CY131" s="60">
        <f ca="1">AVERAGE(OFFSET($CX$3,0,0,'Données projet'!$E$13+1,1))-AVERAGE(OFFSET($H$3,0,0,'Données projet'!$E$13+1,1))</f>
        <v>194.42056369374041</v>
      </c>
      <c r="CZ131" s="60">
        <f t="shared" si="96"/>
        <v>185.75045299455371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283.96991999999943</v>
      </c>
      <c r="DQ131" s="14">
        <f t="shared" si="97"/>
        <v>67.805278435922148</v>
      </c>
      <c r="DR131" s="22">
        <f t="shared" si="70"/>
        <v>612.67513727589676</v>
      </c>
      <c r="DS131" s="60">
        <f t="shared" si="71"/>
        <v>906.00847060923002</v>
      </c>
      <c r="DT131" s="60">
        <f ca="1">AVERAGE(OFFSET($DS$3,0,0,'Données projet'!$E$14+1,1))-AVERAGE(OFFSET($H$3,0,0,'Données projet'!$E$14+1,1))</f>
        <v>274.31056057602081</v>
      </c>
      <c r="DU131" s="60">
        <f t="shared" si="98"/>
        <v>163.41029152029387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3.813056537183002E-14</v>
      </c>
      <c r="EL131" s="14">
        <f t="shared" si="99"/>
        <v>6.4086286045526829E-13</v>
      </c>
      <c r="EM131" s="22">
        <f t="shared" si="73"/>
        <v>1.1825802166488628E-12</v>
      </c>
      <c r="EN131" s="60">
        <f t="shared" si="74"/>
        <v>293.33333333333451</v>
      </c>
      <c r="EO131" s="60">
        <f ca="1">AVERAGE(OFFSET($EN$3,0,0,'Données projet'!$E$15+1,1))-AVERAGE(OFFSET($H$3,0,0,'Données projet'!$E$15+1,1))</f>
        <v>120.18668518376586</v>
      </c>
      <c r="EP131" s="60">
        <f t="shared" si="100"/>
        <v>110.24821114898037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8">
        <f t="shared" ref="H132:H195" si="110">(B132+E132+F132)*44/12+(C132+D132)*0.475*44/12</f>
        <v>546.12584302139749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-6.2527760746888816E-13</v>
      </c>
      <c r="O132" s="14">
        <f>N132*VLOOKUP('Données projet'!$B$9,Paramètres!$A$1:$I$89,3,0)*VLOOKUP('Données projet'!$B$9,Paramètres!$A$1:$I$89,5,0)</f>
        <v>-2.9262992029543964E-13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106.50743833854523</v>
      </c>
      <c r="T132" s="60">
        <f t="shared" si="88"/>
        <v>47.606751325129608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0">
        <f t="shared" ref="AM132:AM195" si="113">AL132+(AD132+AE132)*44/12</f>
        <v>873.4562845657872</v>
      </c>
      <c r="AN132" s="60">
        <f ca="1">AVERAGE(OFFSET($AM$3,0,0,'Données projet'!$E$10+1,1))-AVERAGE(OFFSET($H$3,0,0,'Données projet'!$E$10+1,1))</f>
        <v>247.65126267995316</v>
      </c>
      <c r="AO132" s="60">
        <f t="shared" si="90"/>
        <v>149.27472147904314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300.95519999999942</v>
      </c>
      <c r="BF132" s="14">
        <f t="shared" si="91"/>
        <v>71.376673021759657</v>
      </c>
      <c r="BG132" s="22">
        <f t="shared" ref="BG132:BG153" si="115">(BE132+BF132)*0.475*44/12</f>
        <v>648.47801217956373</v>
      </c>
      <c r="BH132" s="60">
        <f t="shared" ref="BH132:BH195" si="116">BG132+(AY132+AZ132)*44/12</f>
        <v>941.81134551289711</v>
      </c>
      <c r="BI132" s="60">
        <f ca="1">AVERAGE(OFFSET($BH$3,0,0,'Données projet'!$E$11+1,1))-AVERAGE(OFFSET($H$3,0,0,'Données projet'!$E$11+1,1))</f>
        <v>294.2815419338562</v>
      </c>
      <c r="BJ132" s="60">
        <f t="shared" si="92"/>
        <v>173.99850582760712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-6.8212102632969618E-13</v>
      </c>
      <c r="BZ132" s="14">
        <f>BY132*VLOOKUP('Données projet'!$B$12,Paramètres!$A$1:$I$89,3,0)*VLOOKUP('Données projet'!$B$12,Paramètres!$A$1:$I$89,5,0)</f>
        <v>-5.8525984059087939E-13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317.48648551307656</v>
      </c>
      <c r="CE132" s="60">
        <f t="shared" si="94"/>
        <v>133.09277301479563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0">
        <f t="shared" ref="CX132:CX195" si="122">CW132+(CO132+CP132)*44/12</f>
        <v>293.33333333333582</v>
      </c>
      <c r="CY132" s="60">
        <f ca="1">AVERAGE(OFFSET($CX$3,0,0,'Données projet'!$E$13+1,1))-AVERAGE(OFFSET($H$3,0,0,'Données projet'!$E$13+1,1))</f>
        <v>194.42056369374041</v>
      </c>
      <c r="CZ132" s="60">
        <f t="shared" si="96"/>
        <v>185.75045299455371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287.06495999999942</v>
      </c>
      <c r="DQ132" s="14">
        <f t="shared" si="97"/>
        <v>68.457865822206202</v>
      </c>
      <c r="DR132" s="22">
        <f t="shared" ref="DR132:DR153" si="124">(DP132+DQ132)*0.475*44/12</f>
        <v>619.20225497367471</v>
      </c>
      <c r="DS132" s="60">
        <f t="shared" ref="DS132:DS195" si="125">DR132+(DJ132+DK132)*44/12</f>
        <v>912.53558830700808</v>
      </c>
      <c r="DT132" s="60">
        <f ca="1">AVERAGE(OFFSET($DS$3,0,0,'Données projet'!$E$14+1,1))-AVERAGE(OFFSET($H$3,0,0,'Données projet'!$E$14+1,1))</f>
        <v>274.31056057602081</v>
      </c>
      <c r="DU132" s="60">
        <f t="shared" si="98"/>
        <v>163.41029152029387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3.813056537183002E-14</v>
      </c>
      <c r="EL132" s="14">
        <f t="shared" si="99"/>
        <v>6.4086286045526829E-13</v>
      </c>
      <c r="EM132" s="22">
        <f t="shared" ref="EM132:EM153" si="127">(EK132+EL132)*0.475*44/12</f>
        <v>1.1825802166488628E-12</v>
      </c>
      <c r="EN132" s="60">
        <f t="shared" ref="EN132:EN195" si="128">EM132+(EE132+EF132)*44/12</f>
        <v>293.33333333333451</v>
      </c>
      <c r="EO132" s="60">
        <f ca="1">AVERAGE(OFFSET($EN$3,0,0,'Données projet'!$E$15+1,1))-AVERAGE(OFFSET($H$3,0,0,'Données projet'!$E$15+1,1))</f>
        <v>120.18668518376586</v>
      </c>
      <c r="EP132" s="60">
        <f t="shared" si="100"/>
        <v>110.24821114898037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8">
        <f t="shared" si="110"/>
        <v>548.03747789690146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-6.2527760746888816E-13</v>
      </c>
      <c r="O133" s="14">
        <f>N133*VLOOKUP('Données projet'!$B$9,Paramètres!$A$1:$I$89,3,0)*VLOOKUP('Données projet'!$B$9,Paramètres!$A$1:$I$89,5,0)</f>
        <v>-2.9262992029543964E-13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106.50743833854523</v>
      </c>
      <c r="T133" s="60">
        <f t="shared" ref="T133:T196" si="142">$T$3</f>
        <v>47.606751325129608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0">
        <f t="shared" si="113"/>
        <v>879.56924002052051</v>
      </c>
      <c r="AN133" s="60">
        <f ca="1">AVERAGE(OFFSET($AM$3,0,0,'Données projet'!$E$10+1,1))-AVERAGE(OFFSET($H$3,0,0,'Données projet'!$E$10+1,1))</f>
        <v>247.65126267995316</v>
      </c>
      <c r="AO133" s="60">
        <f t="shared" ref="AO133:AO196" si="144">$AO$3</f>
        <v>149.27472147904314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304.19999999999936</v>
      </c>
      <c r="BF133" s="14">
        <f t="shared" ref="BF133:BF153" si="145">EXP(-1.0587+0.8836*LN(BE133)+0.284)</f>
        <v>72.056231093480946</v>
      </c>
      <c r="BG133" s="22">
        <f t="shared" si="115"/>
        <v>655.31293582114483</v>
      </c>
      <c r="BH133" s="60">
        <f t="shared" si="116"/>
        <v>948.6462691544782</v>
      </c>
      <c r="BI133" s="60">
        <f ca="1">AVERAGE(OFFSET($BH$3,0,0,'Données projet'!$E$11+1,1))-AVERAGE(OFFSET($H$3,0,0,'Données projet'!$E$11+1,1))</f>
        <v>294.2815419338562</v>
      </c>
      <c r="BJ133" s="60">
        <f t="shared" ref="BJ133:BJ196" si="146">$BJ$3</f>
        <v>173.99850582760712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-6.8212102632969618E-13</v>
      </c>
      <c r="BZ133" s="14">
        <f>BY133*VLOOKUP('Données projet'!$B$12,Paramètres!$A$1:$I$89,3,0)*VLOOKUP('Données projet'!$B$12,Paramètres!$A$1:$I$89,5,0)</f>
        <v>-5.8525984059087939E-13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317.48648551307656</v>
      </c>
      <c r="CE133" s="60">
        <f t="shared" ref="CE133:CE196" si="148">$CE$3</f>
        <v>133.09277301479563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0">
        <f t="shared" si="122"/>
        <v>293.33333333333582</v>
      </c>
      <c r="CY133" s="60">
        <f ca="1">AVERAGE(OFFSET($CX$3,0,0,'Données projet'!$E$13+1,1))-AVERAGE(OFFSET($H$3,0,0,'Données projet'!$E$13+1,1))</f>
        <v>194.42056369374041</v>
      </c>
      <c r="CZ133" s="60">
        <f t="shared" ref="CZ133:CZ196" si="150">$CZ$3</f>
        <v>185.75045299455371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290.1599999999994</v>
      </c>
      <c r="DQ133" s="14">
        <f t="shared" ref="DQ133:DQ153" si="151">EXP(-1.0587+0.8836*LN(DP133)+0.284)</f>
        <v>69.10963471703981</v>
      </c>
      <c r="DR133" s="22">
        <f t="shared" si="124"/>
        <v>625.72794713217661</v>
      </c>
      <c r="DS133" s="60">
        <f t="shared" si="125"/>
        <v>919.06128046550998</v>
      </c>
      <c r="DT133" s="60">
        <f ca="1">AVERAGE(OFFSET($DS$3,0,0,'Données projet'!$E$14+1,1))-AVERAGE(OFFSET($H$3,0,0,'Données projet'!$E$14+1,1))</f>
        <v>274.31056057602081</v>
      </c>
      <c r="DU133" s="60">
        <f t="shared" ref="DU133:DU196" si="152">$DU$3</f>
        <v>163.41029152029387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3.813056537183002E-14</v>
      </c>
      <c r="EL133" s="14">
        <f t="shared" ref="EL133:EL153" si="153">EXP(-1.0587+0.8836*LN(EK133)+0.284)</f>
        <v>6.4086286045526829E-13</v>
      </c>
      <c r="EM133" s="22">
        <f t="shared" si="127"/>
        <v>1.1825802166488628E-12</v>
      </c>
      <c r="EN133" s="60">
        <f t="shared" si="128"/>
        <v>293.33333333333451</v>
      </c>
      <c r="EO133" s="60">
        <f ca="1">AVERAGE(OFFSET($EN$3,0,0,'Données projet'!$E$15+1,1))-AVERAGE(OFFSET($H$3,0,0,'Données projet'!$E$15+1,1))</f>
        <v>120.18668518376586</v>
      </c>
      <c r="EP133" s="60">
        <f t="shared" ref="EP133:EP196" si="154">$EP$3</f>
        <v>110.24821114898037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8">
        <f t="shared" si="110"/>
        <v>549.94878793920475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-6.2527760746888816E-13</v>
      </c>
      <c r="O134" s="14">
        <f>N134*VLOOKUP('Données projet'!$B$9,Paramètres!$A$1:$I$89,3,0)*VLOOKUP('Données projet'!$B$9,Paramètres!$A$1:$I$89,5,0)</f>
        <v>-2.9262992029543964E-13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106.50743833854523</v>
      </c>
      <c r="T134" s="60">
        <f t="shared" si="142"/>
        <v>47.606751325129608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0">
        <f t="shared" si="113"/>
        <v>825.45983568521592</v>
      </c>
      <c r="AN134" s="60">
        <f ca="1">AVERAGE(OFFSET($AM$3,0,0,'Données projet'!$E$10+1,1))-AVERAGE(OFFSET($H$3,0,0,'Données projet'!$E$10+1,1))</f>
        <v>247.65126267995316</v>
      </c>
      <c r="AO134" s="60">
        <f t="shared" si="144"/>
        <v>149.27472147904314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275.50379999999939</v>
      </c>
      <c r="BF134" s="14">
        <f t="shared" si="145"/>
        <v>66.015939215007748</v>
      </c>
      <c r="BG134" s="22">
        <f t="shared" si="115"/>
        <v>594.81354579947072</v>
      </c>
      <c r="BH134" s="60">
        <f t="shared" si="116"/>
        <v>888.14687913280409</v>
      </c>
      <c r="BI134" s="60">
        <f ca="1">AVERAGE(OFFSET($BH$3,0,0,'Données projet'!$E$11+1,1))-AVERAGE(OFFSET($H$3,0,0,'Données projet'!$E$11+1,1))</f>
        <v>294.2815419338562</v>
      </c>
      <c r="BJ134" s="60">
        <f t="shared" si="146"/>
        <v>173.99850582760712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-6.8212102632969618E-13</v>
      </c>
      <c r="BZ134" s="14">
        <f>BY134*VLOOKUP('Données projet'!$B$12,Paramètres!$A$1:$I$89,3,0)*VLOOKUP('Données projet'!$B$12,Paramètres!$A$1:$I$89,5,0)</f>
        <v>-5.8525984059087939E-13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317.48648551307656</v>
      </c>
      <c r="CE134" s="60">
        <f t="shared" si="148"/>
        <v>133.09277301479563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0">
        <f t="shared" si="122"/>
        <v>293.33333333333582</v>
      </c>
      <c r="CY134" s="60">
        <f ca="1">AVERAGE(OFFSET($CX$3,0,0,'Données projet'!$E$13+1,1))-AVERAGE(OFFSET($H$3,0,0,'Données projet'!$E$13+1,1))</f>
        <v>194.42056369374041</v>
      </c>
      <c r="CZ134" s="60">
        <f t="shared" si="150"/>
        <v>185.75045299455371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262.7882399999994</v>
      </c>
      <c r="DQ134" s="14">
        <f t="shared" si="151"/>
        <v>63.316348571334714</v>
      </c>
      <c r="DR134" s="22">
        <f t="shared" si="124"/>
        <v>567.96549176174028</v>
      </c>
      <c r="DS134" s="60">
        <f t="shared" si="125"/>
        <v>861.29882509507365</v>
      </c>
      <c r="DT134" s="60">
        <f ca="1">AVERAGE(OFFSET($DS$3,0,0,'Données projet'!$E$14+1,1))-AVERAGE(OFFSET($H$3,0,0,'Données projet'!$E$14+1,1))</f>
        <v>274.31056057602081</v>
      </c>
      <c r="DU134" s="60">
        <f t="shared" si="152"/>
        <v>163.41029152029387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3.813056537183002E-14</v>
      </c>
      <c r="EL134" s="14">
        <f t="shared" si="153"/>
        <v>6.4086286045526829E-13</v>
      </c>
      <c r="EM134" s="22">
        <f t="shared" si="127"/>
        <v>1.1825802166488628E-12</v>
      </c>
      <c r="EN134" s="60">
        <f t="shared" si="128"/>
        <v>293.33333333333451</v>
      </c>
      <c r="EO134" s="60">
        <f ca="1">AVERAGE(OFFSET($EN$3,0,0,'Données projet'!$E$15+1,1))-AVERAGE(OFFSET($H$3,0,0,'Données projet'!$E$15+1,1))</f>
        <v>120.18668518376586</v>
      </c>
      <c r="EP134" s="60">
        <f t="shared" si="154"/>
        <v>110.24821114898037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8">
        <f t="shared" si="110"/>
        <v>551.85977591540495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-6.2527760746888816E-13</v>
      </c>
      <c r="O135" s="14">
        <f>N135*VLOOKUP('Données projet'!$B$9,Paramètres!$A$1:$I$89,3,0)*VLOOKUP('Données projet'!$B$9,Paramètres!$A$1:$I$89,5,0)</f>
        <v>-2.9262992029543964E-13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106.50743833854523</v>
      </c>
      <c r="T135" s="60">
        <f t="shared" si="142"/>
        <v>47.606751325129608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0">
        <f t="shared" si="113"/>
        <v>830.62702157178455</v>
      </c>
      <c r="AN135" s="60">
        <f ca="1">AVERAGE(OFFSET($AM$3,0,0,'Données projet'!$E$10+1,1))-AVERAGE(OFFSET($H$3,0,0,'Données projet'!$E$10+1,1))</f>
        <v>247.65126267995316</v>
      </c>
      <c r="AO135" s="60">
        <f t="shared" si="144"/>
        <v>149.27472147904314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278.24159999999938</v>
      </c>
      <c r="BF135" s="14">
        <f t="shared" si="145"/>
        <v>66.595272276139625</v>
      </c>
      <c r="BG135" s="22">
        <f t="shared" si="115"/>
        <v>600.59088588094198</v>
      </c>
      <c r="BH135" s="60">
        <f t="shared" si="116"/>
        <v>893.92421921427535</v>
      </c>
      <c r="BI135" s="60">
        <f ca="1">AVERAGE(OFFSET($BH$3,0,0,'Données projet'!$E$11+1,1))-AVERAGE(OFFSET($H$3,0,0,'Données projet'!$E$11+1,1))</f>
        <v>294.2815419338562</v>
      </c>
      <c r="BJ135" s="60">
        <f t="shared" si="146"/>
        <v>173.99850582760712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-6.8212102632969618E-13</v>
      </c>
      <c r="BZ135" s="14">
        <f>BY135*VLOOKUP('Données projet'!$B$12,Paramètres!$A$1:$I$89,3,0)*VLOOKUP('Données projet'!$B$12,Paramètres!$A$1:$I$89,5,0)</f>
        <v>-5.8525984059087939E-13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317.48648551307656</v>
      </c>
      <c r="CE135" s="60">
        <f t="shared" si="148"/>
        <v>133.09277301479563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0">
        <f t="shared" si="122"/>
        <v>293.33333333333582</v>
      </c>
      <c r="CY135" s="60">
        <f ca="1">AVERAGE(OFFSET($CX$3,0,0,'Données projet'!$E$13+1,1))-AVERAGE(OFFSET($H$3,0,0,'Données projet'!$E$13+1,1))</f>
        <v>194.42056369374041</v>
      </c>
      <c r="CZ135" s="60">
        <f t="shared" si="150"/>
        <v>185.75045299455371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265.39967999999936</v>
      </c>
      <c r="DQ135" s="14">
        <f t="shared" si="151"/>
        <v>63.87199095821434</v>
      </c>
      <c r="DR135" s="22">
        <f t="shared" si="124"/>
        <v>573.48149358555554</v>
      </c>
      <c r="DS135" s="60">
        <f t="shared" si="125"/>
        <v>866.81482691888891</v>
      </c>
      <c r="DT135" s="60">
        <f ca="1">AVERAGE(OFFSET($DS$3,0,0,'Données projet'!$E$14+1,1))-AVERAGE(OFFSET($H$3,0,0,'Données projet'!$E$14+1,1))</f>
        <v>274.31056057602081</v>
      </c>
      <c r="DU135" s="60">
        <f t="shared" si="152"/>
        <v>163.41029152029387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3.813056537183002E-14</v>
      </c>
      <c r="EL135" s="14">
        <f t="shared" si="153"/>
        <v>6.4086286045526829E-13</v>
      </c>
      <c r="EM135" s="22">
        <f t="shared" si="127"/>
        <v>1.1825802166488628E-12</v>
      </c>
      <c r="EN135" s="60">
        <f t="shared" si="128"/>
        <v>293.33333333333451</v>
      </c>
      <c r="EO135" s="60">
        <f ca="1">AVERAGE(OFFSET($EN$3,0,0,'Données projet'!$E$15+1,1))-AVERAGE(OFFSET($H$3,0,0,'Données projet'!$E$15+1,1))</f>
        <v>120.18668518376586</v>
      </c>
      <c r="EP135" s="60">
        <f t="shared" si="154"/>
        <v>110.24821114898037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8">
        <f t="shared" si="110"/>
        <v>553.77044454825227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-6.2527760746888816E-13</v>
      </c>
      <c r="O136" s="14">
        <f>N136*VLOOKUP('Données projet'!$B$9,Paramètres!$A$1:$I$89,3,0)*VLOOKUP('Données projet'!$B$9,Paramètres!$A$1:$I$89,5,0)</f>
        <v>-2.9262992029543964E-13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106.50743833854523</v>
      </c>
      <c r="T136" s="60">
        <f t="shared" si="142"/>
        <v>47.606751325129608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0">
        <f t="shared" si="113"/>
        <v>835.7931630761725</v>
      </c>
      <c r="AN136" s="60">
        <f ca="1">AVERAGE(OFFSET($AM$3,0,0,'Données projet'!$E$10+1,1))-AVERAGE(OFFSET($H$3,0,0,'Données projet'!$E$10+1,1))</f>
        <v>247.65126267995316</v>
      </c>
      <c r="AO136" s="60">
        <f t="shared" si="144"/>
        <v>149.27472147904314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280.97939999999937</v>
      </c>
      <c r="BF136" s="14">
        <f t="shared" si="145"/>
        <v>67.173942175199301</v>
      </c>
      <c r="BG136" s="22">
        <f t="shared" si="115"/>
        <v>606.36707095513759</v>
      </c>
      <c r="BH136" s="60">
        <f t="shared" si="116"/>
        <v>899.70040428847096</v>
      </c>
      <c r="BI136" s="60">
        <f ca="1">AVERAGE(OFFSET($BH$3,0,0,'Données projet'!$E$11+1,1))-AVERAGE(OFFSET($H$3,0,0,'Données projet'!$E$11+1,1))</f>
        <v>294.2815419338562</v>
      </c>
      <c r="BJ136" s="60">
        <f t="shared" si="146"/>
        <v>173.99850582760712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-6.8212102632969618E-13</v>
      </c>
      <c r="BZ136" s="14">
        <f>BY136*VLOOKUP('Données projet'!$B$12,Paramètres!$A$1:$I$89,3,0)*VLOOKUP('Données projet'!$B$12,Paramètres!$A$1:$I$89,5,0)</f>
        <v>-5.8525984059087939E-13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317.48648551307656</v>
      </c>
      <c r="CE136" s="60">
        <f t="shared" si="148"/>
        <v>133.09277301479563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0">
        <f t="shared" si="122"/>
        <v>293.33333333333582</v>
      </c>
      <c r="CY136" s="60">
        <f ca="1">AVERAGE(OFFSET($CX$3,0,0,'Données projet'!$E$13+1,1))-AVERAGE(OFFSET($H$3,0,0,'Données projet'!$E$13+1,1))</f>
        <v>194.42056369374041</v>
      </c>
      <c r="CZ136" s="60">
        <f t="shared" si="150"/>
        <v>185.75045299455371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268.01111999999938</v>
      </c>
      <c r="DQ136" s="14">
        <f t="shared" si="151"/>
        <v>64.426997301716739</v>
      </c>
      <c r="DR136" s="22">
        <f t="shared" si="124"/>
        <v>578.99638763382234</v>
      </c>
      <c r="DS136" s="60">
        <f t="shared" si="125"/>
        <v>872.32972096715571</v>
      </c>
      <c r="DT136" s="60">
        <f ca="1">AVERAGE(OFFSET($DS$3,0,0,'Données projet'!$E$14+1,1))-AVERAGE(OFFSET($H$3,0,0,'Données projet'!$E$14+1,1))</f>
        <v>274.31056057602081</v>
      </c>
      <c r="DU136" s="60">
        <f t="shared" si="152"/>
        <v>163.41029152029387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3.813056537183002E-14</v>
      </c>
      <c r="EL136" s="14">
        <f t="shared" si="153"/>
        <v>6.4086286045526829E-13</v>
      </c>
      <c r="EM136" s="22">
        <f t="shared" si="127"/>
        <v>1.1825802166488628E-12</v>
      </c>
      <c r="EN136" s="60">
        <f t="shared" si="128"/>
        <v>293.33333333333451</v>
      </c>
      <c r="EO136" s="60">
        <f ca="1">AVERAGE(OFFSET($EN$3,0,0,'Données projet'!$E$15+1,1))-AVERAGE(OFFSET($H$3,0,0,'Données projet'!$E$15+1,1))</f>
        <v>120.18668518376586</v>
      </c>
      <c r="EP136" s="60">
        <f t="shared" si="154"/>
        <v>110.24821114898037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8">
        <f t="shared" si="110"/>
        <v>555.68079651718767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-6.2527760746888816E-13</v>
      </c>
      <c r="O137" s="14">
        <f>N137*VLOOKUP('Données projet'!$B$9,Paramètres!$A$1:$I$89,3,0)*VLOOKUP('Données projet'!$B$9,Paramètres!$A$1:$I$89,5,0)</f>
        <v>-2.9262992029543964E-13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106.50743833854523</v>
      </c>
      <c r="T137" s="60">
        <f t="shared" si="142"/>
        <v>47.606751325129608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0">
        <f t="shared" si="113"/>
        <v>840.958271553038</v>
      </c>
      <c r="AN137" s="60">
        <f ca="1">AVERAGE(OFFSET($AM$3,0,0,'Données projet'!$E$10+1,1))-AVERAGE(OFFSET($H$3,0,0,'Données projet'!$E$10+1,1))</f>
        <v>247.65126267995316</v>
      </c>
      <c r="AO137" s="60">
        <f t="shared" si="144"/>
        <v>149.27472147904314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283.71719999999937</v>
      </c>
      <c r="BF137" s="14">
        <f t="shared" si="145"/>
        <v>67.751956122170526</v>
      </c>
      <c r="BG137" s="22">
        <f t="shared" si="115"/>
        <v>612.14211357944589</v>
      </c>
      <c r="BH137" s="60">
        <f t="shared" si="116"/>
        <v>905.47544691277926</v>
      </c>
      <c r="BI137" s="60">
        <f ca="1">AVERAGE(OFFSET($BH$3,0,0,'Données projet'!$E$11+1,1))-AVERAGE(OFFSET($H$3,0,0,'Données projet'!$E$11+1,1))</f>
        <v>294.2815419338562</v>
      </c>
      <c r="BJ137" s="60">
        <f t="shared" si="146"/>
        <v>173.99850582760712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-6.8212102632969618E-13</v>
      </c>
      <c r="BZ137" s="14">
        <f>BY137*VLOOKUP('Données projet'!$B$12,Paramètres!$A$1:$I$89,3,0)*VLOOKUP('Données projet'!$B$12,Paramètres!$A$1:$I$89,5,0)</f>
        <v>-5.8525984059087939E-13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317.48648551307656</v>
      </c>
      <c r="CE137" s="60">
        <f t="shared" si="148"/>
        <v>133.09277301479563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0">
        <f t="shared" si="122"/>
        <v>293.33333333333582</v>
      </c>
      <c r="CY137" s="60">
        <f ca="1">AVERAGE(OFFSET($CX$3,0,0,'Données projet'!$E$13+1,1))-AVERAGE(OFFSET($H$3,0,0,'Données projet'!$E$13+1,1))</f>
        <v>194.42056369374041</v>
      </c>
      <c r="CZ137" s="60">
        <f t="shared" si="150"/>
        <v>185.75045299455371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270.62255999999934</v>
      </c>
      <c r="DQ137" s="14">
        <f t="shared" si="151"/>
        <v>64.981374516987898</v>
      </c>
      <c r="DR137" s="22">
        <f t="shared" si="124"/>
        <v>584.51018595041944</v>
      </c>
      <c r="DS137" s="60">
        <f t="shared" si="125"/>
        <v>877.84351928375281</v>
      </c>
      <c r="DT137" s="60">
        <f ca="1">AVERAGE(OFFSET($DS$3,0,0,'Données projet'!$E$14+1,1))-AVERAGE(OFFSET($H$3,0,0,'Données projet'!$E$14+1,1))</f>
        <v>274.31056057602081</v>
      </c>
      <c r="DU137" s="60">
        <f t="shared" si="152"/>
        <v>163.41029152029387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3.813056537183002E-14</v>
      </c>
      <c r="EL137" s="14">
        <f t="shared" si="153"/>
        <v>6.4086286045526829E-13</v>
      </c>
      <c r="EM137" s="22">
        <f t="shared" si="127"/>
        <v>1.1825802166488628E-12</v>
      </c>
      <c r="EN137" s="60">
        <f t="shared" si="128"/>
        <v>293.33333333333451</v>
      </c>
      <c r="EO137" s="60">
        <f ca="1">AVERAGE(OFFSET($EN$3,0,0,'Données projet'!$E$15+1,1))-AVERAGE(OFFSET($H$3,0,0,'Données projet'!$E$15+1,1))</f>
        <v>120.18668518376586</v>
      </c>
      <c r="EP137" s="60">
        <f t="shared" si="154"/>
        <v>110.24821114898037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8">
        <f t="shared" si="110"/>
        <v>557.59083445935073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-6.2527760746888816E-13</v>
      </c>
      <c r="O138" s="14">
        <f>N138*VLOOKUP('Données projet'!$B$9,Paramètres!$A$1:$I$89,3,0)*VLOOKUP('Données projet'!$B$9,Paramètres!$A$1:$I$89,5,0)</f>
        <v>-2.9262992029543964E-13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106.50743833854523</v>
      </c>
      <c r="T138" s="60">
        <f t="shared" si="142"/>
        <v>47.606751325129608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0">
        <f t="shared" si="113"/>
        <v>846.12235812526569</v>
      </c>
      <c r="AN138" s="60">
        <f ca="1">AVERAGE(OFFSET($AM$3,0,0,'Données projet'!$E$10+1,1))-AVERAGE(OFFSET($H$3,0,0,'Données projet'!$E$10+1,1))</f>
        <v>247.65126267995316</v>
      </c>
      <c r="AO138" s="60">
        <f t="shared" si="144"/>
        <v>149.27472147904314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286.45499999999936</v>
      </c>
      <c r="BF138" s="14">
        <f t="shared" si="145"/>
        <v>68.329321179865531</v>
      </c>
      <c r="BG138" s="22">
        <f t="shared" si="115"/>
        <v>617.91602605493142</v>
      </c>
      <c r="BH138" s="60">
        <f t="shared" si="116"/>
        <v>911.24935938826479</v>
      </c>
      <c r="BI138" s="60">
        <f ca="1">AVERAGE(OFFSET($BH$3,0,0,'Données projet'!$E$11+1,1))-AVERAGE(OFFSET($H$3,0,0,'Données projet'!$E$11+1,1))</f>
        <v>294.2815419338562</v>
      </c>
      <c r="BJ138" s="60">
        <f t="shared" si="146"/>
        <v>173.99850582760712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-6.8212102632969618E-13</v>
      </c>
      <c r="BZ138" s="14">
        <f>BY138*VLOOKUP('Données projet'!$B$12,Paramètres!$A$1:$I$89,3,0)*VLOOKUP('Données projet'!$B$12,Paramètres!$A$1:$I$89,5,0)</f>
        <v>-5.8525984059087939E-13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317.48648551307656</v>
      </c>
      <c r="CE138" s="60">
        <f t="shared" si="148"/>
        <v>133.09277301479563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0">
        <f t="shared" si="122"/>
        <v>293.33333333333582</v>
      </c>
      <c r="CY138" s="60">
        <f ca="1">AVERAGE(OFFSET($CX$3,0,0,'Données projet'!$E$13+1,1))-AVERAGE(OFFSET($H$3,0,0,'Données projet'!$E$13+1,1))</f>
        <v>194.42056369374041</v>
      </c>
      <c r="CZ138" s="60">
        <f t="shared" si="150"/>
        <v>185.75045299455371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273.23399999999936</v>
      </c>
      <c r="DQ138" s="14">
        <f t="shared" si="151"/>
        <v>65.535129378020301</v>
      </c>
      <c r="DR138" s="22">
        <f t="shared" si="124"/>
        <v>590.0229003333842</v>
      </c>
      <c r="DS138" s="60">
        <f t="shared" si="125"/>
        <v>883.35623366671757</v>
      </c>
      <c r="DT138" s="60">
        <f ca="1">AVERAGE(OFFSET($DS$3,0,0,'Données projet'!$E$14+1,1))-AVERAGE(OFFSET($H$3,0,0,'Données projet'!$E$14+1,1))</f>
        <v>274.31056057602081</v>
      </c>
      <c r="DU138" s="60">
        <f t="shared" si="152"/>
        <v>163.41029152029387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3.813056537183002E-14</v>
      </c>
      <c r="EL138" s="14">
        <f t="shared" si="153"/>
        <v>6.4086286045526829E-13</v>
      </c>
      <c r="EM138" s="22">
        <f t="shared" si="127"/>
        <v>1.1825802166488628E-12</v>
      </c>
      <c r="EN138" s="60">
        <f t="shared" si="128"/>
        <v>293.33333333333451</v>
      </c>
      <c r="EO138" s="60">
        <f ca="1">AVERAGE(OFFSET($EN$3,0,0,'Données projet'!$E$15+1,1))-AVERAGE(OFFSET($H$3,0,0,'Données projet'!$E$15+1,1))</f>
        <v>120.18668518376586</v>
      </c>
      <c r="EP138" s="60">
        <f t="shared" si="154"/>
        <v>110.24821114898037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8">
        <f t="shared" si="110"/>
        <v>559.50056097055494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-6.2527760746888816E-13</v>
      </c>
      <c r="O139" s="14">
        <f>N139*VLOOKUP('Données projet'!$B$9,Paramètres!$A$1:$I$89,3,0)*VLOOKUP('Données projet'!$B$9,Paramètres!$A$1:$I$89,5,0)</f>
        <v>-2.9262992029543964E-13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106.50743833854523</v>
      </c>
      <c r="T139" s="60">
        <f t="shared" si="142"/>
        <v>47.606751325129608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0">
        <f t="shared" si="113"/>
        <v>851.28543369086674</v>
      </c>
      <c r="AN139" s="60">
        <f ca="1">AVERAGE(OFFSET($AM$3,0,0,'Données projet'!$E$10+1,1))-AVERAGE(OFFSET($H$3,0,0,'Données projet'!$E$10+1,1))</f>
        <v>247.65126267995316</v>
      </c>
      <c r="AO139" s="60">
        <f t="shared" si="144"/>
        <v>149.27472147904314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289.19279999999935</v>
      </c>
      <c r="BF139" s="14">
        <f t="shared" si="145"/>
        <v>68.906044268306161</v>
      </c>
      <c r="BG139" s="22">
        <f t="shared" si="115"/>
        <v>623.68882043396547</v>
      </c>
      <c r="BH139" s="60">
        <f t="shared" si="116"/>
        <v>917.02215376729873</v>
      </c>
      <c r="BI139" s="60">
        <f ca="1">AVERAGE(OFFSET($BH$3,0,0,'Données projet'!$E$11+1,1))-AVERAGE(OFFSET($H$3,0,0,'Données projet'!$E$11+1,1))</f>
        <v>294.2815419338562</v>
      </c>
      <c r="BJ139" s="60">
        <f t="shared" si="146"/>
        <v>173.99850582760712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-6.8212102632969618E-13</v>
      </c>
      <c r="BZ139" s="14">
        <f>BY139*VLOOKUP('Données projet'!$B$12,Paramètres!$A$1:$I$89,3,0)*VLOOKUP('Données projet'!$B$12,Paramètres!$A$1:$I$89,5,0)</f>
        <v>-5.8525984059087939E-13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317.48648551307656</v>
      </c>
      <c r="CE139" s="60">
        <f t="shared" si="148"/>
        <v>133.09277301479563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0">
        <f t="shared" si="122"/>
        <v>293.33333333333582</v>
      </c>
      <c r="CY139" s="60">
        <f ca="1">AVERAGE(OFFSET($CX$3,0,0,'Données projet'!$E$13+1,1))-AVERAGE(OFFSET($H$3,0,0,'Données projet'!$E$13+1,1))</f>
        <v>194.42056369374041</v>
      </c>
      <c r="CZ139" s="60">
        <f t="shared" si="150"/>
        <v>185.75045299455371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275.84543999999931</v>
      </c>
      <c r="DQ139" s="14">
        <f t="shared" si="151"/>
        <v>66.088268521855113</v>
      </c>
      <c r="DR139" s="22">
        <f t="shared" si="124"/>
        <v>595.53454234222977</v>
      </c>
      <c r="DS139" s="60">
        <f t="shared" si="125"/>
        <v>888.86787567556303</v>
      </c>
      <c r="DT139" s="60">
        <f ca="1">AVERAGE(OFFSET($DS$3,0,0,'Données projet'!$E$14+1,1))-AVERAGE(OFFSET($H$3,0,0,'Données projet'!$E$14+1,1))</f>
        <v>274.31056057602081</v>
      </c>
      <c r="DU139" s="60">
        <f t="shared" si="152"/>
        <v>163.41029152029387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3.813056537183002E-14</v>
      </c>
      <c r="EL139" s="14">
        <f t="shared" si="153"/>
        <v>6.4086286045526829E-13</v>
      </c>
      <c r="EM139" s="22">
        <f t="shared" si="127"/>
        <v>1.1825802166488628E-12</v>
      </c>
      <c r="EN139" s="60">
        <f t="shared" si="128"/>
        <v>293.33333333333451</v>
      </c>
      <c r="EO139" s="60">
        <f ca="1">AVERAGE(OFFSET($EN$3,0,0,'Données projet'!$E$15+1,1))-AVERAGE(OFFSET($H$3,0,0,'Données projet'!$E$15+1,1))</f>
        <v>120.18668518376586</v>
      </c>
      <c r="EP139" s="60">
        <f t="shared" si="154"/>
        <v>110.24821114898037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8">
        <f t="shared" si="110"/>
        <v>561.40997860623452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-6.2527760746888816E-13</v>
      </c>
      <c r="O140" s="14">
        <f>N140*VLOOKUP('Données projet'!$B$9,Paramètres!$A$1:$I$89,3,0)*VLOOKUP('Données projet'!$B$9,Paramètres!$A$1:$I$89,5,0)</f>
        <v>-2.9262992029543964E-13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106.50743833854523</v>
      </c>
      <c r="T140" s="60">
        <f t="shared" si="142"/>
        <v>47.606751325129608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0">
        <f t="shared" si="113"/>
        <v>856.44750892960883</v>
      </c>
      <c r="AN140" s="60">
        <f ca="1">AVERAGE(OFFSET($AM$3,0,0,'Données projet'!$E$10+1,1))-AVERAGE(OFFSET($H$3,0,0,'Données projet'!$E$10+1,1))</f>
        <v>247.65126267995316</v>
      </c>
      <c r="AO140" s="60">
        <f t="shared" si="144"/>
        <v>149.27472147904314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291.93059999999929</v>
      </c>
      <c r="BF140" s="14">
        <f t="shared" si="145"/>
        <v>69.482132168934584</v>
      </c>
      <c r="BG140" s="22">
        <f t="shared" si="115"/>
        <v>629.4605085275598</v>
      </c>
      <c r="BH140" s="60">
        <f t="shared" si="116"/>
        <v>922.79384186089305</v>
      </c>
      <c r="BI140" s="60">
        <f ca="1">AVERAGE(OFFSET($BH$3,0,0,'Données projet'!$E$11+1,1))-AVERAGE(OFFSET($H$3,0,0,'Données projet'!$E$11+1,1))</f>
        <v>294.2815419338562</v>
      </c>
      <c r="BJ140" s="60">
        <f t="shared" si="146"/>
        <v>173.99850582760712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-6.8212102632969618E-13</v>
      </c>
      <c r="BZ140" s="14">
        <f>BY140*VLOOKUP('Données projet'!$B$12,Paramètres!$A$1:$I$89,3,0)*VLOOKUP('Données projet'!$B$12,Paramètres!$A$1:$I$89,5,0)</f>
        <v>-5.8525984059087939E-13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317.48648551307656</v>
      </c>
      <c r="CE140" s="60">
        <f t="shared" si="148"/>
        <v>133.09277301479563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0">
        <f t="shared" si="122"/>
        <v>293.33333333333582</v>
      </c>
      <c r="CY140" s="60">
        <f ca="1">AVERAGE(OFFSET($CX$3,0,0,'Données projet'!$E$13+1,1))-AVERAGE(OFFSET($H$3,0,0,'Données projet'!$E$13+1,1))</f>
        <v>194.42056369374041</v>
      </c>
      <c r="CZ140" s="60">
        <f t="shared" si="150"/>
        <v>185.75045299455371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278.45687999999933</v>
      </c>
      <c r="DQ140" s="14">
        <f t="shared" si="151"/>
        <v>66.640798452620999</v>
      </c>
      <c r="DR140" s="22">
        <f t="shared" si="124"/>
        <v>601.04512330498039</v>
      </c>
      <c r="DS140" s="60">
        <f t="shared" si="125"/>
        <v>894.37845663831376</v>
      </c>
      <c r="DT140" s="60">
        <f ca="1">AVERAGE(OFFSET($DS$3,0,0,'Données projet'!$E$14+1,1))-AVERAGE(OFFSET($H$3,0,0,'Données projet'!$E$14+1,1))</f>
        <v>274.31056057602081</v>
      </c>
      <c r="DU140" s="60">
        <f t="shared" si="152"/>
        <v>163.41029152029387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3.813056537183002E-14</v>
      </c>
      <c r="EL140" s="14">
        <f t="shared" si="153"/>
        <v>6.4086286045526829E-13</v>
      </c>
      <c r="EM140" s="22">
        <f t="shared" si="127"/>
        <v>1.1825802166488628E-12</v>
      </c>
      <c r="EN140" s="60">
        <f t="shared" si="128"/>
        <v>293.33333333333451</v>
      </c>
      <c r="EO140" s="60">
        <f ca="1">AVERAGE(OFFSET($EN$3,0,0,'Données projet'!$E$15+1,1))-AVERAGE(OFFSET($H$3,0,0,'Données projet'!$E$15+1,1))</f>
        <v>120.18668518376586</v>
      </c>
      <c r="EP140" s="60">
        <f t="shared" si="154"/>
        <v>110.24821114898037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8">
        <f t="shared" si="110"/>
        <v>563.31908988236285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-6.2527760746888816E-13</v>
      </c>
      <c r="O141" s="14">
        <f>N141*VLOOKUP('Données projet'!$B$9,Paramètres!$A$1:$I$89,3,0)*VLOOKUP('Données projet'!$B$9,Paramètres!$A$1:$I$89,5,0)</f>
        <v>-2.9262992029543964E-13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106.50743833854523</v>
      </c>
      <c r="T141" s="60">
        <f t="shared" si="142"/>
        <v>47.606751325129608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0">
        <f t="shared" si="113"/>
        <v>861.60859430939399</v>
      </c>
      <c r="AN141" s="60">
        <f ca="1">AVERAGE(OFFSET($AM$3,0,0,'Données projet'!$E$10+1,1))-AVERAGE(OFFSET($H$3,0,0,'Données projet'!$E$10+1,1))</f>
        <v>247.65126267995316</v>
      </c>
      <c r="AO141" s="60">
        <f t="shared" si="144"/>
        <v>149.27472147904314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294.66839999999928</v>
      </c>
      <c r="BF141" s="14">
        <f t="shared" si="145"/>
        <v>70.057591528661433</v>
      </c>
      <c r="BG141" s="22">
        <f t="shared" si="115"/>
        <v>635.23110191241733</v>
      </c>
      <c r="BH141" s="60">
        <f t="shared" si="116"/>
        <v>928.5644352457507</v>
      </c>
      <c r="BI141" s="60">
        <f ca="1">AVERAGE(OFFSET($BH$3,0,0,'Données projet'!$E$11+1,1))-AVERAGE(OFFSET($H$3,0,0,'Données projet'!$E$11+1,1))</f>
        <v>294.2815419338562</v>
      </c>
      <c r="BJ141" s="60">
        <f t="shared" si="146"/>
        <v>173.99850582760712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-6.8212102632969618E-13</v>
      </c>
      <c r="BZ141" s="14">
        <f>BY141*VLOOKUP('Données projet'!$B$12,Paramètres!$A$1:$I$89,3,0)*VLOOKUP('Données projet'!$B$12,Paramètres!$A$1:$I$89,5,0)</f>
        <v>-5.8525984059087939E-13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317.48648551307656</v>
      </c>
      <c r="CE141" s="60">
        <f t="shared" si="148"/>
        <v>133.09277301479563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0">
        <f t="shared" si="122"/>
        <v>293.33333333333582</v>
      </c>
      <c r="CY141" s="60">
        <f ca="1">AVERAGE(OFFSET($CX$3,0,0,'Données projet'!$E$13+1,1))-AVERAGE(OFFSET($H$3,0,0,'Données projet'!$E$13+1,1))</f>
        <v>194.42056369374041</v>
      </c>
      <c r="CZ141" s="60">
        <f t="shared" si="150"/>
        <v>185.75045299455371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281.06831999999929</v>
      </c>
      <c r="DQ141" s="14">
        <f t="shared" si="151"/>
        <v>67.192725545416536</v>
      </c>
      <c r="DR141" s="22">
        <f t="shared" si="124"/>
        <v>606.55465432493247</v>
      </c>
      <c r="DS141" s="60">
        <f t="shared" si="125"/>
        <v>899.88798765826573</v>
      </c>
      <c r="DT141" s="60">
        <f ca="1">AVERAGE(OFFSET($DS$3,0,0,'Données projet'!$E$14+1,1))-AVERAGE(OFFSET($H$3,0,0,'Données projet'!$E$14+1,1))</f>
        <v>274.31056057602081</v>
      </c>
      <c r="DU141" s="60">
        <f t="shared" si="152"/>
        <v>163.41029152029387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3.813056537183002E-14</v>
      </c>
      <c r="EL141" s="14">
        <f t="shared" si="153"/>
        <v>6.4086286045526829E-13</v>
      </c>
      <c r="EM141" s="22">
        <f t="shared" si="127"/>
        <v>1.1825802166488628E-12</v>
      </c>
      <c r="EN141" s="60">
        <f t="shared" si="128"/>
        <v>293.33333333333451</v>
      </c>
      <c r="EO141" s="60">
        <f ca="1">AVERAGE(OFFSET($EN$3,0,0,'Données projet'!$E$15+1,1))-AVERAGE(OFFSET($H$3,0,0,'Données projet'!$E$15+1,1))</f>
        <v>120.18668518376586</v>
      </c>
      <c r="EP141" s="60">
        <f t="shared" si="154"/>
        <v>110.24821114898037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8">
        <f t="shared" si="110"/>
        <v>565.22789727634256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-6.2527760746888816E-13</v>
      </c>
      <c r="O142" s="14">
        <f>N142*VLOOKUP('Données projet'!$B$9,Paramètres!$A$1:$I$89,3,0)*VLOOKUP('Données projet'!$B$9,Paramètres!$A$1:$I$89,5,0)</f>
        <v>-2.9262992029543964E-13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106.50743833854523</v>
      </c>
      <c r="T142" s="60">
        <f t="shared" si="142"/>
        <v>47.606751325129608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0">
        <f t="shared" si="113"/>
        <v>866.76870009238769</v>
      </c>
      <c r="AN142" s="60">
        <f ca="1">AVERAGE(OFFSET($AM$3,0,0,'Données projet'!$E$10+1,1))-AVERAGE(OFFSET($H$3,0,0,'Données projet'!$E$10+1,1))</f>
        <v>247.65126267995316</v>
      </c>
      <c r="AO142" s="60">
        <f t="shared" si="144"/>
        <v>149.27472147904314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297.40619999999927</v>
      </c>
      <c r="BF142" s="14">
        <f t="shared" si="145"/>
        <v>70.632428863759543</v>
      </c>
      <c r="BG142" s="22">
        <f t="shared" si="115"/>
        <v>641.0006119377133</v>
      </c>
      <c r="BH142" s="60">
        <f t="shared" si="116"/>
        <v>934.33394527104656</v>
      </c>
      <c r="BI142" s="60">
        <f ca="1">AVERAGE(OFFSET($BH$3,0,0,'Données projet'!$E$11+1,1))-AVERAGE(OFFSET($H$3,0,0,'Données projet'!$E$11+1,1))</f>
        <v>294.2815419338562</v>
      </c>
      <c r="BJ142" s="60">
        <f t="shared" si="146"/>
        <v>173.99850582760712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-6.8212102632969618E-13</v>
      </c>
      <c r="BZ142" s="14">
        <f>BY142*VLOOKUP('Données projet'!$B$12,Paramètres!$A$1:$I$89,3,0)*VLOOKUP('Données projet'!$B$12,Paramètres!$A$1:$I$89,5,0)</f>
        <v>-5.8525984059087939E-13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317.48648551307656</v>
      </c>
      <c r="CE142" s="60">
        <f t="shared" si="148"/>
        <v>133.09277301479563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0">
        <f t="shared" si="122"/>
        <v>293.33333333333582</v>
      </c>
      <c r="CY142" s="60">
        <f ca="1">AVERAGE(OFFSET($CX$3,0,0,'Données projet'!$E$13+1,1))-AVERAGE(OFFSET($H$3,0,0,'Données projet'!$E$13+1,1))</f>
        <v>194.42056369374041</v>
      </c>
      <c r="CZ142" s="60">
        <f t="shared" si="150"/>
        <v>185.75045299455371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283.67975999999931</v>
      </c>
      <c r="DQ142" s="14">
        <f t="shared" si="151"/>
        <v>67.74405605004435</v>
      </c>
      <c r="DR142" s="22">
        <f t="shared" si="124"/>
        <v>612.06314628715938</v>
      </c>
      <c r="DS142" s="60">
        <f t="shared" si="125"/>
        <v>905.39647962049276</v>
      </c>
      <c r="DT142" s="60">
        <f ca="1">AVERAGE(OFFSET($DS$3,0,0,'Données projet'!$E$14+1,1))-AVERAGE(OFFSET($H$3,0,0,'Données projet'!$E$14+1,1))</f>
        <v>274.31056057602081</v>
      </c>
      <c r="DU142" s="60">
        <f t="shared" si="152"/>
        <v>163.41029152029387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3.813056537183002E-14</v>
      </c>
      <c r="EL142" s="14">
        <f t="shared" si="153"/>
        <v>6.4086286045526829E-13</v>
      </c>
      <c r="EM142" s="22">
        <f t="shared" si="127"/>
        <v>1.1825802166488628E-12</v>
      </c>
      <c r="EN142" s="60">
        <f t="shared" si="128"/>
        <v>293.33333333333451</v>
      </c>
      <c r="EO142" s="60">
        <f ca="1">AVERAGE(OFFSET($EN$3,0,0,'Données projet'!$E$15+1,1))-AVERAGE(OFFSET($H$3,0,0,'Données projet'!$E$15+1,1))</f>
        <v>120.18668518376586</v>
      </c>
      <c r="EP142" s="60">
        <f t="shared" si="154"/>
        <v>110.24821114898037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8">
        <f t="shared" si="110"/>
        <v>567.13640322787103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-6.2527760746888816E-13</v>
      </c>
      <c r="O143" s="14">
        <f>N143*VLOOKUP('Données projet'!$B$9,Paramètres!$A$1:$I$89,3,0)*VLOOKUP('Données projet'!$B$9,Paramètres!$A$1:$I$89,5,0)</f>
        <v>-2.9262992029543964E-13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106.50743833854523</v>
      </c>
      <c r="T143" s="60">
        <f t="shared" si="142"/>
        <v>47.606751325129608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0">
        <f t="shared" si="113"/>
        <v>871.92783634091984</v>
      </c>
      <c r="AN143" s="60">
        <f ca="1">AVERAGE(OFFSET($AM$3,0,0,'Données projet'!$E$10+1,1))-AVERAGE(OFFSET($H$3,0,0,'Données projet'!$E$10+1,1))</f>
        <v>247.65126267995316</v>
      </c>
      <c r="AO143" s="60">
        <f t="shared" si="144"/>
        <v>149.27472147904314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300.14399999999927</v>
      </c>
      <c r="BF143" s="14">
        <f t="shared" si="145"/>
        <v>71.206650563609728</v>
      </c>
      <c r="BG143" s="22">
        <f t="shared" si="115"/>
        <v>646.76904973161891</v>
      </c>
      <c r="BH143" s="60">
        <f t="shared" si="116"/>
        <v>940.10238306495216</v>
      </c>
      <c r="BI143" s="60">
        <f ca="1">AVERAGE(OFFSET($BH$3,0,0,'Données projet'!$E$11+1,1))-AVERAGE(OFFSET($H$3,0,0,'Données projet'!$E$11+1,1))</f>
        <v>294.2815419338562</v>
      </c>
      <c r="BJ143" s="60">
        <f t="shared" si="146"/>
        <v>173.99850582760712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-6.8212102632969618E-13</v>
      </c>
      <c r="BZ143" s="14">
        <f>BY143*VLOOKUP('Données projet'!$B$12,Paramètres!$A$1:$I$89,3,0)*VLOOKUP('Données projet'!$B$12,Paramètres!$A$1:$I$89,5,0)</f>
        <v>-5.8525984059087939E-13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317.48648551307656</v>
      </c>
      <c r="CE143" s="60">
        <f t="shared" si="148"/>
        <v>133.09277301479563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0">
        <f t="shared" si="122"/>
        <v>293.33333333333582</v>
      </c>
      <c r="CY143" s="60">
        <f ca="1">AVERAGE(OFFSET($CX$3,0,0,'Données projet'!$E$13+1,1))-AVERAGE(OFFSET($H$3,0,0,'Données projet'!$E$13+1,1))</f>
        <v>194.42056369374041</v>
      </c>
      <c r="CZ143" s="60">
        <f t="shared" si="150"/>
        <v>185.75045299455371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286.29119999999926</v>
      </c>
      <c r="DQ143" s="14">
        <f t="shared" si="151"/>
        <v>68.294796094604223</v>
      </c>
      <c r="DR143" s="22">
        <f t="shared" si="124"/>
        <v>617.57060986476779</v>
      </c>
      <c r="DS143" s="60">
        <f t="shared" si="125"/>
        <v>910.90394319810116</v>
      </c>
      <c r="DT143" s="60">
        <f ca="1">AVERAGE(OFFSET($DS$3,0,0,'Données projet'!$E$14+1,1))-AVERAGE(OFFSET($H$3,0,0,'Données projet'!$E$14+1,1))</f>
        <v>274.31056057602081</v>
      </c>
      <c r="DU143" s="60">
        <f t="shared" si="152"/>
        <v>163.41029152029387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3.813056537183002E-14</v>
      </c>
      <c r="EL143" s="14">
        <f t="shared" si="153"/>
        <v>6.4086286045526829E-13</v>
      </c>
      <c r="EM143" s="22">
        <f t="shared" si="127"/>
        <v>1.1825802166488628E-12</v>
      </c>
      <c r="EN143" s="60">
        <f t="shared" si="128"/>
        <v>293.33333333333451</v>
      </c>
      <c r="EO143" s="60">
        <f ca="1">AVERAGE(OFFSET($EN$3,0,0,'Données projet'!$E$15+1,1))-AVERAGE(OFFSET($H$3,0,0,'Données projet'!$E$15+1,1))</f>
        <v>120.18668518376586</v>
      </c>
      <c r="EP143" s="60">
        <f t="shared" si="154"/>
        <v>110.24821114898037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8">
        <f t="shared" si="110"/>
        <v>569.04461013977823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-6.2527760746888816E-13</v>
      </c>
      <c r="O144" s="14">
        <f>N144*VLOOKUP('Données projet'!$B$9,Paramètres!$A$1:$I$89,3,0)*VLOOKUP('Données projet'!$B$9,Paramètres!$A$1:$I$89,5,0)</f>
        <v>-2.9262992029543964E-13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106.50743833854523</v>
      </c>
      <c r="T144" s="60">
        <f t="shared" si="142"/>
        <v>47.606751325129608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0">
        <f t="shared" si="113"/>
        <v>824.88563895074731</v>
      </c>
      <c r="AN144" s="60">
        <f ca="1">AVERAGE(OFFSET($AM$3,0,0,'Données projet'!$E$10+1,1))-AVERAGE(OFFSET($H$3,0,0,'Données projet'!$E$10+1,1))</f>
        <v>247.65126267995316</v>
      </c>
      <c r="AO144" s="60">
        <f t="shared" si="144"/>
        <v>149.27472147904314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275.19959999999924</v>
      </c>
      <c r="BF144" s="14">
        <f t="shared" si="145"/>
        <v>65.951527620662489</v>
      </c>
      <c r="BG144" s="22">
        <f t="shared" si="115"/>
        <v>594.17154727265245</v>
      </c>
      <c r="BH144" s="60">
        <f t="shared" si="116"/>
        <v>887.50488060598582</v>
      </c>
      <c r="BI144" s="60">
        <f ca="1">AVERAGE(OFFSET($BH$3,0,0,'Données projet'!$E$11+1,1))-AVERAGE(OFFSET($H$3,0,0,'Données projet'!$E$11+1,1))</f>
        <v>294.2815419338562</v>
      </c>
      <c r="BJ144" s="60">
        <f t="shared" si="146"/>
        <v>173.99850582760712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-6.8212102632969618E-13</v>
      </c>
      <c r="BZ144" s="14">
        <f>BY144*VLOOKUP('Données projet'!$B$12,Paramètres!$A$1:$I$89,3,0)*VLOOKUP('Données projet'!$B$12,Paramètres!$A$1:$I$89,5,0)</f>
        <v>-5.8525984059087939E-13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317.48648551307656</v>
      </c>
      <c r="CE144" s="60">
        <f t="shared" si="148"/>
        <v>133.09277301479563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0">
        <f t="shared" si="122"/>
        <v>293.33333333333582</v>
      </c>
      <c r="CY144" s="60">
        <f ca="1">AVERAGE(OFFSET($CX$3,0,0,'Données projet'!$E$13+1,1))-AVERAGE(OFFSET($H$3,0,0,'Données projet'!$E$13+1,1))</f>
        <v>194.42056369374041</v>
      </c>
      <c r="CZ144" s="60">
        <f t="shared" si="150"/>
        <v>185.75045299455371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262.49807999999928</v>
      </c>
      <c r="DQ144" s="14">
        <f t="shared" si="151"/>
        <v>63.254570961137979</v>
      </c>
      <c r="DR144" s="22">
        <f t="shared" si="124"/>
        <v>567.35253375731406</v>
      </c>
      <c r="DS144" s="60">
        <f t="shared" si="125"/>
        <v>860.68586709064743</v>
      </c>
      <c r="DT144" s="60">
        <f ca="1">AVERAGE(OFFSET($DS$3,0,0,'Données projet'!$E$14+1,1))-AVERAGE(OFFSET($H$3,0,0,'Données projet'!$E$14+1,1))</f>
        <v>274.31056057602081</v>
      </c>
      <c r="DU144" s="60">
        <f t="shared" si="152"/>
        <v>163.41029152029387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3.813056537183002E-14</v>
      </c>
      <c r="EL144" s="14">
        <f t="shared" si="153"/>
        <v>6.4086286045526829E-13</v>
      </c>
      <c r="EM144" s="22">
        <f t="shared" si="127"/>
        <v>1.1825802166488628E-12</v>
      </c>
      <c r="EN144" s="60">
        <f t="shared" si="128"/>
        <v>293.33333333333451</v>
      </c>
      <c r="EO144" s="60">
        <f ca="1">AVERAGE(OFFSET($EN$3,0,0,'Données projet'!$E$15+1,1))-AVERAGE(OFFSET($H$3,0,0,'Données projet'!$E$15+1,1))</f>
        <v>120.18668518376586</v>
      </c>
      <c r="EP144" s="60">
        <f t="shared" si="154"/>
        <v>110.24821114898037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8">
        <f t="shared" si="110"/>
        <v>570.95252037884222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-6.2527760746888816E-13</v>
      </c>
      <c r="O145" s="14">
        <f>N145*VLOOKUP('Données projet'!$B$9,Paramètres!$A$1:$I$89,3,0)*VLOOKUP('Données projet'!$B$9,Paramètres!$A$1:$I$89,5,0)</f>
        <v>-2.9262992029543964E-13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106.50743833854523</v>
      </c>
      <c r="T145" s="60">
        <f t="shared" si="142"/>
        <v>47.606751325129608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0">
        <f t="shared" si="113"/>
        <v>829.47884870108419</v>
      </c>
      <c r="AN145" s="60">
        <f ca="1">AVERAGE(OFFSET($AM$3,0,0,'Données projet'!$E$10+1,1))-AVERAGE(OFFSET($H$3,0,0,'Données projet'!$E$10+1,1))</f>
        <v>247.65126267995316</v>
      </c>
      <c r="AO145" s="60">
        <f t="shared" si="144"/>
        <v>149.27472147904314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277.63319999999919</v>
      </c>
      <c r="BF145" s="14">
        <f t="shared" si="145"/>
        <v>66.466589162975524</v>
      </c>
      <c r="BG145" s="22">
        <f t="shared" si="115"/>
        <v>599.30713279218094</v>
      </c>
      <c r="BH145" s="60">
        <f t="shared" si="116"/>
        <v>892.64046612551419</v>
      </c>
      <c r="BI145" s="60">
        <f ca="1">AVERAGE(OFFSET($BH$3,0,0,'Données projet'!$E$11+1,1))-AVERAGE(OFFSET($H$3,0,0,'Données projet'!$E$11+1,1))</f>
        <v>294.2815419338562</v>
      </c>
      <c r="BJ145" s="60">
        <f t="shared" si="146"/>
        <v>173.99850582760712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-6.8212102632969618E-13</v>
      </c>
      <c r="BZ145" s="14">
        <f>BY145*VLOOKUP('Données projet'!$B$12,Paramètres!$A$1:$I$89,3,0)*VLOOKUP('Données projet'!$B$12,Paramètres!$A$1:$I$89,5,0)</f>
        <v>-5.8525984059087939E-13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317.48648551307656</v>
      </c>
      <c r="CE145" s="60">
        <f t="shared" si="148"/>
        <v>133.09277301479563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0">
        <f t="shared" si="122"/>
        <v>293.33333333333582</v>
      </c>
      <c r="CY145" s="60">
        <f ca="1">AVERAGE(OFFSET($CX$3,0,0,'Données projet'!$E$13+1,1))-AVERAGE(OFFSET($H$3,0,0,'Données projet'!$E$13+1,1))</f>
        <v>194.42056369374041</v>
      </c>
      <c r="CZ145" s="60">
        <f t="shared" si="150"/>
        <v>185.75045299455371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264.81935999999928</v>
      </c>
      <c r="DQ145" s="14">
        <f t="shared" si="151"/>
        <v>63.748570085236892</v>
      </c>
      <c r="DR145" s="22">
        <f t="shared" si="124"/>
        <v>572.25581156511964</v>
      </c>
      <c r="DS145" s="60">
        <f t="shared" si="125"/>
        <v>865.58914489845301</v>
      </c>
      <c r="DT145" s="60">
        <f ca="1">AVERAGE(OFFSET($DS$3,0,0,'Données projet'!$E$14+1,1))-AVERAGE(OFFSET($H$3,0,0,'Données projet'!$E$14+1,1))</f>
        <v>274.31056057602081</v>
      </c>
      <c r="DU145" s="60">
        <f t="shared" si="152"/>
        <v>163.41029152029387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3.813056537183002E-14</v>
      </c>
      <c r="EL145" s="14">
        <f t="shared" si="153"/>
        <v>6.4086286045526829E-13</v>
      </c>
      <c r="EM145" s="22">
        <f t="shared" si="127"/>
        <v>1.1825802166488628E-12</v>
      </c>
      <c r="EN145" s="60">
        <f t="shared" si="128"/>
        <v>293.33333333333451</v>
      </c>
      <c r="EO145" s="60">
        <f ca="1">AVERAGE(OFFSET($EN$3,0,0,'Données projet'!$E$15+1,1))-AVERAGE(OFFSET($H$3,0,0,'Données projet'!$E$15+1,1))</f>
        <v>120.18668518376586</v>
      </c>
      <c r="EP145" s="60">
        <f t="shared" si="154"/>
        <v>110.24821114898037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8">
        <f t="shared" si="110"/>
        <v>572.8601362765794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-6.2527760746888816E-13</v>
      </c>
      <c r="O146" s="14">
        <f>N146*VLOOKUP('Données projet'!$B$9,Paramètres!$A$1:$I$89,3,0)*VLOOKUP('Données projet'!$B$9,Paramètres!$A$1:$I$89,5,0)</f>
        <v>-2.9262992029543964E-13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106.50743833854523</v>
      </c>
      <c r="T146" s="60">
        <f t="shared" si="142"/>
        <v>47.606751325129608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0">
        <f t="shared" si="113"/>
        <v>834.07123124476584</v>
      </c>
      <c r="AN146" s="60">
        <f ca="1">AVERAGE(OFFSET($AM$3,0,0,'Données projet'!$E$10+1,1))-AVERAGE(OFFSET($H$3,0,0,'Données projet'!$E$10+1,1))</f>
        <v>247.65126267995316</v>
      </c>
      <c r="AO146" s="60">
        <f t="shared" si="144"/>
        <v>149.27472147904314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280.0667999999992</v>
      </c>
      <c r="BF146" s="14">
        <f t="shared" si="145"/>
        <v>66.981125445388756</v>
      </c>
      <c r="BG146" s="22">
        <f t="shared" si="115"/>
        <v>604.44180348405064</v>
      </c>
      <c r="BH146" s="60">
        <f t="shared" si="116"/>
        <v>897.77513681738401</v>
      </c>
      <c r="BI146" s="60">
        <f ca="1">AVERAGE(OFFSET($BH$3,0,0,'Données projet'!$E$11+1,1))-AVERAGE(OFFSET($H$3,0,0,'Données projet'!$E$11+1,1))</f>
        <v>294.2815419338562</v>
      </c>
      <c r="BJ146" s="60">
        <f t="shared" si="146"/>
        <v>173.99850582760712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-6.8212102632969618E-13</v>
      </c>
      <c r="BZ146" s="14">
        <f>BY146*VLOOKUP('Données projet'!$B$12,Paramètres!$A$1:$I$89,3,0)*VLOOKUP('Données projet'!$B$12,Paramètres!$A$1:$I$89,5,0)</f>
        <v>-5.8525984059087939E-13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317.48648551307656</v>
      </c>
      <c r="CE146" s="60">
        <f t="shared" si="148"/>
        <v>133.09277301479563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0">
        <f t="shared" si="122"/>
        <v>293.33333333333582</v>
      </c>
      <c r="CY146" s="60">
        <f ca="1">AVERAGE(OFFSET($CX$3,0,0,'Données projet'!$E$13+1,1))-AVERAGE(OFFSET($H$3,0,0,'Données projet'!$E$13+1,1))</f>
        <v>194.42056369374041</v>
      </c>
      <c r="CZ146" s="60">
        <f t="shared" si="150"/>
        <v>185.75045299455371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267.14063999999922</v>
      </c>
      <c r="DQ146" s="14">
        <f t="shared" si="151"/>
        <v>64.242065428895785</v>
      </c>
      <c r="DR146" s="22">
        <f t="shared" si="124"/>
        <v>577.15821195532533</v>
      </c>
      <c r="DS146" s="60">
        <f t="shared" si="125"/>
        <v>870.4915452886587</v>
      </c>
      <c r="DT146" s="60">
        <f ca="1">AVERAGE(OFFSET($DS$3,0,0,'Données projet'!$E$14+1,1))-AVERAGE(OFFSET($H$3,0,0,'Données projet'!$E$14+1,1))</f>
        <v>274.31056057602081</v>
      </c>
      <c r="DU146" s="60">
        <f t="shared" si="152"/>
        <v>163.41029152029387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3.813056537183002E-14</v>
      </c>
      <c r="EL146" s="14">
        <f t="shared" si="153"/>
        <v>6.4086286045526829E-13</v>
      </c>
      <c r="EM146" s="22">
        <f t="shared" si="127"/>
        <v>1.1825802166488628E-12</v>
      </c>
      <c r="EN146" s="60">
        <f t="shared" si="128"/>
        <v>293.33333333333451</v>
      </c>
      <c r="EO146" s="60">
        <f ca="1">AVERAGE(OFFSET($EN$3,0,0,'Données projet'!$E$15+1,1))-AVERAGE(OFFSET($H$3,0,0,'Données projet'!$E$15+1,1))</f>
        <v>120.18668518376586</v>
      </c>
      <c r="EP146" s="60">
        <f t="shared" si="154"/>
        <v>110.24821114898037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8">
        <f t="shared" si="110"/>
        <v>574.76746013001298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-6.2527760746888816E-13</v>
      </c>
      <c r="O147" s="14">
        <f>N147*VLOOKUP('Données projet'!$B$9,Paramètres!$A$1:$I$89,3,0)*VLOOKUP('Données projet'!$B$9,Paramètres!$A$1:$I$89,5,0)</f>
        <v>-2.9262992029543964E-13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106.50743833854523</v>
      </c>
      <c r="T147" s="60">
        <f t="shared" si="142"/>
        <v>47.606751325129608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0">
        <f t="shared" si="113"/>
        <v>838.66279460250166</v>
      </c>
      <c r="AN147" s="60">
        <f ca="1">AVERAGE(OFFSET($AM$3,0,0,'Données projet'!$E$10+1,1))-AVERAGE(OFFSET($H$3,0,0,'Données projet'!$E$10+1,1))</f>
        <v>247.65126267995316</v>
      </c>
      <c r="AO147" s="60">
        <f t="shared" si="144"/>
        <v>149.27472147904314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282.50039999999916</v>
      </c>
      <c r="BF147" s="14">
        <f t="shared" si="145"/>
        <v>67.495141560894254</v>
      </c>
      <c r="BG147" s="22">
        <f t="shared" si="115"/>
        <v>609.57556821855599</v>
      </c>
      <c r="BH147" s="60">
        <f t="shared" si="116"/>
        <v>902.90890155188936</v>
      </c>
      <c r="BI147" s="60">
        <f ca="1">AVERAGE(OFFSET($BH$3,0,0,'Données projet'!$E$11+1,1))-AVERAGE(OFFSET($H$3,0,0,'Données projet'!$E$11+1,1))</f>
        <v>294.2815419338562</v>
      </c>
      <c r="BJ147" s="60">
        <f t="shared" si="146"/>
        <v>173.99850582760712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-6.8212102632969618E-13</v>
      </c>
      <c r="BZ147" s="14">
        <f>BY147*VLOOKUP('Données projet'!$B$12,Paramètres!$A$1:$I$89,3,0)*VLOOKUP('Données projet'!$B$12,Paramètres!$A$1:$I$89,5,0)</f>
        <v>-5.8525984059087939E-13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317.48648551307656</v>
      </c>
      <c r="CE147" s="60">
        <f t="shared" si="148"/>
        <v>133.09277301479563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0">
        <f t="shared" si="122"/>
        <v>293.33333333333582</v>
      </c>
      <c r="CY147" s="60">
        <f ca="1">AVERAGE(OFFSET($CX$3,0,0,'Données projet'!$E$13+1,1))-AVERAGE(OFFSET($H$3,0,0,'Données projet'!$E$13+1,1))</f>
        <v>194.42056369374041</v>
      </c>
      <c r="CZ147" s="60">
        <f t="shared" si="150"/>
        <v>185.75045299455371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269.46191999999922</v>
      </c>
      <c r="DQ147" s="14">
        <f t="shared" si="151"/>
        <v>64.735061876838927</v>
      </c>
      <c r="DR147" s="22">
        <f t="shared" si="124"/>
        <v>582.05974343549315</v>
      </c>
      <c r="DS147" s="60">
        <f t="shared" si="125"/>
        <v>875.3930767688264</v>
      </c>
      <c r="DT147" s="60">
        <f ca="1">AVERAGE(OFFSET($DS$3,0,0,'Données projet'!$E$14+1,1))-AVERAGE(OFFSET($H$3,0,0,'Données projet'!$E$14+1,1))</f>
        <v>274.31056057602081</v>
      </c>
      <c r="DU147" s="60">
        <f t="shared" si="152"/>
        <v>163.41029152029387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3.813056537183002E-14</v>
      </c>
      <c r="EL147" s="14">
        <f t="shared" si="153"/>
        <v>6.4086286045526829E-13</v>
      </c>
      <c r="EM147" s="22">
        <f t="shared" si="127"/>
        <v>1.1825802166488628E-12</v>
      </c>
      <c r="EN147" s="60">
        <f t="shared" si="128"/>
        <v>293.33333333333451</v>
      </c>
      <c r="EO147" s="60">
        <f ca="1">AVERAGE(OFFSET($EN$3,0,0,'Données projet'!$E$15+1,1))-AVERAGE(OFFSET($H$3,0,0,'Données projet'!$E$15+1,1))</f>
        <v>120.18668518376586</v>
      </c>
      <c r="EP147" s="60">
        <f t="shared" si="154"/>
        <v>110.24821114898037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8">
        <f t="shared" si="110"/>
        <v>576.6744942024194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-6.2527760746888816E-13</v>
      </c>
      <c r="O148" s="14">
        <f>N148*VLOOKUP('Données projet'!$B$9,Paramètres!$A$1:$I$89,3,0)*VLOOKUP('Données projet'!$B$9,Paramètres!$A$1:$I$89,5,0)</f>
        <v>-2.9262992029543964E-13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106.50743833854523</v>
      </c>
      <c r="T148" s="60">
        <f t="shared" si="142"/>
        <v>47.606751325129608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0">
        <f t="shared" si="113"/>
        <v>843.25354664883753</v>
      </c>
      <c r="AN148" s="60">
        <f ca="1">AVERAGE(OFFSET($AM$3,0,0,'Données projet'!$E$10+1,1))-AVERAGE(OFFSET($H$3,0,0,'Données projet'!$E$10+1,1))</f>
        <v>247.65126267995316</v>
      </c>
      <c r="AO148" s="60">
        <f t="shared" si="144"/>
        <v>149.27472147904314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284.93399999999917</v>
      </c>
      <c r="BF148" s="14">
        <f t="shared" si="145"/>
        <v>68.008642509673109</v>
      </c>
      <c r="BG148" s="22">
        <f t="shared" si="115"/>
        <v>614.7084357043459</v>
      </c>
      <c r="BH148" s="60">
        <f t="shared" si="116"/>
        <v>908.04176903767916</v>
      </c>
      <c r="BI148" s="60">
        <f ca="1">AVERAGE(OFFSET($BH$3,0,0,'Données projet'!$E$11+1,1))-AVERAGE(OFFSET($H$3,0,0,'Données projet'!$E$11+1,1))</f>
        <v>294.2815419338562</v>
      </c>
      <c r="BJ148" s="60">
        <f t="shared" si="146"/>
        <v>173.99850582760712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-6.8212102632969618E-13</v>
      </c>
      <c r="BZ148" s="14">
        <f>BY148*VLOOKUP('Données projet'!$B$12,Paramètres!$A$1:$I$89,3,0)*VLOOKUP('Données projet'!$B$12,Paramètres!$A$1:$I$89,5,0)</f>
        <v>-5.8525984059087939E-13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317.48648551307656</v>
      </c>
      <c r="CE148" s="60">
        <f t="shared" si="148"/>
        <v>133.09277301479563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0">
        <f t="shared" si="122"/>
        <v>293.33333333333582</v>
      </c>
      <c r="CY148" s="60">
        <f ca="1">AVERAGE(OFFSET($CX$3,0,0,'Données projet'!$E$13+1,1))-AVERAGE(OFFSET($H$3,0,0,'Données projet'!$E$13+1,1))</f>
        <v>194.42056369374041</v>
      </c>
      <c r="CZ148" s="60">
        <f t="shared" si="150"/>
        <v>185.75045299455371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271.78319999999917</v>
      </c>
      <c r="DQ148" s="14">
        <f t="shared" si="151"/>
        <v>65.227564224775008</v>
      </c>
      <c r="DR148" s="22">
        <f t="shared" si="124"/>
        <v>586.96041435814834</v>
      </c>
      <c r="DS148" s="60">
        <f t="shared" si="125"/>
        <v>880.29374769148171</v>
      </c>
      <c r="DT148" s="60">
        <f ca="1">AVERAGE(OFFSET($DS$3,0,0,'Données projet'!$E$14+1,1))-AVERAGE(OFFSET($H$3,0,0,'Données projet'!$E$14+1,1))</f>
        <v>274.31056057602081</v>
      </c>
      <c r="DU148" s="60">
        <f t="shared" si="152"/>
        <v>163.41029152029387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3.813056537183002E-14</v>
      </c>
      <c r="EL148" s="14">
        <f t="shared" si="153"/>
        <v>6.4086286045526829E-13</v>
      </c>
      <c r="EM148" s="22">
        <f t="shared" si="127"/>
        <v>1.1825802166488628E-12</v>
      </c>
      <c r="EN148" s="60">
        <f t="shared" si="128"/>
        <v>293.33333333333451</v>
      </c>
      <c r="EO148" s="60">
        <f ca="1">AVERAGE(OFFSET($EN$3,0,0,'Données projet'!$E$15+1,1))-AVERAGE(OFFSET($H$3,0,0,'Données projet'!$E$15+1,1))</f>
        <v>120.18668518376586</v>
      </c>
      <c r="EP148" s="60">
        <f t="shared" si="154"/>
        <v>110.24821114898037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8">
        <f t="shared" si="110"/>
        <v>578.58124072405269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-6.2527760746888816E-13</v>
      </c>
      <c r="O149" s="14">
        <f>N149*VLOOKUP('Données projet'!$B$9,Paramètres!$A$1:$I$89,3,0)*VLOOKUP('Données projet'!$B$9,Paramètres!$A$1:$I$89,5,0)</f>
        <v>-2.9262992029543964E-13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106.50743833854523</v>
      </c>
      <c r="T149" s="60">
        <f t="shared" si="142"/>
        <v>47.606751325129608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0">
        <f t="shared" si="113"/>
        <v>847.84349511604432</v>
      </c>
      <c r="AN149" s="60">
        <f ca="1">AVERAGE(OFFSET($AM$3,0,0,'Données projet'!$E$10+1,1))-AVERAGE(OFFSET($H$3,0,0,'Données projet'!$E$10+1,1))</f>
        <v>247.65126267995316</v>
      </c>
      <c r="AO149" s="60">
        <f t="shared" si="144"/>
        <v>149.27472147904314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287.36759999999913</v>
      </c>
      <c r="BF149" s="14">
        <f t="shared" si="145"/>
        <v>68.521633201564995</v>
      </c>
      <c r="BG149" s="22">
        <f t="shared" si="115"/>
        <v>619.84041449272411</v>
      </c>
      <c r="BH149" s="60">
        <f t="shared" si="116"/>
        <v>913.17374782605748</v>
      </c>
      <c r="BI149" s="60">
        <f ca="1">AVERAGE(OFFSET($BH$3,0,0,'Données projet'!$E$11+1,1))-AVERAGE(OFFSET($H$3,0,0,'Données projet'!$E$11+1,1))</f>
        <v>294.2815419338562</v>
      </c>
      <c r="BJ149" s="60">
        <f t="shared" si="146"/>
        <v>173.99850582760712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-6.8212102632969618E-13</v>
      </c>
      <c r="BZ149" s="14">
        <f>BY149*VLOOKUP('Données projet'!$B$12,Paramètres!$A$1:$I$89,3,0)*VLOOKUP('Données projet'!$B$12,Paramètres!$A$1:$I$89,5,0)</f>
        <v>-5.8525984059087939E-13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317.48648551307656</v>
      </c>
      <c r="CE149" s="60">
        <f t="shared" si="148"/>
        <v>133.09277301479563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0">
        <f t="shared" si="122"/>
        <v>293.33333333333582</v>
      </c>
      <c r="CY149" s="60">
        <f ca="1">AVERAGE(OFFSET($CX$3,0,0,'Données projet'!$E$13+1,1))-AVERAGE(OFFSET($H$3,0,0,'Données projet'!$E$13+1,1))</f>
        <v>194.42056369374041</v>
      </c>
      <c r="CZ149" s="60">
        <f t="shared" si="150"/>
        <v>185.75045299455371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274.10447999999917</v>
      </c>
      <c r="DQ149" s="14">
        <f t="shared" si="151"/>
        <v>65.719577181765331</v>
      </c>
      <c r="DR149" s="22">
        <f t="shared" si="124"/>
        <v>591.86023292490643</v>
      </c>
      <c r="DS149" s="60">
        <f t="shared" si="125"/>
        <v>885.1935662582398</v>
      </c>
      <c r="DT149" s="60">
        <f ca="1">AVERAGE(OFFSET($DS$3,0,0,'Données projet'!$E$14+1,1))-AVERAGE(OFFSET($H$3,0,0,'Données projet'!$E$14+1,1))</f>
        <v>274.31056057602081</v>
      </c>
      <c r="DU149" s="60">
        <f t="shared" si="152"/>
        <v>163.41029152029387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3.813056537183002E-14</v>
      </c>
      <c r="EL149" s="14">
        <f t="shared" si="153"/>
        <v>6.4086286045526829E-13</v>
      </c>
      <c r="EM149" s="22">
        <f t="shared" si="127"/>
        <v>1.1825802166488628E-12</v>
      </c>
      <c r="EN149" s="60">
        <f t="shared" si="128"/>
        <v>293.33333333333451</v>
      </c>
      <c r="EO149" s="60">
        <f ca="1">AVERAGE(OFFSET($EN$3,0,0,'Données projet'!$E$15+1,1))-AVERAGE(OFFSET($H$3,0,0,'Données projet'!$E$15+1,1))</f>
        <v>120.18668518376586</v>
      </c>
      <c r="EP149" s="60">
        <f t="shared" si="154"/>
        <v>110.24821114898037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8">
        <f t="shared" si="110"/>
        <v>580.48770189284971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-6.2527760746888816E-13</v>
      </c>
      <c r="O150" s="14">
        <f>N150*VLOOKUP('Données projet'!$B$9,Paramètres!$A$1:$I$89,3,0)*VLOOKUP('Données projet'!$B$9,Paramètres!$A$1:$I$89,5,0)</f>
        <v>-2.9262992029543964E-13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106.50743833854523</v>
      </c>
      <c r="T150" s="60">
        <f t="shared" si="142"/>
        <v>47.606751325129608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0">
        <f t="shared" si="113"/>
        <v>852.43264759787166</v>
      </c>
      <c r="AN150" s="60">
        <f ca="1">AVERAGE(OFFSET($AM$3,0,0,'Données projet'!$E$10+1,1))-AVERAGE(OFFSET($H$3,0,0,'Données projet'!$E$10+1,1))</f>
        <v>247.65126267995316</v>
      </c>
      <c r="AO150" s="60">
        <f t="shared" si="144"/>
        <v>149.27472147904314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289.80119999999908</v>
      </c>
      <c r="BF150" s="14">
        <f t="shared" si="145"/>
        <v>69.034118458450664</v>
      </c>
      <c r="BG150" s="22">
        <f t="shared" si="115"/>
        <v>624.97151298179995</v>
      </c>
      <c r="BH150" s="60">
        <f t="shared" si="116"/>
        <v>918.30484631513332</v>
      </c>
      <c r="BI150" s="60">
        <f ca="1">AVERAGE(OFFSET($BH$3,0,0,'Données projet'!$E$11+1,1))-AVERAGE(OFFSET($H$3,0,0,'Données projet'!$E$11+1,1))</f>
        <v>294.2815419338562</v>
      </c>
      <c r="BJ150" s="60">
        <f t="shared" si="146"/>
        <v>173.99850582760712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-6.8212102632969618E-13</v>
      </c>
      <c r="BZ150" s="14">
        <f>BY150*VLOOKUP('Données projet'!$B$12,Paramètres!$A$1:$I$89,3,0)*VLOOKUP('Données projet'!$B$12,Paramètres!$A$1:$I$89,5,0)</f>
        <v>-5.8525984059087939E-13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317.48648551307656</v>
      </c>
      <c r="CE150" s="60">
        <f t="shared" si="148"/>
        <v>133.09277301479563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0">
        <f t="shared" si="122"/>
        <v>293.33333333333582</v>
      </c>
      <c r="CY150" s="60">
        <f ca="1">AVERAGE(OFFSET($CX$3,0,0,'Données projet'!$E$13+1,1))-AVERAGE(OFFSET($H$3,0,0,'Données projet'!$E$13+1,1))</f>
        <v>194.42056369374041</v>
      </c>
      <c r="CZ150" s="60">
        <f t="shared" si="150"/>
        <v>185.75045299455371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276.42575999999912</v>
      </c>
      <c r="DQ150" s="14">
        <f t="shared" si="151"/>
        <v>66.211105372509707</v>
      </c>
      <c r="DR150" s="22">
        <f t="shared" si="124"/>
        <v>596.75920719045291</v>
      </c>
      <c r="DS150" s="60">
        <f t="shared" si="125"/>
        <v>890.09254052378628</v>
      </c>
      <c r="DT150" s="60">
        <f ca="1">AVERAGE(OFFSET($DS$3,0,0,'Données projet'!$E$14+1,1))-AVERAGE(OFFSET($H$3,0,0,'Données projet'!$E$14+1,1))</f>
        <v>274.31056057602081</v>
      </c>
      <c r="DU150" s="60">
        <f t="shared" si="152"/>
        <v>163.41029152029387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3.813056537183002E-14</v>
      </c>
      <c r="EL150" s="14">
        <f t="shared" si="153"/>
        <v>6.4086286045526829E-13</v>
      </c>
      <c r="EM150" s="22">
        <f t="shared" si="127"/>
        <v>1.1825802166488628E-12</v>
      </c>
      <c r="EN150" s="60">
        <f t="shared" si="128"/>
        <v>293.33333333333451</v>
      </c>
      <c r="EO150" s="60">
        <f ca="1">AVERAGE(OFFSET($EN$3,0,0,'Données projet'!$E$15+1,1))-AVERAGE(OFFSET($H$3,0,0,'Données projet'!$E$15+1,1))</f>
        <v>120.18668518376586</v>
      </c>
      <c r="EP150" s="60">
        <f t="shared" si="154"/>
        <v>110.24821114898037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8">
        <f t="shared" si="110"/>
        <v>582.39387987511509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-6.2527760746888816E-13</v>
      </c>
      <c r="O151" s="14">
        <f>N151*VLOOKUP('Données projet'!$B$9,Paramètres!$A$1:$I$89,3,0)*VLOOKUP('Données projet'!$B$9,Paramètres!$A$1:$I$89,5,0)</f>
        <v>-2.9262992029543964E-13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106.50743833854523</v>
      </c>
      <c r="T151" s="60">
        <f t="shared" si="142"/>
        <v>47.606751325129608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0">
        <f t="shared" si="113"/>
        <v>857.02101155317064</v>
      </c>
      <c r="AN151" s="60">
        <f ca="1">AVERAGE(OFFSET($AM$3,0,0,'Données projet'!$E$10+1,1))-AVERAGE(OFFSET($H$3,0,0,'Données projet'!$E$10+1,1))</f>
        <v>247.65126267995316</v>
      </c>
      <c r="AO151" s="60">
        <f t="shared" si="144"/>
        <v>149.27472147904314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292.2347999999991</v>
      </c>
      <c r="BF151" s="14">
        <f t="shared" si="145"/>
        <v>69.546103016553573</v>
      </c>
      <c r="BG151" s="22">
        <f t="shared" si="115"/>
        <v>630.10173942049585</v>
      </c>
      <c r="BH151" s="60">
        <f t="shared" si="116"/>
        <v>923.43507275382922</v>
      </c>
      <c r="BI151" s="60">
        <f ca="1">AVERAGE(OFFSET($BH$3,0,0,'Données projet'!$E$11+1,1))-AVERAGE(OFFSET($H$3,0,0,'Données projet'!$E$11+1,1))</f>
        <v>294.2815419338562</v>
      </c>
      <c r="BJ151" s="60">
        <f t="shared" si="146"/>
        <v>173.99850582760712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-6.8212102632969618E-13</v>
      </c>
      <c r="BZ151" s="14">
        <f>BY151*VLOOKUP('Données projet'!$B$12,Paramètres!$A$1:$I$89,3,0)*VLOOKUP('Données projet'!$B$12,Paramètres!$A$1:$I$89,5,0)</f>
        <v>-5.8525984059087939E-13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317.48648551307656</v>
      </c>
      <c r="CE151" s="60">
        <f t="shared" si="148"/>
        <v>133.09277301479563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0">
        <f t="shared" si="122"/>
        <v>293.33333333333582</v>
      </c>
      <c r="CY151" s="60">
        <f ca="1">AVERAGE(OFFSET($CX$3,0,0,'Données projet'!$E$13+1,1))-AVERAGE(OFFSET($H$3,0,0,'Données projet'!$E$13+1,1))</f>
        <v>194.42056369374041</v>
      </c>
      <c r="CZ151" s="60">
        <f t="shared" si="150"/>
        <v>185.75045299455371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278.74703999999912</v>
      </c>
      <c r="DQ151" s="14">
        <f t="shared" si="151"/>
        <v>66.702153339553078</v>
      </c>
      <c r="DR151" s="22">
        <f t="shared" si="124"/>
        <v>601.65734506638671</v>
      </c>
      <c r="DS151" s="60">
        <f t="shared" si="125"/>
        <v>894.99067839972008</v>
      </c>
      <c r="DT151" s="60">
        <f ca="1">AVERAGE(OFFSET($DS$3,0,0,'Données projet'!$E$14+1,1))-AVERAGE(OFFSET($H$3,0,0,'Données projet'!$E$14+1,1))</f>
        <v>274.31056057602081</v>
      </c>
      <c r="DU151" s="60">
        <f t="shared" si="152"/>
        <v>163.41029152029387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3.813056537183002E-14</v>
      </c>
      <c r="EL151" s="14">
        <f t="shared" si="153"/>
        <v>6.4086286045526829E-13</v>
      </c>
      <c r="EM151" s="22">
        <f t="shared" si="127"/>
        <v>1.1825802166488628E-12</v>
      </c>
      <c r="EN151" s="60">
        <f t="shared" si="128"/>
        <v>293.33333333333451</v>
      </c>
      <c r="EO151" s="60">
        <f ca="1">AVERAGE(OFFSET($EN$3,0,0,'Données projet'!$E$15+1,1))-AVERAGE(OFFSET($H$3,0,0,'Données projet'!$E$15+1,1))</f>
        <v>120.18668518376586</v>
      </c>
      <c r="EP151" s="60">
        <f t="shared" si="154"/>
        <v>110.24821114898037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8">
        <f t="shared" si="110"/>
        <v>584.29977680618606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-6.2527760746888816E-13</v>
      </c>
      <c r="O152" s="14">
        <f>N152*VLOOKUP('Données projet'!$B$9,Paramètres!$A$1:$I$89,3,0)*VLOOKUP('Données projet'!$B$9,Paramètres!$A$1:$I$89,5,0)</f>
        <v>-2.9262992029543964E-13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106.50743833854523</v>
      </c>
      <c r="T152" s="60">
        <f t="shared" si="142"/>
        <v>47.606751325129608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0">
        <f t="shared" si="113"/>
        <v>861.60859430939354</v>
      </c>
      <c r="AN152" s="60">
        <f ca="1">AVERAGE(OFFSET($AM$3,0,0,'Données projet'!$E$10+1,1))-AVERAGE(OFFSET($H$3,0,0,'Données projet'!$E$10+1,1))</f>
        <v>247.65126267995316</v>
      </c>
      <c r="AO152" s="60">
        <f t="shared" si="144"/>
        <v>149.27472147904314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294.66839999999905</v>
      </c>
      <c r="BF152" s="14">
        <f t="shared" si="145"/>
        <v>70.057591528661362</v>
      </c>
      <c r="BG152" s="22">
        <f t="shared" si="115"/>
        <v>635.23110191241688</v>
      </c>
      <c r="BH152" s="60">
        <f t="shared" si="116"/>
        <v>928.56443524575025</v>
      </c>
      <c r="BI152" s="60">
        <f ca="1">AVERAGE(OFFSET($BH$3,0,0,'Données projet'!$E$11+1,1))-AVERAGE(OFFSET($H$3,0,0,'Données projet'!$E$11+1,1))</f>
        <v>294.2815419338562</v>
      </c>
      <c r="BJ152" s="60">
        <f t="shared" si="146"/>
        <v>173.99850582760712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-6.8212102632969618E-13</v>
      </c>
      <c r="BZ152" s="14">
        <f>BY152*VLOOKUP('Données projet'!$B$12,Paramètres!$A$1:$I$89,3,0)*VLOOKUP('Données projet'!$B$12,Paramètres!$A$1:$I$89,5,0)</f>
        <v>-5.8525984059087939E-13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317.48648551307656</v>
      </c>
      <c r="CE152" s="60">
        <f t="shared" si="148"/>
        <v>133.09277301479563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0">
        <f t="shared" si="122"/>
        <v>293.33333333333582</v>
      </c>
      <c r="CY152" s="60">
        <f ca="1">AVERAGE(OFFSET($CX$3,0,0,'Données projet'!$E$13+1,1))-AVERAGE(OFFSET($H$3,0,0,'Données projet'!$E$13+1,1))</f>
        <v>194.42056369374041</v>
      </c>
      <c r="CZ152" s="60">
        <f t="shared" si="150"/>
        <v>185.75045299455371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281.06831999999906</v>
      </c>
      <c r="DQ152" s="14">
        <f t="shared" si="151"/>
        <v>67.192725545416479</v>
      </c>
      <c r="DR152" s="22">
        <f t="shared" si="124"/>
        <v>606.55465432493213</v>
      </c>
      <c r="DS152" s="60">
        <f t="shared" si="125"/>
        <v>899.8879876582655</v>
      </c>
      <c r="DT152" s="60">
        <f ca="1">AVERAGE(OFFSET($DS$3,0,0,'Données projet'!$E$14+1,1))-AVERAGE(OFFSET($H$3,0,0,'Données projet'!$E$14+1,1))</f>
        <v>274.31056057602081</v>
      </c>
      <c r="DU152" s="60">
        <f t="shared" si="152"/>
        <v>163.41029152029387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3.813056537183002E-14</v>
      </c>
      <c r="EL152" s="14">
        <f t="shared" si="153"/>
        <v>6.4086286045526829E-13</v>
      </c>
      <c r="EM152" s="22">
        <f t="shared" si="127"/>
        <v>1.1825802166488628E-12</v>
      </c>
      <c r="EN152" s="60">
        <f t="shared" si="128"/>
        <v>293.33333333333451</v>
      </c>
      <c r="EO152" s="60">
        <f ca="1">AVERAGE(OFFSET($EN$3,0,0,'Données projet'!$E$15+1,1))-AVERAGE(OFFSET($H$3,0,0,'Données projet'!$E$15+1,1))</f>
        <v>120.18668518376586</v>
      </c>
      <c r="EP152" s="60">
        <f t="shared" si="154"/>
        <v>110.24821114898037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8">
        <f t="shared" si="110"/>
        <v>586.20539479108152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-6.2527760746888816E-13</v>
      </c>
      <c r="O153" s="14">
        <f>N153*VLOOKUP('Données projet'!$B$9,Paramètres!$A$1:$I$89,3,0)*VLOOKUP('Données projet'!$B$9,Paramètres!$A$1:$I$89,5,0)</f>
        <v>-2.9262992029543964E-13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106.50743833854523</v>
      </c>
      <c r="T153" s="60">
        <f t="shared" si="142"/>
        <v>47.606751325129608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0">
        <f t="shared" si="113"/>
        <v>866.19540306597469</v>
      </c>
      <c r="AN153" s="60">
        <f ca="1">AVERAGE(OFFSET($AM$3,0,0,'Données projet'!$E$10+1,1))-AVERAGE(OFFSET($H$3,0,0,'Données projet'!$E$10+1,1))</f>
        <v>247.65126267995316</v>
      </c>
      <c r="AO153" s="60">
        <f t="shared" si="144"/>
        <v>149.27472147904314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297.10199999999907</v>
      </c>
      <c r="BF153" s="14">
        <f t="shared" si="145"/>
        <v>70.568588566272624</v>
      </c>
      <c r="BG153" s="22">
        <f t="shared" si="115"/>
        <v>640.3596084195899</v>
      </c>
      <c r="BH153" s="60">
        <f t="shared" si="116"/>
        <v>933.69294175292316</v>
      </c>
      <c r="BI153" s="60">
        <f ca="1">AVERAGE(OFFSET($BH$3,0,0,'Données projet'!$E$11+1,1))-AVERAGE(OFFSET($H$3,0,0,'Données projet'!$E$11+1,1))</f>
        <v>294.2815419338562</v>
      </c>
      <c r="BJ153" s="60">
        <f t="shared" si="146"/>
        <v>173.99850582760712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-6.8212102632969618E-13</v>
      </c>
      <c r="BZ153" s="14">
        <f>BY153*VLOOKUP('Données projet'!$B$12,Paramètres!$A$1:$I$89,3,0)*VLOOKUP('Données projet'!$B$12,Paramètres!$A$1:$I$89,5,0)</f>
        <v>-5.8525984059087939E-13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317.48648551307656</v>
      </c>
      <c r="CE153" s="60">
        <f t="shared" si="148"/>
        <v>133.09277301479563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0">
        <f t="shared" si="122"/>
        <v>293.33333333333582</v>
      </c>
      <c r="CY153" s="60">
        <f ca="1">AVERAGE(OFFSET($CX$3,0,0,'Données projet'!$E$13+1,1))-AVERAGE(OFFSET($H$3,0,0,'Données projet'!$E$13+1,1))</f>
        <v>194.42056369374041</v>
      </c>
      <c r="CZ153" s="60">
        <f t="shared" si="150"/>
        <v>185.75045299455371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283.38959999999906</v>
      </c>
      <c r="DQ153" s="14">
        <f t="shared" si="151"/>
        <v>67.682826374656187</v>
      </c>
      <c r="DR153" s="22">
        <f t="shared" si="124"/>
        <v>611.45114260252456</v>
      </c>
      <c r="DS153" s="60">
        <f t="shared" si="125"/>
        <v>904.78447593585793</v>
      </c>
      <c r="DT153" s="60">
        <f ca="1">AVERAGE(OFFSET($DS$3,0,0,'Données projet'!$E$14+1,1))-AVERAGE(OFFSET($H$3,0,0,'Données projet'!$E$14+1,1))</f>
        <v>274.31056057602081</v>
      </c>
      <c r="DU153" s="60">
        <f t="shared" si="152"/>
        <v>163.41029152029387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3.813056537183002E-14</v>
      </c>
      <c r="EL153" s="14">
        <f t="shared" si="153"/>
        <v>6.4086286045526829E-13</v>
      </c>
      <c r="EM153" s="22">
        <f t="shared" si="127"/>
        <v>1.1825802166488628E-12</v>
      </c>
      <c r="EN153" s="60">
        <f t="shared" si="128"/>
        <v>293.33333333333451</v>
      </c>
      <c r="EO153" s="60">
        <f ca="1">AVERAGE(OFFSET($EN$3,0,0,'Données projet'!$E$15+1,1))-AVERAGE(OFFSET($H$3,0,0,'Données projet'!$E$15+1,1))</f>
        <v>120.18668518376586</v>
      </c>
      <c r="EP153" s="60">
        <f t="shared" si="154"/>
        <v>110.24821114898037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8">
        <f t="shared" si="110"/>
        <v>588.11073590513013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-6.2527760746888816E-13</v>
      </c>
      <c r="O154" s="14">
        <f>N154*VLOOKUP('Données projet'!$B$9,Paramètres!$A$1:$I$89,3,0)*VLOOKUP('Données projet'!$B$9,Paramètres!$A$1:$I$89,5,0)</f>
        <v>-2.9262992029543964E-13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106.50743833854523</v>
      </c>
      <c r="T154" s="60">
        <f t="shared" si="142"/>
        <v>47.606751325129608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247.65126267995316</v>
      </c>
      <c r="AO154" s="60">
        <f t="shared" si="144"/>
        <v>149.27472147904314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-9.7986685432260874E-13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294.2815419338562</v>
      </c>
      <c r="BJ154" s="60">
        <f t="shared" si="146"/>
        <v>173.99850582760712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-6.8212102632969618E-13</v>
      </c>
      <c r="BZ154" s="14">
        <f>BY154*VLOOKUP('Données projet'!$B$12,Paramètres!$A$1:$I$89,3,0)*VLOOKUP('Données projet'!$B$12,Paramètres!$A$1:$I$89,5,0)</f>
        <v>-5.8525984059087939E-13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317.48648551307656</v>
      </c>
      <c r="CE154" s="60">
        <f t="shared" si="148"/>
        <v>133.09277301479563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0">
        <f t="shared" si="122"/>
        <v>293.33333333333582</v>
      </c>
      <c r="CY154" s="60">
        <f ca="1">AVERAGE(OFFSET($CX$3,0,0,'Données projet'!$E$13+1,1))-AVERAGE(OFFSET($H$3,0,0,'Données projet'!$E$13+1,1))</f>
        <v>194.42056369374041</v>
      </c>
      <c r="CZ154" s="60">
        <f t="shared" si="150"/>
        <v>185.75045299455371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-9.3464223027694966E-13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274.31056057602081</v>
      </c>
      <c r="DU154" s="60">
        <f t="shared" si="152"/>
        <v>163.41029152029387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3.813056537183002E-14</v>
      </c>
      <c r="EL154" s="14">
        <f t="shared" ref="EL154:EL203" si="179">EXP(-1.0587+0.8836*LN(EK154)+0.284)</f>
        <v>6.4086286045526829E-13</v>
      </c>
      <c r="EM154" s="22">
        <f t="shared" ref="EM154:EM203" si="180">(EK154+EL154)*0.475*44/12</f>
        <v>1.1825802166488628E-12</v>
      </c>
      <c r="EN154" s="60">
        <f t="shared" si="128"/>
        <v>293.33333333333451</v>
      </c>
      <c r="EO154" s="60">
        <f ca="1">AVERAGE(OFFSET($EN$3,0,0,'Données projet'!$E$15+1,1))-AVERAGE(OFFSET($H$3,0,0,'Données projet'!$E$15+1,1))</f>
        <v>120.18668518376586</v>
      </c>
      <c r="EP154" s="60">
        <f t="shared" si="154"/>
        <v>110.24821114898037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8">
        <f t="shared" si="110"/>
        <v>590.0158021945839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-6.2527760746888816E-13</v>
      </c>
      <c r="O155" s="14">
        <f>N155*VLOOKUP('Données projet'!$B$9,Paramètres!$A$1:$I$89,3,0)*VLOOKUP('Données projet'!$B$9,Paramètres!$A$1:$I$89,5,0)</f>
        <v>-2.9262992029543964E-13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106.50743833854523</v>
      </c>
      <c r="T155" s="60">
        <f t="shared" si="142"/>
        <v>47.606751325129608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247.65126267995316</v>
      </c>
      <c r="AO155" s="60">
        <f t="shared" si="144"/>
        <v>149.27472147904314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-9.7986685432260874E-13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294.2815419338562</v>
      </c>
      <c r="BJ155" s="60">
        <f t="shared" si="146"/>
        <v>173.99850582760712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-6.8212102632969618E-13</v>
      </c>
      <c r="BZ155" s="14">
        <f>BY155*VLOOKUP('Données projet'!$B$12,Paramètres!$A$1:$I$89,3,0)*VLOOKUP('Données projet'!$B$12,Paramètres!$A$1:$I$89,5,0)</f>
        <v>-5.8525984059087939E-13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317.48648551307656</v>
      </c>
      <c r="CE155" s="60">
        <f t="shared" si="148"/>
        <v>133.09277301479563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0">
        <f t="shared" si="122"/>
        <v>293.33333333333582</v>
      </c>
      <c r="CY155" s="60">
        <f ca="1">AVERAGE(OFFSET($CX$3,0,0,'Données projet'!$E$13+1,1))-AVERAGE(OFFSET($H$3,0,0,'Données projet'!$E$13+1,1))</f>
        <v>194.42056369374041</v>
      </c>
      <c r="CZ155" s="60">
        <f t="shared" si="150"/>
        <v>185.75045299455371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-9.3464223027694966E-13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274.31056057602081</v>
      </c>
      <c r="DU155" s="60">
        <f t="shared" si="152"/>
        <v>163.41029152029387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3.813056537183002E-14</v>
      </c>
      <c r="EL155" s="14">
        <f t="shared" si="179"/>
        <v>6.4086286045526829E-13</v>
      </c>
      <c r="EM155" s="22">
        <f t="shared" si="180"/>
        <v>1.1825802166488628E-12</v>
      </c>
      <c r="EN155" s="60">
        <f t="shared" si="128"/>
        <v>293.33333333333451</v>
      </c>
      <c r="EO155" s="60">
        <f ca="1">AVERAGE(OFFSET($EN$3,0,0,'Données projet'!$E$15+1,1))-AVERAGE(OFFSET($H$3,0,0,'Données projet'!$E$15+1,1))</f>
        <v>120.18668518376586</v>
      </c>
      <c r="EP155" s="60">
        <f t="shared" si="154"/>
        <v>110.24821114898037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8">
        <f t="shared" si="110"/>
        <v>591.92059567721367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-6.2527760746888816E-13</v>
      </c>
      <c r="O156" s="14">
        <f>N156*VLOOKUP('Données projet'!$B$9,Paramètres!$A$1:$I$89,3,0)*VLOOKUP('Données projet'!$B$9,Paramètres!$A$1:$I$89,5,0)</f>
        <v>-2.9262992029543964E-13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106.50743833854523</v>
      </c>
      <c r="T156" s="60">
        <f t="shared" si="142"/>
        <v>47.606751325129608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247.65126267995316</v>
      </c>
      <c r="AO156" s="60">
        <f t="shared" si="144"/>
        <v>149.27472147904314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-9.7986685432260874E-13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294.2815419338562</v>
      </c>
      <c r="BJ156" s="60">
        <f t="shared" si="146"/>
        <v>173.99850582760712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-6.8212102632969618E-13</v>
      </c>
      <c r="BZ156" s="14">
        <f>BY156*VLOOKUP('Données projet'!$B$12,Paramètres!$A$1:$I$89,3,0)*VLOOKUP('Données projet'!$B$12,Paramètres!$A$1:$I$89,5,0)</f>
        <v>-5.8525984059087939E-13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317.48648551307656</v>
      </c>
      <c r="CE156" s="60">
        <f t="shared" si="148"/>
        <v>133.09277301479563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0">
        <f t="shared" si="122"/>
        <v>293.33333333333582</v>
      </c>
      <c r="CY156" s="60">
        <f ca="1">AVERAGE(OFFSET($CX$3,0,0,'Données projet'!$E$13+1,1))-AVERAGE(OFFSET($H$3,0,0,'Données projet'!$E$13+1,1))</f>
        <v>194.42056369374041</v>
      </c>
      <c r="CZ156" s="60">
        <f t="shared" si="150"/>
        <v>185.75045299455371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-9.3464223027694966E-13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274.31056057602081</v>
      </c>
      <c r="DU156" s="60">
        <f t="shared" si="152"/>
        <v>163.41029152029387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3.813056537183002E-14</v>
      </c>
      <c r="EL156" s="14">
        <f t="shared" si="179"/>
        <v>6.4086286045526829E-13</v>
      </c>
      <c r="EM156" s="22">
        <f t="shared" si="180"/>
        <v>1.1825802166488628E-12</v>
      </c>
      <c r="EN156" s="60">
        <f t="shared" si="128"/>
        <v>293.33333333333451</v>
      </c>
      <c r="EO156" s="60">
        <f ca="1">AVERAGE(OFFSET($EN$3,0,0,'Données projet'!$E$15+1,1))-AVERAGE(OFFSET($H$3,0,0,'Données projet'!$E$15+1,1))</f>
        <v>120.18668518376586</v>
      </c>
      <c r="EP156" s="60">
        <f t="shared" si="154"/>
        <v>110.24821114898037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8">
        <f t="shared" si="110"/>
        <v>593.82511834288903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-6.2527760746888816E-13</v>
      </c>
      <c r="O157" s="14">
        <f>N157*VLOOKUP('Données projet'!$B$9,Paramètres!$A$1:$I$89,3,0)*VLOOKUP('Données projet'!$B$9,Paramètres!$A$1:$I$89,5,0)</f>
        <v>-2.9262992029543964E-13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106.50743833854523</v>
      </c>
      <c r="T157" s="60">
        <f t="shared" si="142"/>
        <v>47.606751325129608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247.65126267995316</v>
      </c>
      <c r="AO157" s="60">
        <f t="shared" si="144"/>
        <v>149.27472147904314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-9.7986685432260874E-13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294.2815419338562</v>
      </c>
      <c r="BJ157" s="60">
        <f t="shared" si="146"/>
        <v>173.99850582760712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-6.8212102632969618E-13</v>
      </c>
      <c r="BZ157" s="14">
        <f>BY157*VLOOKUP('Données projet'!$B$12,Paramètres!$A$1:$I$89,3,0)*VLOOKUP('Données projet'!$B$12,Paramètres!$A$1:$I$89,5,0)</f>
        <v>-5.8525984059087939E-13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317.48648551307656</v>
      </c>
      <c r="CE157" s="60">
        <f t="shared" si="148"/>
        <v>133.09277301479563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0">
        <f t="shared" si="122"/>
        <v>293.33333333333582</v>
      </c>
      <c r="CY157" s="60">
        <f ca="1">AVERAGE(OFFSET($CX$3,0,0,'Données projet'!$E$13+1,1))-AVERAGE(OFFSET($H$3,0,0,'Données projet'!$E$13+1,1))</f>
        <v>194.42056369374041</v>
      </c>
      <c r="CZ157" s="60">
        <f t="shared" si="150"/>
        <v>185.75045299455371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-9.3464223027694966E-13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274.31056057602081</v>
      </c>
      <c r="DU157" s="60">
        <f t="shared" si="152"/>
        <v>163.41029152029387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3.813056537183002E-14</v>
      </c>
      <c r="EL157" s="14">
        <f t="shared" si="179"/>
        <v>6.4086286045526829E-13</v>
      </c>
      <c r="EM157" s="22">
        <f t="shared" si="180"/>
        <v>1.1825802166488628E-12</v>
      </c>
      <c r="EN157" s="60">
        <f t="shared" si="128"/>
        <v>293.33333333333451</v>
      </c>
      <c r="EO157" s="60">
        <f ca="1">AVERAGE(OFFSET($EN$3,0,0,'Données projet'!$E$15+1,1))-AVERAGE(OFFSET($H$3,0,0,'Données projet'!$E$15+1,1))</f>
        <v>120.18668518376586</v>
      </c>
      <c r="EP157" s="60">
        <f t="shared" si="154"/>
        <v>110.24821114898037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8">
        <f t="shared" si="110"/>
        <v>595.72937215414299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-6.2527760746888816E-13</v>
      </c>
      <c r="O158" s="14">
        <f>N158*VLOOKUP('Données projet'!$B$9,Paramètres!$A$1:$I$89,3,0)*VLOOKUP('Données projet'!$B$9,Paramètres!$A$1:$I$89,5,0)</f>
        <v>-2.9262992029543964E-13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106.50743833854523</v>
      </c>
      <c r="T158" s="60">
        <f t="shared" si="142"/>
        <v>47.606751325129608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247.65126267995316</v>
      </c>
      <c r="AO158" s="60">
        <f t="shared" si="144"/>
        <v>149.27472147904314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-9.7986685432260874E-13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294.2815419338562</v>
      </c>
      <c r="BJ158" s="60">
        <f t="shared" si="146"/>
        <v>173.99850582760712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-6.8212102632969618E-13</v>
      </c>
      <c r="BZ158" s="14">
        <f>BY158*VLOOKUP('Données projet'!$B$12,Paramètres!$A$1:$I$89,3,0)*VLOOKUP('Données projet'!$B$12,Paramètres!$A$1:$I$89,5,0)</f>
        <v>-5.8525984059087939E-13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317.48648551307656</v>
      </c>
      <c r="CE158" s="60">
        <f t="shared" si="148"/>
        <v>133.09277301479563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0">
        <f t="shared" si="122"/>
        <v>293.33333333333582</v>
      </c>
      <c r="CY158" s="60">
        <f ca="1">AVERAGE(OFFSET($CX$3,0,0,'Données projet'!$E$13+1,1))-AVERAGE(OFFSET($H$3,0,0,'Données projet'!$E$13+1,1))</f>
        <v>194.42056369374041</v>
      </c>
      <c r="CZ158" s="60">
        <f t="shared" si="150"/>
        <v>185.75045299455371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-9.3464223027694966E-13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274.31056057602081</v>
      </c>
      <c r="DU158" s="60">
        <f t="shared" si="152"/>
        <v>163.41029152029387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3.813056537183002E-14</v>
      </c>
      <c r="EL158" s="14">
        <f t="shared" si="179"/>
        <v>6.4086286045526829E-13</v>
      </c>
      <c r="EM158" s="22">
        <f t="shared" si="180"/>
        <v>1.1825802166488628E-12</v>
      </c>
      <c r="EN158" s="60">
        <f t="shared" si="128"/>
        <v>293.33333333333451</v>
      </c>
      <c r="EO158" s="60">
        <f ca="1">AVERAGE(OFFSET($EN$3,0,0,'Données projet'!$E$15+1,1))-AVERAGE(OFFSET($H$3,0,0,'Données projet'!$E$15+1,1))</f>
        <v>120.18668518376586</v>
      </c>
      <c r="EP158" s="60">
        <f t="shared" si="154"/>
        <v>110.24821114898037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8">
        <f t="shared" si="110"/>
        <v>597.63335904672135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-6.2527760746888816E-13</v>
      </c>
      <c r="O159" s="14">
        <f>N159*VLOOKUP('Données projet'!$B$9,Paramètres!$A$1:$I$89,3,0)*VLOOKUP('Données projet'!$B$9,Paramètres!$A$1:$I$89,5,0)</f>
        <v>-2.9262992029543964E-13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106.50743833854523</v>
      </c>
      <c r="T159" s="60">
        <f t="shared" si="142"/>
        <v>47.606751325129608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247.65126267995316</v>
      </c>
      <c r="AO159" s="60">
        <f t="shared" si="144"/>
        <v>149.27472147904314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-9.7986685432260874E-13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294.2815419338562</v>
      </c>
      <c r="BJ159" s="60">
        <f t="shared" si="146"/>
        <v>173.99850582760712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-6.8212102632969618E-13</v>
      </c>
      <c r="BZ159" s="14">
        <f>BY159*VLOOKUP('Données projet'!$B$12,Paramètres!$A$1:$I$89,3,0)*VLOOKUP('Données projet'!$B$12,Paramètres!$A$1:$I$89,5,0)</f>
        <v>-5.8525984059087939E-13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317.48648551307656</v>
      </c>
      <c r="CE159" s="60">
        <f t="shared" si="148"/>
        <v>133.09277301479563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0">
        <f t="shared" si="122"/>
        <v>293.33333333333582</v>
      </c>
      <c r="CY159" s="60">
        <f ca="1">AVERAGE(OFFSET($CX$3,0,0,'Données projet'!$E$13+1,1))-AVERAGE(OFFSET($H$3,0,0,'Données projet'!$E$13+1,1))</f>
        <v>194.42056369374041</v>
      </c>
      <c r="CZ159" s="60">
        <f t="shared" si="150"/>
        <v>185.75045299455371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-9.3464223027694966E-13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274.31056057602081</v>
      </c>
      <c r="DU159" s="60">
        <f t="shared" si="152"/>
        <v>163.41029152029387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3.813056537183002E-14</v>
      </c>
      <c r="EL159" s="14">
        <f t="shared" si="179"/>
        <v>6.4086286045526829E-13</v>
      </c>
      <c r="EM159" s="22">
        <f t="shared" si="180"/>
        <v>1.1825802166488628E-12</v>
      </c>
      <c r="EN159" s="60">
        <f t="shared" si="128"/>
        <v>293.33333333333451</v>
      </c>
      <c r="EO159" s="60">
        <f ca="1">AVERAGE(OFFSET($EN$3,0,0,'Données projet'!$E$15+1,1))-AVERAGE(OFFSET($H$3,0,0,'Données projet'!$E$15+1,1))</f>
        <v>120.18668518376586</v>
      </c>
      <c r="EP159" s="60">
        <f t="shared" si="154"/>
        <v>110.24821114898037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8">
        <f t="shared" si="110"/>
        <v>599.53708093011733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-6.2527760746888816E-13</v>
      </c>
      <c r="O160" s="14">
        <f>N160*VLOOKUP('Données projet'!$B$9,Paramètres!$A$1:$I$89,3,0)*VLOOKUP('Données projet'!$B$9,Paramètres!$A$1:$I$89,5,0)</f>
        <v>-2.9262992029543964E-13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106.50743833854523</v>
      </c>
      <c r="T160" s="60">
        <f t="shared" si="142"/>
        <v>47.606751325129608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247.65126267995316</v>
      </c>
      <c r="AO160" s="60">
        <f t="shared" si="144"/>
        <v>149.27472147904314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-9.7986685432260874E-13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294.2815419338562</v>
      </c>
      <c r="BJ160" s="60">
        <f t="shared" si="146"/>
        <v>173.99850582760712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-6.8212102632969618E-13</v>
      </c>
      <c r="BZ160" s="14">
        <f>BY160*VLOOKUP('Données projet'!$B$12,Paramètres!$A$1:$I$89,3,0)*VLOOKUP('Données projet'!$B$12,Paramètres!$A$1:$I$89,5,0)</f>
        <v>-5.8525984059087939E-13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317.48648551307656</v>
      </c>
      <c r="CE160" s="60">
        <f t="shared" si="148"/>
        <v>133.09277301479563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0">
        <f t="shared" si="122"/>
        <v>293.33333333333582</v>
      </c>
      <c r="CY160" s="60">
        <f ca="1">AVERAGE(OFFSET($CX$3,0,0,'Données projet'!$E$13+1,1))-AVERAGE(OFFSET($H$3,0,0,'Données projet'!$E$13+1,1))</f>
        <v>194.42056369374041</v>
      </c>
      <c r="CZ160" s="60">
        <f t="shared" si="150"/>
        <v>185.75045299455371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-9.3464223027694966E-13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274.31056057602081</v>
      </c>
      <c r="DU160" s="60">
        <f t="shared" si="152"/>
        <v>163.41029152029387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3.813056537183002E-14</v>
      </c>
      <c r="EL160" s="14">
        <f t="shared" si="179"/>
        <v>6.4086286045526829E-13</v>
      </c>
      <c r="EM160" s="22">
        <f t="shared" si="180"/>
        <v>1.1825802166488628E-12</v>
      </c>
      <c r="EN160" s="60">
        <f t="shared" si="128"/>
        <v>293.33333333333451</v>
      </c>
      <c r="EO160" s="60">
        <f ca="1">AVERAGE(OFFSET($EN$3,0,0,'Données projet'!$E$15+1,1))-AVERAGE(OFFSET($H$3,0,0,'Données projet'!$E$15+1,1))</f>
        <v>120.18668518376586</v>
      </c>
      <c r="EP160" s="60">
        <f t="shared" si="154"/>
        <v>110.24821114898037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8">
        <f t="shared" si="110"/>
        <v>601.44053968809271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-6.2527760746888816E-13</v>
      </c>
      <c r="O161" s="14">
        <f>N161*VLOOKUP('Données projet'!$B$9,Paramètres!$A$1:$I$89,3,0)*VLOOKUP('Données projet'!$B$9,Paramètres!$A$1:$I$89,5,0)</f>
        <v>-2.9262992029543964E-13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106.50743833854523</v>
      </c>
      <c r="T161" s="60">
        <f t="shared" si="142"/>
        <v>47.606751325129608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247.65126267995316</v>
      </c>
      <c r="AO161" s="60">
        <f t="shared" si="144"/>
        <v>149.27472147904314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-9.7986685432260874E-13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294.2815419338562</v>
      </c>
      <c r="BJ161" s="60">
        <f t="shared" si="146"/>
        <v>173.99850582760712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-6.8212102632969618E-13</v>
      </c>
      <c r="BZ161" s="14">
        <f>BY161*VLOOKUP('Données projet'!$B$12,Paramètres!$A$1:$I$89,3,0)*VLOOKUP('Données projet'!$B$12,Paramètres!$A$1:$I$89,5,0)</f>
        <v>-5.8525984059087939E-13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317.48648551307656</v>
      </c>
      <c r="CE161" s="60">
        <f t="shared" si="148"/>
        <v>133.09277301479563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0">
        <f t="shared" si="122"/>
        <v>293.33333333333582</v>
      </c>
      <c r="CY161" s="60">
        <f ca="1">AVERAGE(OFFSET($CX$3,0,0,'Données projet'!$E$13+1,1))-AVERAGE(OFFSET($H$3,0,0,'Données projet'!$E$13+1,1))</f>
        <v>194.42056369374041</v>
      </c>
      <c r="CZ161" s="60">
        <f t="shared" si="150"/>
        <v>185.75045299455371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-9.3464223027694966E-13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274.31056057602081</v>
      </c>
      <c r="DU161" s="60">
        <f t="shared" si="152"/>
        <v>163.41029152029387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3.813056537183002E-14</v>
      </c>
      <c r="EL161" s="14">
        <f t="shared" si="179"/>
        <v>6.4086286045526829E-13</v>
      </c>
      <c r="EM161" s="22">
        <f t="shared" si="180"/>
        <v>1.1825802166488628E-12</v>
      </c>
      <c r="EN161" s="60">
        <f t="shared" si="128"/>
        <v>293.33333333333451</v>
      </c>
      <c r="EO161" s="60">
        <f ca="1">AVERAGE(OFFSET($EN$3,0,0,'Données projet'!$E$15+1,1))-AVERAGE(OFFSET($H$3,0,0,'Données projet'!$E$15+1,1))</f>
        <v>120.18668518376586</v>
      </c>
      <c r="EP161" s="60">
        <f t="shared" si="154"/>
        <v>110.24821114898037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8">
        <f t="shared" si="110"/>
        <v>603.34373717918538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-6.2527760746888816E-13</v>
      </c>
      <c r="O162" s="14">
        <f>N162*VLOOKUP('Données projet'!$B$9,Paramètres!$A$1:$I$89,3,0)*VLOOKUP('Données projet'!$B$9,Paramètres!$A$1:$I$89,5,0)</f>
        <v>-2.9262992029543964E-13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106.50743833854523</v>
      </c>
      <c r="T162" s="60">
        <f t="shared" si="142"/>
        <v>47.606751325129608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247.65126267995316</v>
      </c>
      <c r="AO162" s="60">
        <f t="shared" si="144"/>
        <v>149.27472147904314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-9.7986685432260874E-13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294.2815419338562</v>
      </c>
      <c r="BJ162" s="60">
        <f t="shared" si="146"/>
        <v>173.99850582760712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-6.8212102632969618E-13</v>
      </c>
      <c r="BZ162" s="14">
        <f>BY162*VLOOKUP('Données projet'!$B$12,Paramètres!$A$1:$I$89,3,0)*VLOOKUP('Données projet'!$B$12,Paramètres!$A$1:$I$89,5,0)</f>
        <v>-5.8525984059087939E-13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317.48648551307656</v>
      </c>
      <c r="CE162" s="60">
        <f t="shared" si="148"/>
        <v>133.09277301479563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0">
        <f t="shared" si="122"/>
        <v>293.33333333333582</v>
      </c>
      <c r="CY162" s="60">
        <f ca="1">AVERAGE(OFFSET($CX$3,0,0,'Données projet'!$E$13+1,1))-AVERAGE(OFFSET($H$3,0,0,'Données projet'!$E$13+1,1))</f>
        <v>194.42056369374041</v>
      </c>
      <c r="CZ162" s="60">
        <f t="shared" si="150"/>
        <v>185.75045299455371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-9.3464223027694966E-13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274.31056057602081</v>
      </c>
      <c r="DU162" s="60">
        <f t="shared" si="152"/>
        <v>163.41029152029387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3.813056537183002E-14</v>
      </c>
      <c r="EL162" s="14">
        <f t="shared" si="179"/>
        <v>6.4086286045526829E-13</v>
      </c>
      <c r="EM162" s="22">
        <f t="shared" si="180"/>
        <v>1.1825802166488628E-12</v>
      </c>
      <c r="EN162" s="60">
        <f t="shared" si="128"/>
        <v>293.33333333333451</v>
      </c>
      <c r="EO162" s="60">
        <f ca="1">AVERAGE(OFFSET($EN$3,0,0,'Données projet'!$E$15+1,1))-AVERAGE(OFFSET($H$3,0,0,'Données projet'!$E$15+1,1))</f>
        <v>120.18668518376586</v>
      </c>
      <c r="EP162" s="60">
        <f t="shared" si="154"/>
        <v>110.24821114898037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8">
        <f t="shared" si="110"/>
        <v>605.24667523720336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-6.2527760746888816E-13</v>
      </c>
      <c r="O163" s="14">
        <f>N163*VLOOKUP('Données projet'!$B$9,Paramètres!$A$1:$I$89,3,0)*VLOOKUP('Données projet'!$B$9,Paramètres!$A$1:$I$89,5,0)</f>
        <v>-2.9262992029543964E-13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106.50743833854523</v>
      </c>
      <c r="T163" s="60">
        <f t="shared" si="142"/>
        <v>47.606751325129608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247.65126267995316</v>
      </c>
      <c r="AO163" s="60">
        <f t="shared" si="144"/>
        <v>149.27472147904314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-9.7986685432260874E-13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294.2815419338562</v>
      </c>
      <c r="BJ163" s="60">
        <f t="shared" si="146"/>
        <v>173.99850582760712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-6.8212102632969618E-13</v>
      </c>
      <c r="BZ163" s="14">
        <f>BY163*VLOOKUP('Données projet'!$B$12,Paramètres!$A$1:$I$89,3,0)*VLOOKUP('Données projet'!$B$12,Paramètres!$A$1:$I$89,5,0)</f>
        <v>-5.8525984059087939E-13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317.48648551307656</v>
      </c>
      <c r="CE163" s="60">
        <f t="shared" si="148"/>
        <v>133.09277301479563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0">
        <f t="shared" si="122"/>
        <v>293.33333333333582</v>
      </c>
      <c r="CY163" s="60">
        <f ca="1">AVERAGE(OFFSET($CX$3,0,0,'Données projet'!$E$13+1,1))-AVERAGE(OFFSET($H$3,0,0,'Données projet'!$E$13+1,1))</f>
        <v>194.42056369374041</v>
      </c>
      <c r="CZ163" s="60">
        <f t="shared" si="150"/>
        <v>185.75045299455371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-9.3464223027694966E-13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274.31056057602081</v>
      </c>
      <c r="DU163" s="60">
        <f t="shared" si="152"/>
        <v>163.41029152029387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3.813056537183002E-14</v>
      </c>
      <c r="EL163" s="14">
        <f t="shared" si="179"/>
        <v>6.4086286045526829E-13</v>
      </c>
      <c r="EM163" s="22">
        <f t="shared" si="180"/>
        <v>1.1825802166488628E-12</v>
      </c>
      <c r="EN163" s="60">
        <f t="shared" si="128"/>
        <v>293.33333333333451</v>
      </c>
      <c r="EO163" s="60">
        <f ca="1">AVERAGE(OFFSET($EN$3,0,0,'Données projet'!$E$15+1,1))-AVERAGE(OFFSET($H$3,0,0,'Données projet'!$E$15+1,1))</f>
        <v>120.18668518376586</v>
      </c>
      <c r="EP163" s="60">
        <f t="shared" si="154"/>
        <v>110.24821114898037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8">
        <f t="shared" si="110"/>
        <v>607.14935567170596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-6.2527760746888816E-13</v>
      </c>
      <c r="O164" s="14">
        <f>N164*VLOOKUP('Données projet'!$B$9,Paramètres!$A$1:$I$89,3,0)*VLOOKUP('Données projet'!$B$9,Paramètres!$A$1:$I$89,5,0)</f>
        <v>-2.9262992029543964E-13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106.50743833854523</v>
      </c>
      <c r="T164" s="60">
        <f t="shared" si="142"/>
        <v>47.606751325129608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247.65126267995316</v>
      </c>
      <c r="AO164" s="60">
        <f t="shared" si="144"/>
        <v>149.27472147904314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-9.7986685432260874E-13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294.2815419338562</v>
      </c>
      <c r="BJ164" s="60">
        <f t="shared" si="146"/>
        <v>173.99850582760712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-6.8212102632969618E-13</v>
      </c>
      <c r="BZ164" s="14">
        <f>BY164*VLOOKUP('Données projet'!$B$12,Paramètres!$A$1:$I$89,3,0)*VLOOKUP('Données projet'!$B$12,Paramètres!$A$1:$I$89,5,0)</f>
        <v>-5.8525984059087939E-13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317.48648551307656</v>
      </c>
      <c r="CE164" s="60">
        <f t="shared" si="148"/>
        <v>133.09277301479563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0">
        <f t="shared" si="122"/>
        <v>293.33333333333582</v>
      </c>
      <c r="CY164" s="60">
        <f ca="1">AVERAGE(OFFSET($CX$3,0,0,'Données projet'!$E$13+1,1))-AVERAGE(OFFSET($H$3,0,0,'Données projet'!$E$13+1,1))</f>
        <v>194.42056369374041</v>
      </c>
      <c r="CZ164" s="60">
        <f t="shared" si="150"/>
        <v>185.75045299455371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-9.3464223027694966E-13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274.31056057602081</v>
      </c>
      <c r="DU164" s="60">
        <f t="shared" si="152"/>
        <v>163.41029152029387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3.813056537183002E-14</v>
      </c>
      <c r="EL164" s="14">
        <f t="shared" si="179"/>
        <v>6.4086286045526829E-13</v>
      </c>
      <c r="EM164" s="22">
        <f t="shared" si="180"/>
        <v>1.1825802166488628E-12</v>
      </c>
      <c r="EN164" s="60">
        <f t="shared" si="128"/>
        <v>293.33333333333451</v>
      </c>
      <c r="EO164" s="60">
        <f ca="1">AVERAGE(OFFSET($EN$3,0,0,'Données projet'!$E$15+1,1))-AVERAGE(OFFSET($H$3,0,0,'Données projet'!$E$15+1,1))</f>
        <v>120.18668518376586</v>
      </c>
      <c r="EP164" s="60">
        <f t="shared" si="154"/>
        <v>110.24821114898037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8">
        <f t="shared" si="110"/>
        <v>609.05178026847398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-6.2527760746888816E-13</v>
      </c>
      <c r="O165" s="14">
        <f>N165*VLOOKUP('Données projet'!$B$9,Paramètres!$A$1:$I$89,3,0)*VLOOKUP('Données projet'!$B$9,Paramètres!$A$1:$I$89,5,0)</f>
        <v>-2.9262992029543964E-13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106.50743833854523</v>
      </c>
      <c r="T165" s="60">
        <f t="shared" si="142"/>
        <v>47.606751325129608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247.65126267995316</v>
      </c>
      <c r="AO165" s="60">
        <f t="shared" si="144"/>
        <v>149.27472147904314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-9.7986685432260874E-13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294.2815419338562</v>
      </c>
      <c r="BJ165" s="60">
        <f t="shared" si="146"/>
        <v>173.99850582760712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-6.8212102632969618E-13</v>
      </c>
      <c r="BZ165" s="14">
        <f>BY165*VLOOKUP('Données projet'!$B$12,Paramètres!$A$1:$I$89,3,0)*VLOOKUP('Données projet'!$B$12,Paramètres!$A$1:$I$89,5,0)</f>
        <v>-5.8525984059087939E-13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317.48648551307656</v>
      </c>
      <c r="CE165" s="60">
        <f t="shared" si="148"/>
        <v>133.09277301479563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0">
        <f t="shared" si="122"/>
        <v>293.33333333333582</v>
      </c>
      <c r="CY165" s="60">
        <f ca="1">AVERAGE(OFFSET($CX$3,0,0,'Données projet'!$E$13+1,1))-AVERAGE(OFFSET($H$3,0,0,'Données projet'!$E$13+1,1))</f>
        <v>194.42056369374041</v>
      </c>
      <c r="CZ165" s="60">
        <f t="shared" si="150"/>
        <v>185.75045299455371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-9.3464223027694966E-13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274.31056057602081</v>
      </c>
      <c r="DU165" s="60">
        <f t="shared" si="152"/>
        <v>163.41029152029387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3.813056537183002E-14</v>
      </c>
      <c r="EL165" s="14">
        <f t="shared" si="179"/>
        <v>6.4086286045526829E-13</v>
      </c>
      <c r="EM165" s="22">
        <f t="shared" si="180"/>
        <v>1.1825802166488628E-12</v>
      </c>
      <c r="EN165" s="60">
        <f t="shared" si="128"/>
        <v>293.33333333333451</v>
      </c>
      <c r="EO165" s="60">
        <f ca="1">AVERAGE(OFFSET($EN$3,0,0,'Données projet'!$E$15+1,1))-AVERAGE(OFFSET($H$3,0,0,'Données projet'!$E$15+1,1))</f>
        <v>120.18668518376586</v>
      </c>
      <c r="EP165" s="60">
        <f t="shared" si="154"/>
        <v>110.24821114898037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8">
        <f t="shared" si="110"/>
        <v>610.95395078996603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-6.2527760746888816E-13</v>
      </c>
      <c r="O166" s="14">
        <f>N166*VLOOKUP('Données projet'!$B$9,Paramètres!$A$1:$I$89,3,0)*VLOOKUP('Données projet'!$B$9,Paramètres!$A$1:$I$89,5,0)</f>
        <v>-2.9262992029543964E-13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106.50743833854523</v>
      </c>
      <c r="T166" s="60">
        <f t="shared" si="142"/>
        <v>47.606751325129608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247.65126267995316</v>
      </c>
      <c r="AO166" s="60">
        <f t="shared" si="144"/>
        <v>149.27472147904314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-9.7986685432260874E-13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294.2815419338562</v>
      </c>
      <c r="BJ166" s="60">
        <f t="shared" si="146"/>
        <v>173.99850582760712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-6.8212102632969618E-13</v>
      </c>
      <c r="BZ166" s="14">
        <f>BY166*VLOOKUP('Données projet'!$B$12,Paramètres!$A$1:$I$89,3,0)*VLOOKUP('Données projet'!$B$12,Paramètres!$A$1:$I$89,5,0)</f>
        <v>-5.8525984059087939E-13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317.48648551307656</v>
      </c>
      <c r="CE166" s="60">
        <f t="shared" si="148"/>
        <v>133.09277301479563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0">
        <f t="shared" si="122"/>
        <v>293.33333333333582</v>
      </c>
      <c r="CY166" s="60">
        <f ca="1">AVERAGE(OFFSET($CX$3,0,0,'Données projet'!$E$13+1,1))-AVERAGE(OFFSET($H$3,0,0,'Données projet'!$E$13+1,1))</f>
        <v>194.42056369374041</v>
      </c>
      <c r="CZ166" s="60">
        <f t="shared" si="150"/>
        <v>185.75045299455371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-9.3464223027694966E-13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274.31056057602081</v>
      </c>
      <c r="DU166" s="60">
        <f t="shared" si="152"/>
        <v>163.41029152029387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3.813056537183002E-14</v>
      </c>
      <c r="EL166" s="14">
        <f t="shared" si="179"/>
        <v>6.4086286045526829E-13</v>
      </c>
      <c r="EM166" s="22">
        <f t="shared" si="180"/>
        <v>1.1825802166488628E-12</v>
      </c>
      <c r="EN166" s="60">
        <f t="shared" si="128"/>
        <v>293.33333333333451</v>
      </c>
      <c r="EO166" s="60">
        <f ca="1">AVERAGE(OFFSET($EN$3,0,0,'Données projet'!$E$15+1,1))-AVERAGE(OFFSET($H$3,0,0,'Données projet'!$E$15+1,1))</f>
        <v>120.18668518376586</v>
      </c>
      <c r="EP166" s="60">
        <f t="shared" si="154"/>
        <v>110.24821114898037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8">
        <f t="shared" si="110"/>
        <v>612.85586897576445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-6.2527760746888816E-13</v>
      </c>
      <c r="O167" s="14">
        <f>N167*VLOOKUP('Données projet'!$B$9,Paramètres!$A$1:$I$89,3,0)*VLOOKUP('Données projet'!$B$9,Paramètres!$A$1:$I$89,5,0)</f>
        <v>-2.9262992029543964E-13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106.50743833854523</v>
      </c>
      <c r="T167" s="60">
        <f t="shared" si="142"/>
        <v>47.606751325129608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247.65126267995316</v>
      </c>
      <c r="AO167" s="60">
        <f t="shared" si="144"/>
        <v>149.27472147904314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-9.7986685432260874E-13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294.2815419338562</v>
      </c>
      <c r="BJ167" s="60">
        <f t="shared" si="146"/>
        <v>173.99850582760712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-6.8212102632969618E-13</v>
      </c>
      <c r="BZ167" s="14">
        <f>BY167*VLOOKUP('Données projet'!$B$12,Paramètres!$A$1:$I$89,3,0)*VLOOKUP('Données projet'!$B$12,Paramètres!$A$1:$I$89,5,0)</f>
        <v>-5.8525984059087939E-13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317.48648551307656</v>
      </c>
      <c r="CE167" s="60">
        <f t="shared" si="148"/>
        <v>133.09277301479563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0">
        <f t="shared" si="122"/>
        <v>293.33333333333582</v>
      </c>
      <c r="CY167" s="60">
        <f ca="1">AVERAGE(OFFSET($CX$3,0,0,'Données projet'!$E$13+1,1))-AVERAGE(OFFSET($H$3,0,0,'Données projet'!$E$13+1,1))</f>
        <v>194.42056369374041</v>
      </c>
      <c r="CZ167" s="60">
        <f t="shared" si="150"/>
        <v>185.75045299455371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-9.3464223027694966E-13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274.31056057602081</v>
      </c>
      <c r="DU167" s="60">
        <f t="shared" si="152"/>
        <v>163.41029152029387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3.813056537183002E-14</v>
      </c>
      <c r="EL167" s="14">
        <f t="shared" si="179"/>
        <v>6.4086286045526829E-13</v>
      </c>
      <c r="EM167" s="22">
        <f t="shared" si="180"/>
        <v>1.1825802166488628E-12</v>
      </c>
      <c r="EN167" s="60">
        <f t="shared" si="128"/>
        <v>293.33333333333451</v>
      </c>
      <c r="EO167" s="60">
        <f ca="1">AVERAGE(OFFSET($EN$3,0,0,'Données projet'!$E$15+1,1))-AVERAGE(OFFSET($H$3,0,0,'Données projet'!$E$15+1,1))</f>
        <v>120.18668518376586</v>
      </c>
      <c r="EP167" s="60">
        <f t="shared" si="154"/>
        <v>110.24821114898037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8">
        <f t="shared" si="110"/>
        <v>614.75753654301047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-6.2527760746888816E-13</v>
      </c>
      <c r="O168" s="14">
        <f>N168*VLOOKUP('Données projet'!$B$9,Paramètres!$A$1:$I$89,3,0)*VLOOKUP('Données projet'!$B$9,Paramètres!$A$1:$I$89,5,0)</f>
        <v>-2.9262992029543964E-13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106.50743833854523</v>
      </c>
      <c r="T168" s="60">
        <f t="shared" si="142"/>
        <v>47.606751325129608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247.65126267995316</v>
      </c>
      <c r="AO168" s="60">
        <f t="shared" si="144"/>
        <v>149.27472147904314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-9.7986685432260874E-13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294.2815419338562</v>
      </c>
      <c r="BJ168" s="60">
        <f t="shared" si="146"/>
        <v>173.99850582760712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-6.8212102632969618E-13</v>
      </c>
      <c r="BZ168" s="14">
        <f>BY168*VLOOKUP('Données projet'!$B$12,Paramètres!$A$1:$I$89,3,0)*VLOOKUP('Données projet'!$B$12,Paramètres!$A$1:$I$89,5,0)</f>
        <v>-5.8525984059087939E-13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317.48648551307656</v>
      </c>
      <c r="CE168" s="60">
        <f t="shared" si="148"/>
        <v>133.09277301479563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0">
        <f t="shared" si="122"/>
        <v>293.33333333333582</v>
      </c>
      <c r="CY168" s="60">
        <f ca="1">AVERAGE(OFFSET($CX$3,0,0,'Données projet'!$E$13+1,1))-AVERAGE(OFFSET($H$3,0,0,'Données projet'!$E$13+1,1))</f>
        <v>194.42056369374041</v>
      </c>
      <c r="CZ168" s="60">
        <f t="shared" si="150"/>
        <v>185.75045299455371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-9.3464223027694966E-13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274.31056057602081</v>
      </c>
      <c r="DU168" s="60">
        <f t="shared" si="152"/>
        <v>163.41029152029387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3.813056537183002E-14</v>
      </c>
      <c r="EL168" s="14">
        <f t="shared" si="179"/>
        <v>6.4086286045526829E-13</v>
      </c>
      <c r="EM168" s="22">
        <f t="shared" si="180"/>
        <v>1.1825802166488628E-12</v>
      </c>
      <c r="EN168" s="60">
        <f t="shared" si="128"/>
        <v>293.33333333333451</v>
      </c>
      <c r="EO168" s="60">
        <f ca="1">AVERAGE(OFFSET($EN$3,0,0,'Données projet'!$E$15+1,1))-AVERAGE(OFFSET($H$3,0,0,'Données projet'!$E$15+1,1))</f>
        <v>120.18668518376586</v>
      </c>
      <c r="EP168" s="60">
        <f t="shared" si="154"/>
        <v>110.24821114898037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8">
        <f t="shared" si="110"/>
        <v>616.65895518682692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-6.2527760746888816E-13</v>
      </c>
      <c r="O169" s="14">
        <f>N169*VLOOKUP('Données projet'!$B$9,Paramètres!$A$1:$I$89,3,0)*VLOOKUP('Données projet'!$B$9,Paramètres!$A$1:$I$89,5,0)</f>
        <v>-2.9262992029543964E-13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106.50743833854523</v>
      </c>
      <c r="T169" s="60">
        <f t="shared" si="142"/>
        <v>47.606751325129608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247.65126267995316</v>
      </c>
      <c r="AO169" s="60">
        <f t="shared" si="144"/>
        <v>149.27472147904314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-9.7986685432260874E-13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294.2815419338562</v>
      </c>
      <c r="BJ169" s="60">
        <f t="shared" si="146"/>
        <v>173.99850582760712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-6.8212102632969618E-13</v>
      </c>
      <c r="BZ169" s="14">
        <f>BY169*VLOOKUP('Données projet'!$B$12,Paramètres!$A$1:$I$89,3,0)*VLOOKUP('Données projet'!$B$12,Paramètres!$A$1:$I$89,5,0)</f>
        <v>-5.8525984059087939E-13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317.48648551307656</v>
      </c>
      <c r="CE169" s="60">
        <f t="shared" si="148"/>
        <v>133.09277301479563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0">
        <f t="shared" si="122"/>
        <v>293.33333333333582</v>
      </c>
      <c r="CY169" s="60">
        <f ca="1">AVERAGE(OFFSET($CX$3,0,0,'Données projet'!$E$13+1,1))-AVERAGE(OFFSET($H$3,0,0,'Données projet'!$E$13+1,1))</f>
        <v>194.42056369374041</v>
      </c>
      <c r="CZ169" s="60">
        <f t="shared" si="150"/>
        <v>185.75045299455371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-9.3464223027694966E-13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274.31056057602081</v>
      </c>
      <c r="DU169" s="60">
        <f t="shared" si="152"/>
        <v>163.41029152029387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3.813056537183002E-14</v>
      </c>
      <c r="EL169" s="14">
        <f t="shared" si="179"/>
        <v>6.4086286045526829E-13</v>
      </c>
      <c r="EM169" s="22">
        <f t="shared" si="180"/>
        <v>1.1825802166488628E-12</v>
      </c>
      <c r="EN169" s="60">
        <f t="shared" si="128"/>
        <v>293.33333333333451</v>
      </c>
      <c r="EO169" s="60">
        <f ca="1">AVERAGE(OFFSET($EN$3,0,0,'Données projet'!$E$15+1,1))-AVERAGE(OFFSET($H$3,0,0,'Données projet'!$E$15+1,1))</f>
        <v>120.18668518376586</v>
      </c>
      <c r="EP169" s="60">
        <f t="shared" si="154"/>
        <v>110.24821114898037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8">
        <f t="shared" si="110"/>
        <v>618.56012658073257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-6.2527760746888816E-13</v>
      </c>
      <c r="O170" s="14">
        <f>N170*VLOOKUP('Données projet'!$B$9,Paramètres!$A$1:$I$89,3,0)*VLOOKUP('Données projet'!$B$9,Paramètres!$A$1:$I$89,5,0)</f>
        <v>-2.9262992029543964E-13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106.50743833854523</v>
      </c>
      <c r="T170" s="60">
        <f t="shared" si="142"/>
        <v>47.606751325129608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247.65126267995316</v>
      </c>
      <c r="AO170" s="60">
        <f t="shared" si="144"/>
        <v>149.27472147904314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-9.7986685432260874E-13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294.2815419338562</v>
      </c>
      <c r="BJ170" s="60">
        <f t="shared" si="146"/>
        <v>173.99850582760712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-6.8212102632969618E-13</v>
      </c>
      <c r="BZ170" s="14">
        <f>BY170*VLOOKUP('Données projet'!$B$12,Paramètres!$A$1:$I$89,3,0)*VLOOKUP('Données projet'!$B$12,Paramètres!$A$1:$I$89,5,0)</f>
        <v>-5.8525984059087939E-13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317.48648551307656</v>
      </c>
      <c r="CE170" s="60">
        <f t="shared" si="148"/>
        <v>133.09277301479563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0">
        <f t="shared" si="122"/>
        <v>293.33333333333582</v>
      </c>
      <c r="CY170" s="60">
        <f ca="1">AVERAGE(OFFSET($CX$3,0,0,'Données projet'!$E$13+1,1))-AVERAGE(OFFSET($H$3,0,0,'Données projet'!$E$13+1,1))</f>
        <v>194.42056369374041</v>
      </c>
      <c r="CZ170" s="60">
        <f t="shared" si="150"/>
        <v>185.75045299455371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-9.3464223027694966E-13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274.31056057602081</v>
      </c>
      <c r="DU170" s="60">
        <f t="shared" si="152"/>
        <v>163.41029152029387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3.813056537183002E-14</v>
      </c>
      <c r="EL170" s="14">
        <f t="shared" si="179"/>
        <v>6.4086286045526829E-13</v>
      </c>
      <c r="EM170" s="22">
        <f t="shared" si="180"/>
        <v>1.1825802166488628E-12</v>
      </c>
      <c r="EN170" s="60">
        <f t="shared" si="128"/>
        <v>293.33333333333451</v>
      </c>
      <c r="EO170" s="60">
        <f ca="1">AVERAGE(OFFSET($EN$3,0,0,'Données projet'!$E$15+1,1))-AVERAGE(OFFSET($H$3,0,0,'Données projet'!$E$15+1,1))</f>
        <v>120.18668518376586</v>
      </c>
      <c r="EP170" s="60">
        <f t="shared" si="154"/>
        <v>110.24821114898037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8">
        <f t="shared" si="110"/>
        <v>620.46105237704421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-6.2527760746888816E-13</v>
      </c>
      <c r="O171" s="14">
        <f>N171*VLOOKUP('Données projet'!$B$9,Paramètres!$A$1:$I$89,3,0)*VLOOKUP('Données projet'!$B$9,Paramètres!$A$1:$I$89,5,0)</f>
        <v>-2.9262992029543964E-13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106.50743833854523</v>
      </c>
      <c r="T171" s="60">
        <f t="shared" si="142"/>
        <v>47.606751325129608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247.65126267995316</v>
      </c>
      <c r="AO171" s="60">
        <f t="shared" si="144"/>
        <v>149.27472147904314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-9.7986685432260874E-13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294.2815419338562</v>
      </c>
      <c r="BJ171" s="60">
        <f t="shared" si="146"/>
        <v>173.99850582760712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-6.8212102632969618E-13</v>
      </c>
      <c r="BZ171" s="14">
        <f>BY171*VLOOKUP('Données projet'!$B$12,Paramètres!$A$1:$I$89,3,0)*VLOOKUP('Données projet'!$B$12,Paramètres!$A$1:$I$89,5,0)</f>
        <v>-5.8525984059087939E-13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317.48648551307656</v>
      </c>
      <c r="CE171" s="60">
        <f t="shared" si="148"/>
        <v>133.09277301479563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0">
        <f t="shared" si="122"/>
        <v>293.33333333333582</v>
      </c>
      <c r="CY171" s="60">
        <f ca="1">AVERAGE(OFFSET($CX$3,0,0,'Données projet'!$E$13+1,1))-AVERAGE(OFFSET($H$3,0,0,'Données projet'!$E$13+1,1))</f>
        <v>194.42056369374041</v>
      </c>
      <c r="CZ171" s="60">
        <f t="shared" si="150"/>
        <v>185.75045299455371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-9.3464223027694966E-13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274.31056057602081</v>
      </c>
      <c r="DU171" s="60">
        <f t="shared" si="152"/>
        <v>163.41029152029387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3.813056537183002E-14</v>
      </c>
      <c r="EL171" s="14">
        <f t="shared" si="179"/>
        <v>6.4086286045526829E-13</v>
      </c>
      <c r="EM171" s="22">
        <f t="shared" si="180"/>
        <v>1.1825802166488628E-12</v>
      </c>
      <c r="EN171" s="60">
        <f t="shared" si="128"/>
        <v>293.33333333333451</v>
      </c>
      <c r="EO171" s="60">
        <f ca="1">AVERAGE(OFFSET($EN$3,0,0,'Données projet'!$E$15+1,1))-AVERAGE(OFFSET($H$3,0,0,'Données projet'!$E$15+1,1))</f>
        <v>120.18668518376586</v>
      </c>
      <c r="EP171" s="60">
        <f t="shared" si="154"/>
        <v>110.24821114898037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8">
        <f t="shared" si="110"/>
        <v>622.36173420727039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-6.2527760746888816E-13</v>
      </c>
      <c r="O172" s="14">
        <f>N172*VLOOKUP('Données projet'!$B$9,Paramètres!$A$1:$I$89,3,0)*VLOOKUP('Données projet'!$B$9,Paramètres!$A$1:$I$89,5,0)</f>
        <v>-2.9262992029543964E-13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106.50743833854523</v>
      </c>
      <c r="T172" s="60">
        <f t="shared" si="142"/>
        <v>47.606751325129608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247.65126267995316</v>
      </c>
      <c r="AO172" s="60">
        <f t="shared" si="144"/>
        <v>149.27472147904314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-9.7986685432260874E-13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294.2815419338562</v>
      </c>
      <c r="BJ172" s="60">
        <f t="shared" si="146"/>
        <v>173.99850582760712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-6.8212102632969618E-13</v>
      </c>
      <c r="BZ172" s="14">
        <f>BY172*VLOOKUP('Données projet'!$B$12,Paramètres!$A$1:$I$89,3,0)*VLOOKUP('Données projet'!$B$12,Paramètres!$A$1:$I$89,5,0)</f>
        <v>-5.8525984059087939E-13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317.48648551307656</v>
      </c>
      <c r="CE172" s="60">
        <f t="shared" si="148"/>
        <v>133.09277301479563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0">
        <f t="shared" si="122"/>
        <v>293.33333333333582</v>
      </c>
      <c r="CY172" s="60">
        <f ca="1">AVERAGE(OFFSET($CX$3,0,0,'Données projet'!$E$13+1,1))-AVERAGE(OFFSET($H$3,0,0,'Données projet'!$E$13+1,1))</f>
        <v>194.42056369374041</v>
      </c>
      <c r="CZ172" s="60">
        <f t="shared" si="150"/>
        <v>185.75045299455371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-9.3464223027694966E-13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274.31056057602081</v>
      </c>
      <c r="DU172" s="60">
        <f t="shared" si="152"/>
        <v>163.41029152029387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3.813056537183002E-14</v>
      </c>
      <c r="EL172" s="14">
        <f t="shared" si="179"/>
        <v>6.4086286045526829E-13</v>
      </c>
      <c r="EM172" s="22">
        <f t="shared" si="180"/>
        <v>1.1825802166488628E-12</v>
      </c>
      <c r="EN172" s="60">
        <f t="shared" si="128"/>
        <v>293.33333333333451</v>
      </c>
      <c r="EO172" s="60">
        <f ca="1">AVERAGE(OFFSET($EN$3,0,0,'Données projet'!$E$15+1,1))-AVERAGE(OFFSET($H$3,0,0,'Données projet'!$E$15+1,1))</f>
        <v>120.18668518376586</v>
      </c>
      <c r="EP172" s="60">
        <f t="shared" si="154"/>
        <v>110.24821114898037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8">
        <f t="shared" si="110"/>
        <v>624.26217368249513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-6.2527760746888816E-13</v>
      </c>
      <c r="O173" s="14">
        <f>N173*VLOOKUP('Données projet'!$B$9,Paramètres!$A$1:$I$89,3,0)*VLOOKUP('Données projet'!$B$9,Paramètres!$A$1:$I$89,5,0)</f>
        <v>-2.9262992029543964E-13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106.50743833854523</v>
      </c>
      <c r="T173" s="60">
        <f t="shared" si="142"/>
        <v>47.606751325129608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247.65126267995316</v>
      </c>
      <c r="AO173" s="60">
        <f t="shared" si="144"/>
        <v>149.27472147904314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-9.7986685432260874E-13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294.2815419338562</v>
      </c>
      <c r="BJ173" s="60">
        <f t="shared" si="146"/>
        <v>173.99850582760712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-6.8212102632969618E-13</v>
      </c>
      <c r="BZ173" s="14">
        <f>BY173*VLOOKUP('Données projet'!$B$12,Paramètres!$A$1:$I$89,3,0)*VLOOKUP('Données projet'!$B$12,Paramètres!$A$1:$I$89,5,0)</f>
        <v>-5.8525984059087939E-13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317.48648551307656</v>
      </c>
      <c r="CE173" s="60">
        <f t="shared" si="148"/>
        <v>133.09277301479563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0">
        <f t="shared" si="122"/>
        <v>293.33333333333582</v>
      </c>
      <c r="CY173" s="60">
        <f ca="1">AVERAGE(OFFSET($CX$3,0,0,'Données projet'!$E$13+1,1))-AVERAGE(OFFSET($H$3,0,0,'Données projet'!$E$13+1,1))</f>
        <v>194.42056369374041</v>
      </c>
      <c r="CZ173" s="60">
        <f t="shared" si="150"/>
        <v>185.75045299455371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-9.3464223027694966E-13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274.31056057602081</v>
      </c>
      <c r="DU173" s="60">
        <f t="shared" si="152"/>
        <v>163.41029152029387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3.813056537183002E-14</v>
      </c>
      <c r="EL173" s="14">
        <f t="shared" si="179"/>
        <v>6.4086286045526829E-13</v>
      </c>
      <c r="EM173" s="22">
        <f t="shared" si="180"/>
        <v>1.1825802166488628E-12</v>
      </c>
      <c r="EN173" s="60">
        <f t="shared" si="128"/>
        <v>293.33333333333451</v>
      </c>
      <c r="EO173" s="60">
        <f ca="1">AVERAGE(OFFSET($EN$3,0,0,'Données projet'!$E$15+1,1))-AVERAGE(OFFSET($H$3,0,0,'Données projet'!$E$15+1,1))</f>
        <v>120.18668518376586</v>
      </c>
      <c r="EP173" s="60">
        <f t="shared" si="154"/>
        <v>110.24821114898037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8">
        <f t="shared" si="110"/>
        <v>626.1623723937513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-6.2527760746888816E-13</v>
      </c>
      <c r="O174" s="14">
        <f>N174*VLOOKUP('Données projet'!$B$9,Paramètres!$A$1:$I$89,3,0)*VLOOKUP('Données projet'!$B$9,Paramètres!$A$1:$I$89,5,0)</f>
        <v>-2.9262992029543964E-13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106.50743833854523</v>
      </c>
      <c r="T174" s="60">
        <f t="shared" si="142"/>
        <v>47.606751325129608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247.65126267995316</v>
      </c>
      <c r="AO174" s="60">
        <f t="shared" si="144"/>
        <v>149.27472147904314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-9.7986685432260874E-13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294.2815419338562</v>
      </c>
      <c r="BJ174" s="60">
        <f t="shared" si="146"/>
        <v>173.99850582760712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-6.8212102632969618E-13</v>
      </c>
      <c r="BZ174" s="14">
        <f>BY174*VLOOKUP('Données projet'!$B$12,Paramètres!$A$1:$I$89,3,0)*VLOOKUP('Données projet'!$B$12,Paramètres!$A$1:$I$89,5,0)</f>
        <v>-5.8525984059087939E-13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317.48648551307656</v>
      </c>
      <c r="CE174" s="60">
        <f t="shared" si="148"/>
        <v>133.09277301479563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0">
        <f t="shared" si="122"/>
        <v>293.33333333333582</v>
      </c>
      <c r="CY174" s="60">
        <f ca="1">AVERAGE(OFFSET($CX$3,0,0,'Données projet'!$E$13+1,1))-AVERAGE(OFFSET($H$3,0,0,'Données projet'!$E$13+1,1))</f>
        <v>194.42056369374041</v>
      </c>
      <c r="CZ174" s="60">
        <f t="shared" si="150"/>
        <v>185.75045299455371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-9.3464223027694966E-13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274.31056057602081</v>
      </c>
      <c r="DU174" s="60">
        <f t="shared" si="152"/>
        <v>163.41029152029387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3.813056537183002E-14</v>
      </c>
      <c r="EL174" s="14">
        <f t="shared" si="179"/>
        <v>6.4086286045526829E-13</v>
      </c>
      <c r="EM174" s="22">
        <f t="shared" si="180"/>
        <v>1.1825802166488628E-12</v>
      </c>
      <c r="EN174" s="60">
        <f t="shared" si="128"/>
        <v>293.33333333333451</v>
      </c>
      <c r="EO174" s="60">
        <f ca="1">AVERAGE(OFFSET($EN$3,0,0,'Données projet'!$E$15+1,1))-AVERAGE(OFFSET($H$3,0,0,'Données projet'!$E$15+1,1))</f>
        <v>120.18668518376586</v>
      </c>
      <c r="EP174" s="60">
        <f t="shared" si="154"/>
        <v>110.24821114898037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8">
        <f t="shared" si="110"/>
        <v>628.06233191238698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-6.2527760746888816E-13</v>
      </c>
      <c r="O175" s="14">
        <f>N175*VLOOKUP('Données projet'!$B$9,Paramètres!$A$1:$I$89,3,0)*VLOOKUP('Données projet'!$B$9,Paramètres!$A$1:$I$89,5,0)</f>
        <v>-2.9262992029543964E-13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106.50743833854523</v>
      </c>
      <c r="T175" s="60">
        <f t="shared" si="142"/>
        <v>47.606751325129608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247.65126267995316</v>
      </c>
      <c r="AO175" s="60">
        <f t="shared" si="144"/>
        <v>149.27472147904314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-9.7986685432260874E-13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294.2815419338562</v>
      </c>
      <c r="BJ175" s="60">
        <f t="shared" si="146"/>
        <v>173.99850582760712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-6.8212102632969618E-13</v>
      </c>
      <c r="BZ175" s="14">
        <f>BY175*VLOOKUP('Données projet'!$B$12,Paramètres!$A$1:$I$89,3,0)*VLOOKUP('Données projet'!$B$12,Paramètres!$A$1:$I$89,5,0)</f>
        <v>-5.8525984059087939E-13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317.48648551307656</v>
      </c>
      <c r="CE175" s="60">
        <f t="shared" si="148"/>
        <v>133.09277301479563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0">
        <f t="shared" si="122"/>
        <v>293.33333333333582</v>
      </c>
      <c r="CY175" s="60">
        <f ca="1">AVERAGE(OFFSET($CX$3,0,0,'Données projet'!$E$13+1,1))-AVERAGE(OFFSET($H$3,0,0,'Données projet'!$E$13+1,1))</f>
        <v>194.42056369374041</v>
      </c>
      <c r="CZ175" s="60">
        <f t="shared" si="150"/>
        <v>185.75045299455371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-9.3464223027694966E-13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274.31056057602081</v>
      </c>
      <c r="DU175" s="60">
        <f t="shared" si="152"/>
        <v>163.41029152029387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3.813056537183002E-14</v>
      </c>
      <c r="EL175" s="14">
        <f t="shared" si="179"/>
        <v>6.4086286045526829E-13</v>
      </c>
      <c r="EM175" s="22">
        <f t="shared" si="180"/>
        <v>1.1825802166488628E-12</v>
      </c>
      <c r="EN175" s="60">
        <f t="shared" si="128"/>
        <v>293.33333333333451</v>
      </c>
      <c r="EO175" s="60">
        <f ca="1">AVERAGE(OFFSET($EN$3,0,0,'Données projet'!$E$15+1,1))-AVERAGE(OFFSET($H$3,0,0,'Données projet'!$E$15+1,1))</f>
        <v>120.18668518376586</v>
      </c>
      <c r="EP175" s="60">
        <f t="shared" si="154"/>
        <v>110.24821114898037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8">
        <f t="shared" si="110"/>
        <v>629.96205379042158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-6.2527760746888816E-13</v>
      </c>
      <c r="O176" s="14">
        <f>N176*VLOOKUP('Données projet'!$B$9,Paramètres!$A$1:$I$89,3,0)*VLOOKUP('Données projet'!$B$9,Paramètres!$A$1:$I$89,5,0)</f>
        <v>-2.9262992029543964E-13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106.50743833854523</v>
      </c>
      <c r="T176" s="60">
        <f t="shared" si="142"/>
        <v>47.606751325129608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247.65126267995316</v>
      </c>
      <c r="AO176" s="60">
        <f t="shared" si="144"/>
        <v>149.27472147904314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-9.7986685432260874E-13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294.2815419338562</v>
      </c>
      <c r="BJ176" s="60">
        <f t="shared" si="146"/>
        <v>173.99850582760712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-6.8212102632969618E-13</v>
      </c>
      <c r="BZ176" s="14">
        <f>BY176*VLOOKUP('Données projet'!$B$12,Paramètres!$A$1:$I$89,3,0)*VLOOKUP('Données projet'!$B$12,Paramètres!$A$1:$I$89,5,0)</f>
        <v>-5.8525984059087939E-13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317.48648551307656</v>
      </c>
      <c r="CE176" s="60">
        <f t="shared" si="148"/>
        <v>133.09277301479563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0">
        <f t="shared" si="122"/>
        <v>293.33333333333582</v>
      </c>
      <c r="CY176" s="60">
        <f ca="1">AVERAGE(OFFSET($CX$3,0,0,'Données projet'!$E$13+1,1))-AVERAGE(OFFSET($H$3,0,0,'Données projet'!$E$13+1,1))</f>
        <v>194.42056369374041</v>
      </c>
      <c r="CZ176" s="60">
        <f t="shared" si="150"/>
        <v>185.75045299455371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-9.3464223027694966E-13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274.31056057602081</v>
      </c>
      <c r="DU176" s="60">
        <f t="shared" si="152"/>
        <v>163.41029152029387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3.813056537183002E-14</v>
      </c>
      <c r="EL176" s="14">
        <f t="shared" si="179"/>
        <v>6.4086286045526829E-13</v>
      </c>
      <c r="EM176" s="22">
        <f t="shared" si="180"/>
        <v>1.1825802166488628E-12</v>
      </c>
      <c r="EN176" s="60">
        <f t="shared" si="128"/>
        <v>293.33333333333451</v>
      </c>
      <c r="EO176" s="60">
        <f ca="1">AVERAGE(OFFSET($EN$3,0,0,'Données projet'!$E$15+1,1))-AVERAGE(OFFSET($H$3,0,0,'Données projet'!$E$15+1,1))</f>
        <v>120.18668518376586</v>
      </c>
      <c r="EP176" s="60">
        <f t="shared" si="154"/>
        <v>110.24821114898037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8">
        <f t="shared" si="110"/>
        <v>631.86153956089356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-6.2527760746888816E-13</v>
      </c>
      <c r="O177" s="14">
        <f>N177*VLOOKUP('Données projet'!$B$9,Paramètres!$A$1:$I$89,3,0)*VLOOKUP('Données projet'!$B$9,Paramètres!$A$1:$I$89,5,0)</f>
        <v>-2.9262992029543964E-13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106.50743833854523</v>
      </c>
      <c r="T177" s="60">
        <f t="shared" si="142"/>
        <v>47.606751325129608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247.65126267995316</v>
      </c>
      <c r="AO177" s="60">
        <f t="shared" si="144"/>
        <v>149.27472147904314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-9.7986685432260874E-13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294.2815419338562</v>
      </c>
      <c r="BJ177" s="60">
        <f t="shared" si="146"/>
        <v>173.99850582760712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-6.8212102632969618E-13</v>
      </c>
      <c r="BZ177" s="14">
        <f>BY177*VLOOKUP('Données projet'!$B$12,Paramètres!$A$1:$I$89,3,0)*VLOOKUP('Données projet'!$B$12,Paramètres!$A$1:$I$89,5,0)</f>
        <v>-5.8525984059087939E-13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317.48648551307656</v>
      </c>
      <c r="CE177" s="60">
        <f t="shared" si="148"/>
        <v>133.09277301479563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0">
        <f t="shared" si="122"/>
        <v>293.33333333333582</v>
      </c>
      <c r="CY177" s="60">
        <f ca="1">AVERAGE(OFFSET($CX$3,0,0,'Données projet'!$E$13+1,1))-AVERAGE(OFFSET($H$3,0,0,'Données projet'!$E$13+1,1))</f>
        <v>194.42056369374041</v>
      </c>
      <c r="CZ177" s="60">
        <f t="shared" si="150"/>
        <v>185.75045299455371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-9.3464223027694966E-13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274.31056057602081</v>
      </c>
      <c r="DU177" s="60">
        <f t="shared" si="152"/>
        <v>163.41029152029387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3.813056537183002E-14</v>
      </c>
      <c r="EL177" s="14">
        <f t="shared" si="179"/>
        <v>6.4086286045526829E-13</v>
      </c>
      <c r="EM177" s="22">
        <f t="shared" si="180"/>
        <v>1.1825802166488628E-12</v>
      </c>
      <c r="EN177" s="60">
        <f t="shared" si="128"/>
        <v>293.33333333333451</v>
      </c>
      <c r="EO177" s="60">
        <f ca="1">AVERAGE(OFFSET($EN$3,0,0,'Données projet'!$E$15+1,1))-AVERAGE(OFFSET($H$3,0,0,'Données projet'!$E$15+1,1))</f>
        <v>120.18668518376586</v>
      </c>
      <c r="EP177" s="60">
        <f t="shared" si="154"/>
        <v>110.24821114898037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8">
        <f t="shared" si="110"/>
        <v>633.76079073820119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-6.2527760746888816E-13</v>
      </c>
      <c r="O178" s="14">
        <f>N178*VLOOKUP('Données projet'!$B$9,Paramètres!$A$1:$I$89,3,0)*VLOOKUP('Données projet'!$B$9,Paramètres!$A$1:$I$89,5,0)</f>
        <v>-2.9262992029543964E-13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106.50743833854523</v>
      </c>
      <c r="T178" s="60">
        <f t="shared" si="142"/>
        <v>47.606751325129608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247.65126267995316</v>
      </c>
      <c r="AO178" s="60">
        <f t="shared" si="144"/>
        <v>149.27472147904314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-9.7986685432260874E-13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294.2815419338562</v>
      </c>
      <c r="BJ178" s="60">
        <f t="shared" si="146"/>
        <v>173.99850582760712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-6.8212102632969618E-13</v>
      </c>
      <c r="BZ178" s="14">
        <f>BY178*VLOOKUP('Données projet'!$B$12,Paramètres!$A$1:$I$89,3,0)*VLOOKUP('Données projet'!$B$12,Paramètres!$A$1:$I$89,5,0)</f>
        <v>-5.8525984059087939E-13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317.48648551307656</v>
      </c>
      <c r="CE178" s="60">
        <f t="shared" si="148"/>
        <v>133.09277301479563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0">
        <f t="shared" si="122"/>
        <v>293.33333333333582</v>
      </c>
      <c r="CY178" s="60">
        <f ca="1">AVERAGE(OFFSET($CX$3,0,0,'Données projet'!$E$13+1,1))-AVERAGE(OFFSET($H$3,0,0,'Données projet'!$E$13+1,1))</f>
        <v>194.42056369374041</v>
      </c>
      <c r="CZ178" s="60">
        <f t="shared" si="150"/>
        <v>185.75045299455371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-9.3464223027694966E-13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274.31056057602081</v>
      </c>
      <c r="DU178" s="60">
        <f t="shared" si="152"/>
        <v>163.41029152029387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3.813056537183002E-14</v>
      </c>
      <c r="EL178" s="14">
        <f t="shared" si="179"/>
        <v>6.4086286045526829E-13</v>
      </c>
      <c r="EM178" s="22">
        <f t="shared" si="180"/>
        <v>1.1825802166488628E-12</v>
      </c>
      <c r="EN178" s="60">
        <f t="shared" si="128"/>
        <v>293.33333333333451</v>
      </c>
      <c r="EO178" s="60">
        <f ca="1">AVERAGE(OFFSET($EN$3,0,0,'Données projet'!$E$15+1,1))-AVERAGE(OFFSET($H$3,0,0,'Données projet'!$E$15+1,1))</f>
        <v>120.18668518376586</v>
      </c>
      <c r="EP178" s="60">
        <f t="shared" si="154"/>
        <v>110.24821114898037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8">
        <f t="shared" si="110"/>
        <v>635.65980881843325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-6.2527760746888816E-13</v>
      </c>
      <c r="O179" s="14">
        <f>N179*VLOOKUP('Données projet'!$B$9,Paramètres!$A$1:$I$89,3,0)*VLOOKUP('Données projet'!$B$9,Paramètres!$A$1:$I$89,5,0)</f>
        <v>-2.9262992029543964E-13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106.50743833854523</v>
      </c>
      <c r="T179" s="60">
        <f t="shared" si="142"/>
        <v>47.606751325129608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247.65126267995316</v>
      </c>
      <c r="AO179" s="60">
        <f t="shared" si="144"/>
        <v>149.27472147904314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-9.7986685432260874E-13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294.2815419338562</v>
      </c>
      <c r="BJ179" s="60">
        <f t="shared" si="146"/>
        <v>173.99850582760712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-6.8212102632969618E-13</v>
      </c>
      <c r="BZ179" s="14">
        <f>BY179*VLOOKUP('Données projet'!$B$12,Paramètres!$A$1:$I$89,3,0)*VLOOKUP('Données projet'!$B$12,Paramètres!$A$1:$I$89,5,0)</f>
        <v>-5.8525984059087939E-13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317.48648551307656</v>
      </c>
      <c r="CE179" s="60">
        <f t="shared" si="148"/>
        <v>133.09277301479563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0">
        <f t="shared" si="122"/>
        <v>293.33333333333582</v>
      </c>
      <c r="CY179" s="60">
        <f ca="1">AVERAGE(OFFSET($CX$3,0,0,'Données projet'!$E$13+1,1))-AVERAGE(OFFSET($H$3,0,0,'Données projet'!$E$13+1,1))</f>
        <v>194.42056369374041</v>
      </c>
      <c r="CZ179" s="60">
        <f t="shared" si="150"/>
        <v>185.75045299455371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-9.3464223027694966E-13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274.31056057602081</v>
      </c>
      <c r="DU179" s="60">
        <f t="shared" si="152"/>
        <v>163.41029152029387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3.813056537183002E-14</v>
      </c>
      <c r="EL179" s="14">
        <f t="shared" si="179"/>
        <v>6.4086286045526829E-13</v>
      </c>
      <c r="EM179" s="22">
        <f t="shared" si="180"/>
        <v>1.1825802166488628E-12</v>
      </c>
      <c r="EN179" s="60">
        <f t="shared" si="128"/>
        <v>293.33333333333451</v>
      </c>
      <c r="EO179" s="60">
        <f ca="1">AVERAGE(OFFSET($EN$3,0,0,'Données projet'!$E$15+1,1))-AVERAGE(OFFSET($H$3,0,0,'Données projet'!$E$15+1,1))</f>
        <v>120.18668518376586</v>
      </c>
      <c r="EP179" s="60">
        <f t="shared" si="154"/>
        <v>110.24821114898037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8">
        <f t="shared" si="110"/>
        <v>637.55859527969415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-6.2527760746888816E-13</v>
      </c>
      <c r="O180" s="14">
        <f>N180*VLOOKUP('Données projet'!$B$9,Paramètres!$A$1:$I$89,3,0)*VLOOKUP('Données projet'!$B$9,Paramètres!$A$1:$I$89,5,0)</f>
        <v>-2.9262992029543964E-13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106.50743833854523</v>
      </c>
      <c r="T180" s="60">
        <f t="shared" si="142"/>
        <v>47.606751325129608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247.65126267995316</v>
      </c>
      <c r="AO180" s="60">
        <f t="shared" si="144"/>
        <v>149.27472147904314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-9.7986685432260874E-13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294.2815419338562</v>
      </c>
      <c r="BJ180" s="60">
        <f t="shared" si="146"/>
        <v>173.99850582760712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-6.8212102632969618E-13</v>
      </c>
      <c r="BZ180" s="14">
        <f>BY180*VLOOKUP('Données projet'!$B$12,Paramètres!$A$1:$I$89,3,0)*VLOOKUP('Données projet'!$B$12,Paramètres!$A$1:$I$89,5,0)</f>
        <v>-5.8525984059087939E-13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317.48648551307656</v>
      </c>
      <c r="CE180" s="60">
        <f t="shared" si="148"/>
        <v>133.09277301479563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0">
        <f t="shared" si="122"/>
        <v>293.33333333333582</v>
      </c>
      <c r="CY180" s="60">
        <f ca="1">AVERAGE(OFFSET($CX$3,0,0,'Données projet'!$E$13+1,1))-AVERAGE(OFFSET($H$3,0,0,'Données projet'!$E$13+1,1))</f>
        <v>194.42056369374041</v>
      </c>
      <c r="CZ180" s="60">
        <f t="shared" si="150"/>
        <v>185.75045299455371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-9.3464223027694966E-13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274.31056057602081</v>
      </c>
      <c r="DU180" s="60">
        <f t="shared" si="152"/>
        <v>163.41029152029387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3.813056537183002E-14</v>
      </c>
      <c r="EL180" s="14">
        <f t="shared" si="179"/>
        <v>6.4086286045526829E-13</v>
      </c>
      <c r="EM180" s="22">
        <f t="shared" si="180"/>
        <v>1.1825802166488628E-12</v>
      </c>
      <c r="EN180" s="60">
        <f t="shared" si="128"/>
        <v>293.33333333333451</v>
      </c>
      <c r="EO180" s="60">
        <f ca="1">AVERAGE(OFFSET($EN$3,0,0,'Données projet'!$E$15+1,1))-AVERAGE(OFFSET($H$3,0,0,'Données projet'!$E$15+1,1))</f>
        <v>120.18668518376586</v>
      </c>
      <c r="EP180" s="60">
        <f t="shared" si="154"/>
        <v>110.24821114898037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8">
        <f t="shared" si="110"/>
        <v>639.4571515824199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-6.2527760746888816E-13</v>
      </c>
      <c r="O181" s="14">
        <f>N181*VLOOKUP('Données projet'!$B$9,Paramètres!$A$1:$I$89,3,0)*VLOOKUP('Données projet'!$B$9,Paramètres!$A$1:$I$89,5,0)</f>
        <v>-2.9262992029543964E-13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106.50743833854523</v>
      </c>
      <c r="T181" s="60">
        <f t="shared" si="142"/>
        <v>47.606751325129608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247.65126267995316</v>
      </c>
      <c r="AO181" s="60">
        <f t="shared" si="144"/>
        <v>149.27472147904314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-9.7986685432260874E-13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294.2815419338562</v>
      </c>
      <c r="BJ181" s="60">
        <f t="shared" si="146"/>
        <v>173.99850582760712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-6.8212102632969618E-13</v>
      </c>
      <c r="BZ181" s="14">
        <f>BY181*VLOOKUP('Données projet'!$B$12,Paramètres!$A$1:$I$89,3,0)*VLOOKUP('Données projet'!$B$12,Paramètres!$A$1:$I$89,5,0)</f>
        <v>-5.8525984059087939E-13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317.48648551307656</v>
      </c>
      <c r="CE181" s="60">
        <f t="shared" si="148"/>
        <v>133.09277301479563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0">
        <f t="shared" si="122"/>
        <v>293.33333333333582</v>
      </c>
      <c r="CY181" s="60">
        <f ca="1">AVERAGE(OFFSET($CX$3,0,0,'Données projet'!$E$13+1,1))-AVERAGE(OFFSET($H$3,0,0,'Données projet'!$E$13+1,1))</f>
        <v>194.42056369374041</v>
      </c>
      <c r="CZ181" s="60">
        <f t="shared" si="150"/>
        <v>185.75045299455371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-9.3464223027694966E-13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274.31056057602081</v>
      </c>
      <c r="DU181" s="60">
        <f t="shared" si="152"/>
        <v>163.41029152029387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3.813056537183002E-14</v>
      </c>
      <c r="EL181" s="14">
        <f t="shared" si="179"/>
        <v>6.4086286045526829E-13</v>
      </c>
      <c r="EM181" s="22">
        <f t="shared" si="180"/>
        <v>1.1825802166488628E-12</v>
      </c>
      <c r="EN181" s="60">
        <f t="shared" si="128"/>
        <v>293.33333333333451</v>
      </c>
      <c r="EO181" s="60">
        <f ca="1">AVERAGE(OFFSET($EN$3,0,0,'Données projet'!$E$15+1,1))-AVERAGE(OFFSET($H$3,0,0,'Données projet'!$E$15+1,1))</f>
        <v>120.18668518376586</v>
      </c>
      <c r="EP181" s="60">
        <f t="shared" si="154"/>
        <v>110.24821114898037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8">
        <f t="shared" si="110"/>
        <v>641.35547916968733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-6.2527760746888816E-13</v>
      </c>
      <c r="O182" s="14">
        <f>N182*VLOOKUP('Données projet'!$B$9,Paramètres!$A$1:$I$89,3,0)*VLOOKUP('Données projet'!$B$9,Paramètres!$A$1:$I$89,5,0)</f>
        <v>-2.9262992029543964E-13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106.50743833854523</v>
      </c>
      <c r="T182" s="60">
        <f t="shared" si="142"/>
        <v>47.606751325129608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247.65126267995316</v>
      </c>
      <c r="AO182" s="60">
        <f t="shared" si="144"/>
        <v>149.27472147904314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-9.7986685432260874E-13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294.2815419338562</v>
      </c>
      <c r="BJ182" s="60">
        <f t="shared" si="146"/>
        <v>173.99850582760712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-6.8212102632969618E-13</v>
      </c>
      <c r="BZ182" s="14">
        <f>BY182*VLOOKUP('Données projet'!$B$12,Paramètres!$A$1:$I$89,3,0)*VLOOKUP('Données projet'!$B$12,Paramètres!$A$1:$I$89,5,0)</f>
        <v>-5.8525984059087939E-13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317.48648551307656</v>
      </c>
      <c r="CE182" s="60">
        <f t="shared" si="148"/>
        <v>133.09277301479563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0">
        <f t="shared" si="122"/>
        <v>293.33333333333582</v>
      </c>
      <c r="CY182" s="60">
        <f ca="1">AVERAGE(OFFSET($CX$3,0,0,'Données projet'!$E$13+1,1))-AVERAGE(OFFSET($H$3,0,0,'Données projet'!$E$13+1,1))</f>
        <v>194.42056369374041</v>
      </c>
      <c r="CZ182" s="60">
        <f t="shared" si="150"/>
        <v>185.75045299455371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-9.3464223027694966E-13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274.31056057602081</v>
      </c>
      <c r="DU182" s="60">
        <f t="shared" si="152"/>
        <v>163.41029152029387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3.813056537183002E-14</v>
      </c>
      <c r="EL182" s="14">
        <f t="shared" si="179"/>
        <v>6.4086286045526829E-13</v>
      </c>
      <c r="EM182" s="22">
        <f t="shared" si="180"/>
        <v>1.1825802166488628E-12</v>
      </c>
      <c r="EN182" s="60">
        <f t="shared" si="128"/>
        <v>293.33333333333451</v>
      </c>
      <c r="EO182" s="60">
        <f ca="1">AVERAGE(OFFSET($EN$3,0,0,'Données projet'!$E$15+1,1))-AVERAGE(OFFSET($H$3,0,0,'Données projet'!$E$15+1,1))</f>
        <v>120.18668518376586</v>
      </c>
      <c r="EP182" s="60">
        <f t="shared" si="154"/>
        <v>110.24821114898037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8">
        <f t="shared" si="110"/>
        <v>643.2535794675166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-6.2527760746888816E-13</v>
      </c>
      <c r="O183" s="14">
        <f>N183*VLOOKUP('Données projet'!$B$9,Paramètres!$A$1:$I$89,3,0)*VLOOKUP('Données projet'!$B$9,Paramètres!$A$1:$I$89,5,0)</f>
        <v>-2.9262992029543964E-13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106.50743833854523</v>
      </c>
      <c r="T183" s="60">
        <f t="shared" si="142"/>
        <v>47.606751325129608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247.65126267995316</v>
      </c>
      <c r="AO183" s="60">
        <f t="shared" si="144"/>
        <v>149.27472147904314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-9.7986685432260874E-13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294.2815419338562</v>
      </c>
      <c r="BJ183" s="60">
        <f t="shared" si="146"/>
        <v>173.99850582760712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-6.8212102632969618E-13</v>
      </c>
      <c r="BZ183" s="14">
        <f>BY183*VLOOKUP('Données projet'!$B$12,Paramètres!$A$1:$I$89,3,0)*VLOOKUP('Données projet'!$B$12,Paramètres!$A$1:$I$89,5,0)</f>
        <v>-5.8525984059087939E-13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317.48648551307656</v>
      </c>
      <c r="CE183" s="60">
        <f t="shared" si="148"/>
        <v>133.09277301479563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0">
        <f t="shared" si="122"/>
        <v>293.33333333333582</v>
      </c>
      <c r="CY183" s="60">
        <f ca="1">AVERAGE(OFFSET($CX$3,0,0,'Données projet'!$E$13+1,1))-AVERAGE(OFFSET($H$3,0,0,'Données projet'!$E$13+1,1))</f>
        <v>194.42056369374041</v>
      </c>
      <c r="CZ183" s="60">
        <f t="shared" si="150"/>
        <v>185.75045299455371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-9.3464223027694966E-13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274.31056057602081</v>
      </c>
      <c r="DU183" s="60">
        <f t="shared" si="152"/>
        <v>163.41029152029387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3.813056537183002E-14</v>
      </c>
      <c r="EL183" s="14">
        <f t="shared" si="179"/>
        <v>6.4086286045526829E-13</v>
      </c>
      <c r="EM183" s="22">
        <f t="shared" si="180"/>
        <v>1.1825802166488628E-12</v>
      </c>
      <c r="EN183" s="60">
        <f t="shared" si="128"/>
        <v>293.33333333333451</v>
      </c>
      <c r="EO183" s="60">
        <f ca="1">AVERAGE(OFFSET($EN$3,0,0,'Données projet'!$E$15+1,1))-AVERAGE(OFFSET($H$3,0,0,'Données projet'!$E$15+1,1))</f>
        <v>120.18668518376586</v>
      </c>
      <c r="EP183" s="60">
        <f t="shared" si="154"/>
        <v>110.24821114898037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8">
        <f t="shared" si="110"/>
        <v>645.15145388516635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-6.2527760746888816E-13</v>
      </c>
      <c r="O184" s="14">
        <f>N184*VLOOKUP('Données projet'!$B$9,Paramètres!$A$1:$I$89,3,0)*VLOOKUP('Données projet'!$B$9,Paramètres!$A$1:$I$89,5,0)</f>
        <v>-2.9262992029543964E-13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106.50743833854523</v>
      </c>
      <c r="T184" s="60">
        <f t="shared" si="142"/>
        <v>47.606751325129608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247.65126267995316</v>
      </c>
      <c r="AO184" s="60">
        <f t="shared" si="144"/>
        <v>149.27472147904314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-9.7986685432260874E-13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294.2815419338562</v>
      </c>
      <c r="BJ184" s="60">
        <f t="shared" si="146"/>
        <v>173.99850582760712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-6.8212102632969618E-13</v>
      </c>
      <c r="BZ184" s="14">
        <f>BY184*VLOOKUP('Données projet'!$B$12,Paramètres!$A$1:$I$89,3,0)*VLOOKUP('Données projet'!$B$12,Paramètres!$A$1:$I$89,5,0)</f>
        <v>-5.8525984059087939E-13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317.48648551307656</v>
      </c>
      <c r="CE184" s="60">
        <f t="shared" si="148"/>
        <v>133.09277301479563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0">
        <f t="shared" si="122"/>
        <v>293.33333333333582</v>
      </c>
      <c r="CY184" s="60">
        <f ca="1">AVERAGE(OFFSET($CX$3,0,0,'Données projet'!$E$13+1,1))-AVERAGE(OFFSET($H$3,0,0,'Données projet'!$E$13+1,1))</f>
        <v>194.42056369374041</v>
      </c>
      <c r="CZ184" s="60">
        <f t="shared" si="150"/>
        <v>185.75045299455371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-9.3464223027694966E-13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274.31056057602081</v>
      </c>
      <c r="DU184" s="60">
        <f t="shared" si="152"/>
        <v>163.41029152029387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3.813056537183002E-14</v>
      </c>
      <c r="EL184" s="14">
        <f t="shared" si="179"/>
        <v>6.4086286045526829E-13</v>
      </c>
      <c r="EM184" s="22">
        <f t="shared" si="180"/>
        <v>1.1825802166488628E-12</v>
      </c>
      <c r="EN184" s="60">
        <f t="shared" si="128"/>
        <v>293.33333333333451</v>
      </c>
      <c r="EO184" s="60">
        <f ca="1">AVERAGE(OFFSET($EN$3,0,0,'Données projet'!$E$15+1,1))-AVERAGE(OFFSET($H$3,0,0,'Données projet'!$E$15+1,1))</f>
        <v>120.18668518376586</v>
      </c>
      <c r="EP184" s="60">
        <f t="shared" si="154"/>
        <v>110.24821114898037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8">
        <f t="shared" si="110"/>
        <v>647.0491038154214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-6.2527760746888816E-13</v>
      </c>
      <c r="O185" s="14">
        <f>N185*VLOOKUP('Données projet'!$B$9,Paramètres!$A$1:$I$89,3,0)*VLOOKUP('Données projet'!$B$9,Paramètres!$A$1:$I$89,5,0)</f>
        <v>-2.9262992029543964E-13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106.50743833854523</v>
      </c>
      <c r="T185" s="60">
        <f t="shared" si="142"/>
        <v>47.606751325129608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247.65126267995316</v>
      </c>
      <c r="AO185" s="60">
        <f t="shared" si="144"/>
        <v>149.27472147904314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-9.7986685432260874E-13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294.2815419338562</v>
      </c>
      <c r="BJ185" s="60">
        <f t="shared" si="146"/>
        <v>173.99850582760712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-6.8212102632969618E-13</v>
      </c>
      <c r="BZ185" s="14">
        <f>BY185*VLOOKUP('Données projet'!$B$12,Paramètres!$A$1:$I$89,3,0)*VLOOKUP('Données projet'!$B$12,Paramètres!$A$1:$I$89,5,0)</f>
        <v>-5.8525984059087939E-13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317.48648551307656</v>
      </c>
      <c r="CE185" s="60">
        <f t="shared" si="148"/>
        <v>133.09277301479563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0">
        <f t="shared" si="122"/>
        <v>293.33333333333582</v>
      </c>
      <c r="CY185" s="60">
        <f ca="1">AVERAGE(OFFSET($CX$3,0,0,'Données projet'!$E$13+1,1))-AVERAGE(OFFSET($H$3,0,0,'Données projet'!$E$13+1,1))</f>
        <v>194.42056369374041</v>
      </c>
      <c r="CZ185" s="60">
        <f t="shared" si="150"/>
        <v>185.75045299455371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-9.3464223027694966E-13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274.31056057602081</v>
      </c>
      <c r="DU185" s="60">
        <f t="shared" si="152"/>
        <v>163.41029152029387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3.813056537183002E-14</v>
      </c>
      <c r="EL185" s="14">
        <f t="shared" si="179"/>
        <v>6.4086286045526829E-13</v>
      </c>
      <c r="EM185" s="22">
        <f t="shared" si="180"/>
        <v>1.1825802166488628E-12</v>
      </c>
      <c r="EN185" s="60">
        <f t="shared" si="128"/>
        <v>293.33333333333451</v>
      </c>
      <c r="EO185" s="60">
        <f ca="1">AVERAGE(OFFSET($EN$3,0,0,'Données projet'!$E$15+1,1))-AVERAGE(OFFSET($H$3,0,0,'Données projet'!$E$15+1,1))</f>
        <v>120.18668518376586</v>
      </c>
      <c r="EP185" s="60">
        <f t="shared" si="154"/>
        <v>110.24821114898037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8">
        <f t="shared" si="110"/>
        <v>648.94653063487635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-6.2527760746888816E-13</v>
      </c>
      <c r="O186" s="14">
        <f>N186*VLOOKUP('Données projet'!$B$9,Paramètres!$A$1:$I$89,3,0)*VLOOKUP('Données projet'!$B$9,Paramètres!$A$1:$I$89,5,0)</f>
        <v>-2.9262992029543964E-13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106.50743833854523</v>
      </c>
      <c r="T186" s="60">
        <f t="shared" si="142"/>
        <v>47.606751325129608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247.65126267995316</v>
      </c>
      <c r="AO186" s="60">
        <f t="shared" si="144"/>
        <v>149.27472147904314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-9.7986685432260874E-13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294.2815419338562</v>
      </c>
      <c r="BJ186" s="60">
        <f t="shared" si="146"/>
        <v>173.99850582760712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-6.8212102632969618E-13</v>
      </c>
      <c r="BZ186" s="14">
        <f>BY186*VLOOKUP('Données projet'!$B$12,Paramètres!$A$1:$I$89,3,0)*VLOOKUP('Données projet'!$B$12,Paramètres!$A$1:$I$89,5,0)</f>
        <v>-5.8525984059087939E-13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317.48648551307656</v>
      </c>
      <c r="CE186" s="60">
        <f t="shared" si="148"/>
        <v>133.09277301479563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0">
        <f t="shared" si="122"/>
        <v>293.33333333333582</v>
      </c>
      <c r="CY186" s="60">
        <f ca="1">AVERAGE(OFFSET($CX$3,0,0,'Données projet'!$E$13+1,1))-AVERAGE(OFFSET($H$3,0,0,'Données projet'!$E$13+1,1))</f>
        <v>194.42056369374041</v>
      </c>
      <c r="CZ186" s="60">
        <f t="shared" si="150"/>
        <v>185.75045299455371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-9.3464223027694966E-13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274.31056057602081</v>
      </c>
      <c r="DU186" s="60">
        <f t="shared" si="152"/>
        <v>163.41029152029387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3.813056537183002E-14</v>
      </c>
      <c r="EL186" s="14">
        <f t="shared" si="179"/>
        <v>6.4086286045526829E-13</v>
      </c>
      <c r="EM186" s="22">
        <f t="shared" si="180"/>
        <v>1.1825802166488628E-12</v>
      </c>
      <c r="EN186" s="60">
        <f t="shared" si="128"/>
        <v>293.33333333333451</v>
      </c>
      <c r="EO186" s="60">
        <f ca="1">AVERAGE(OFFSET($EN$3,0,0,'Données projet'!$E$15+1,1))-AVERAGE(OFFSET($H$3,0,0,'Données projet'!$E$15+1,1))</f>
        <v>120.18668518376586</v>
      </c>
      <c r="EP186" s="60">
        <f t="shared" si="154"/>
        <v>110.24821114898037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8">
        <f t="shared" si="110"/>
        <v>650.84373570420951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-6.2527760746888816E-13</v>
      </c>
      <c r="O187" s="14">
        <f>N187*VLOOKUP('Données projet'!$B$9,Paramètres!$A$1:$I$89,3,0)*VLOOKUP('Données projet'!$B$9,Paramètres!$A$1:$I$89,5,0)</f>
        <v>-2.9262992029543964E-13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106.50743833854523</v>
      </c>
      <c r="T187" s="60">
        <f t="shared" si="142"/>
        <v>47.606751325129608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247.65126267995316</v>
      </c>
      <c r="AO187" s="60">
        <f t="shared" si="144"/>
        <v>149.27472147904314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-9.7986685432260874E-13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294.2815419338562</v>
      </c>
      <c r="BJ187" s="60">
        <f t="shared" si="146"/>
        <v>173.99850582760712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-6.8212102632969618E-13</v>
      </c>
      <c r="BZ187" s="14">
        <f>BY187*VLOOKUP('Données projet'!$B$12,Paramètres!$A$1:$I$89,3,0)*VLOOKUP('Données projet'!$B$12,Paramètres!$A$1:$I$89,5,0)</f>
        <v>-5.8525984059087939E-13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317.48648551307656</v>
      </c>
      <c r="CE187" s="60">
        <f t="shared" si="148"/>
        <v>133.09277301479563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0">
        <f t="shared" si="122"/>
        <v>293.33333333333582</v>
      </c>
      <c r="CY187" s="60">
        <f ca="1">AVERAGE(OFFSET($CX$3,0,0,'Données projet'!$E$13+1,1))-AVERAGE(OFFSET($H$3,0,0,'Données projet'!$E$13+1,1))</f>
        <v>194.42056369374041</v>
      </c>
      <c r="CZ187" s="60">
        <f t="shared" si="150"/>
        <v>185.75045299455371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-9.3464223027694966E-13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274.31056057602081</v>
      </c>
      <c r="DU187" s="60">
        <f t="shared" si="152"/>
        <v>163.41029152029387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3.813056537183002E-14</v>
      </c>
      <c r="EL187" s="14">
        <f t="shared" si="179"/>
        <v>6.4086286045526829E-13</v>
      </c>
      <c r="EM187" s="22">
        <f t="shared" si="180"/>
        <v>1.1825802166488628E-12</v>
      </c>
      <c r="EN187" s="60">
        <f t="shared" si="128"/>
        <v>293.33333333333451</v>
      </c>
      <c r="EO187" s="60">
        <f ca="1">AVERAGE(OFFSET($EN$3,0,0,'Données projet'!$E$15+1,1))-AVERAGE(OFFSET($H$3,0,0,'Données projet'!$E$15+1,1))</f>
        <v>120.18668518376586</v>
      </c>
      <c r="EP187" s="60">
        <f t="shared" si="154"/>
        <v>110.24821114898037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8">
        <f t="shared" si="110"/>
        <v>652.74072036845359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-6.2527760746888816E-13</v>
      </c>
      <c r="O188" s="14">
        <f>N188*VLOOKUP('Données projet'!$B$9,Paramètres!$A$1:$I$89,3,0)*VLOOKUP('Données projet'!$B$9,Paramètres!$A$1:$I$89,5,0)</f>
        <v>-2.9262992029543964E-13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106.50743833854523</v>
      </c>
      <c r="T188" s="60">
        <f t="shared" si="142"/>
        <v>47.606751325129608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247.65126267995316</v>
      </c>
      <c r="AO188" s="60">
        <f t="shared" si="144"/>
        <v>149.27472147904314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-9.7986685432260874E-13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294.2815419338562</v>
      </c>
      <c r="BJ188" s="60">
        <f t="shared" si="146"/>
        <v>173.99850582760712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-6.8212102632969618E-13</v>
      </c>
      <c r="BZ188" s="14">
        <f>BY188*VLOOKUP('Données projet'!$B$12,Paramètres!$A$1:$I$89,3,0)*VLOOKUP('Données projet'!$B$12,Paramètres!$A$1:$I$89,5,0)</f>
        <v>-5.8525984059087939E-13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317.48648551307656</v>
      </c>
      <c r="CE188" s="60">
        <f t="shared" si="148"/>
        <v>133.09277301479563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0">
        <f t="shared" si="122"/>
        <v>293.33333333333582</v>
      </c>
      <c r="CY188" s="60">
        <f ca="1">AVERAGE(OFFSET($CX$3,0,0,'Données projet'!$E$13+1,1))-AVERAGE(OFFSET($H$3,0,0,'Données projet'!$E$13+1,1))</f>
        <v>194.42056369374041</v>
      </c>
      <c r="CZ188" s="60">
        <f t="shared" si="150"/>
        <v>185.75045299455371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-9.3464223027694966E-13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274.31056057602081</v>
      </c>
      <c r="DU188" s="60">
        <f t="shared" si="152"/>
        <v>163.41029152029387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3.813056537183002E-14</v>
      </c>
      <c r="EL188" s="14">
        <f t="shared" si="179"/>
        <v>6.4086286045526829E-13</v>
      </c>
      <c r="EM188" s="22">
        <f t="shared" si="180"/>
        <v>1.1825802166488628E-12</v>
      </c>
      <c r="EN188" s="60">
        <f t="shared" si="128"/>
        <v>293.33333333333451</v>
      </c>
      <c r="EO188" s="60">
        <f ca="1">AVERAGE(OFFSET($EN$3,0,0,'Données projet'!$E$15+1,1))-AVERAGE(OFFSET($H$3,0,0,'Données projet'!$E$15+1,1))</f>
        <v>120.18668518376586</v>
      </c>
      <c r="EP188" s="60">
        <f t="shared" si="154"/>
        <v>110.24821114898037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8">
        <f t="shared" si="110"/>
        <v>654.63748595725838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-6.2527760746888816E-13</v>
      </c>
      <c r="O189" s="14">
        <f>N189*VLOOKUP('Données projet'!$B$9,Paramètres!$A$1:$I$89,3,0)*VLOOKUP('Données projet'!$B$9,Paramètres!$A$1:$I$89,5,0)</f>
        <v>-2.9262992029543964E-13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106.50743833854523</v>
      </c>
      <c r="T189" s="60">
        <f t="shared" si="142"/>
        <v>47.606751325129608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247.65126267995316</v>
      </c>
      <c r="AO189" s="60">
        <f t="shared" si="144"/>
        <v>149.27472147904314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-9.7986685432260874E-13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294.2815419338562</v>
      </c>
      <c r="BJ189" s="60">
        <f t="shared" si="146"/>
        <v>173.99850582760712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-6.8212102632969618E-13</v>
      </c>
      <c r="BZ189" s="14">
        <f>BY189*VLOOKUP('Données projet'!$B$12,Paramètres!$A$1:$I$89,3,0)*VLOOKUP('Données projet'!$B$12,Paramètres!$A$1:$I$89,5,0)</f>
        <v>-5.8525984059087939E-13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317.48648551307656</v>
      </c>
      <c r="CE189" s="60">
        <f t="shared" si="148"/>
        <v>133.09277301479563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0">
        <f t="shared" si="122"/>
        <v>293.33333333333582</v>
      </c>
      <c r="CY189" s="60">
        <f ca="1">AVERAGE(OFFSET($CX$3,0,0,'Données projet'!$E$13+1,1))-AVERAGE(OFFSET($H$3,0,0,'Données projet'!$E$13+1,1))</f>
        <v>194.42056369374041</v>
      </c>
      <c r="CZ189" s="60">
        <f t="shared" si="150"/>
        <v>185.75045299455371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-9.3464223027694966E-13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274.31056057602081</v>
      </c>
      <c r="DU189" s="60">
        <f t="shared" si="152"/>
        <v>163.41029152029387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3.813056537183002E-14</v>
      </c>
      <c r="EL189" s="14">
        <f t="shared" si="179"/>
        <v>6.4086286045526829E-13</v>
      </c>
      <c r="EM189" s="22">
        <f t="shared" si="180"/>
        <v>1.1825802166488628E-12</v>
      </c>
      <c r="EN189" s="60">
        <f t="shared" si="128"/>
        <v>293.33333333333451</v>
      </c>
      <c r="EO189" s="60">
        <f ca="1">AVERAGE(OFFSET($EN$3,0,0,'Données projet'!$E$15+1,1))-AVERAGE(OFFSET($H$3,0,0,'Données projet'!$E$15+1,1))</f>
        <v>120.18668518376586</v>
      </c>
      <c r="EP189" s="60">
        <f t="shared" si="154"/>
        <v>110.24821114898037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8">
        <f t="shared" si="110"/>
        <v>656.53403378514918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-6.2527760746888816E-13</v>
      </c>
      <c r="O190" s="14">
        <f>N190*VLOOKUP('Données projet'!$B$9,Paramètres!$A$1:$I$89,3,0)*VLOOKUP('Données projet'!$B$9,Paramètres!$A$1:$I$89,5,0)</f>
        <v>-2.9262992029543964E-13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106.50743833854523</v>
      </c>
      <c r="T190" s="60">
        <f t="shared" si="142"/>
        <v>47.606751325129608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247.65126267995316</v>
      </c>
      <c r="AO190" s="60">
        <f t="shared" si="144"/>
        <v>149.27472147904314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-9.7986685432260874E-13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294.2815419338562</v>
      </c>
      <c r="BJ190" s="60">
        <f t="shared" si="146"/>
        <v>173.99850582760712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-6.8212102632969618E-13</v>
      </c>
      <c r="BZ190" s="14">
        <f>BY190*VLOOKUP('Données projet'!$B$12,Paramètres!$A$1:$I$89,3,0)*VLOOKUP('Données projet'!$B$12,Paramètres!$A$1:$I$89,5,0)</f>
        <v>-5.8525984059087939E-13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317.48648551307656</v>
      </c>
      <c r="CE190" s="60">
        <f t="shared" si="148"/>
        <v>133.09277301479563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0">
        <f t="shared" si="122"/>
        <v>293.33333333333582</v>
      </c>
      <c r="CY190" s="60">
        <f ca="1">AVERAGE(OFFSET($CX$3,0,0,'Données projet'!$E$13+1,1))-AVERAGE(OFFSET($H$3,0,0,'Données projet'!$E$13+1,1))</f>
        <v>194.42056369374041</v>
      </c>
      <c r="CZ190" s="60">
        <f t="shared" si="150"/>
        <v>185.75045299455371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-9.3464223027694966E-13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274.31056057602081</v>
      </c>
      <c r="DU190" s="60">
        <f t="shared" si="152"/>
        <v>163.41029152029387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3.813056537183002E-14</v>
      </c>
      <c r="EL190" s="14">
        <f t="shared" si="179"/>
        <v>6.4086286045526829E-13</v>
      </c>
      <c r="EM190" s="22">
        <f t="shared" si="180"/>
        <v>1.1825802166488628E-12</v>
      </c>
      <c r="EN190" s="60">
        <f t="shared" si="128"/>
        <v>293.33333333333451</v>
      </c>
      <c r="EO190" s="60">
        <f ca="1">AVERAGE(OFFSET($EN$3,0,0,'Données projet'!$E$15+1,1))-AVERAGE(OFFSET($H$3,0,0,'Données projet'!$E$15+1,1))</f>
        <v>120.18668518376586</v>
      </c>
      <c r="EP190" s="60">
        <f t="shared" si="154"/>
        <v>110.24821114898037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8">
        <f t="shared" si="110"/>
        <v>658.43036515177823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-6.2527760746888816E-13</v>
      </c>
      <c r="O191" s="14">
        <f>N191*VLOOKUP('Données projet'!$B$9,Paramètres!$A$1:$I$89,3,0)*VLOOKUP('Données projet'!$B$9,Paramètres!$A$1:$I$89,5,0)</f>
        <v>-2.9262992029543964E-13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106.50743833854523</v>
      </c>
      <c r="T191" s="60">
        <f t="shared" si="142"/>
        <v>47.606751325129608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247.65126267995316</v>
      </c>
      <c r="AO191" s="60">
        <f t="shared" si="144"/>
        <v>149.27472147904314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-9.7986685432260874E-13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294.2815419338562</v>
      </c>
      <c r="BJ191" s="60">
        <f t="shared" si="146"/>
        <v>173.99850582760712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-6.8212102632969618E-13</v>
      </c>
      <c r="BZ191" s="14">
        <f>BY191*VLOOKUP('Données projet'!$B$12,Paramètres!$A$1:$I$89,3,0)*VLOOKUP('Données projet'!$B$12,Paramètres!$A$1:$I$89,5,0)</f>
        <v>-5.8525984059087939E-13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317.48648551307656</v>
      </c>
      <c r="CE191" s="60">
        <f t="shared" si="148"/>
        <v>133.09277301479563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0">
        <f t="shared" si="122"/>
        <v>293.33333333333582</v>
      </c>
      <c r="CY191" s="60">
        <f ca="1">AVERAGE(OFFSET($CX$3,0,0,'Données projet'!$E$13+1,1))-AVERAGE(OFFSET($H$3,0,0,'Données projet'!$E$13+1,1))</f>
        <v>194.42056369374041</v>
      </c>
      <c r="CZ191" s="60">
        <f t="shared" si="150"/>
        <v>185.75045299455371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-9.3464223027694966E-13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274.31056057602081</v>
      </c>
      <c r="DU191" s="60">
        <f t="shared" si="152"/>
        <v>163.41029152029387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3.813056537183002E-14</v>
      </c>
      <c r="EL191" s="14">
        <f t="shared" si="179"/>
        <v>6.4086286045526829E-13</v>
      </c>
      <c r="EM191" s="22">
        <f t="shared" si="180"/>
        <v>1.1825802166488628E-12</v>
      </c>
      <c r="EN191" s="60">
        <f t="shared" si="128"/>
        <v>293.33333333333451</v>
      </c>
      <c r="EO191" s="60">
        <f ca="1">AVERAGE(OFFSET($EN$3,0,0,'Données projet'!$E$15+1,1))-AVERAGE(OFFSET($H$3,0,0,'Données projet'!$E$15+1,1))</f>
        <v>120.18668518376586</v>
      </c>
      <c r="EP191" s="60">
        <f t="shared" si="154"/>
        <v>110.24821114898037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8">
        <f t="shared" si="110"/>
        <v>660.32648134217106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-6.2527760746888816E-13</v>
      </c>
      <c r="O192" s="14">
        <f>N192*VLOOKUP('Données projet'!$B$9,Paramètres!$A$1:$I$89,3,0)*VLOOKUP('Données projet'!$B$9,Paramètres!$A$1:$I$89,5,0)</f>
        <v>-2.9262992029543964E-13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106.50743833854523</v>
      </c>
      <c r="T192" s="60">
        <f t="shared" si="142"/>
        <v>47.606751325129608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247.65126267995316</v>
      </c>
      <c r="AO192" s="60">
        <f t="shared" si="144"/>
        <v>149.27472147904314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-9.7986685432260874E-13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294.2815419338562</v>
      </c>
      <c r="BJ192" s="60">
        <f t="shared" si="146"/>
        <v>173.99850582760712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-6.8212102632969618E-13</v>
      </c>
      <c r="BZ192" s="14">
        <f>BY192*VLOOKUP('Données projet'!$B$12,Paramètres!$A$1:$I$89,3,0)*VLOOKUP('Données projet'!$B$12,Paramètres!$A$1:$I$89,5,0)</f>
        <v>-5.8525984059087939E-13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317.48648551307656</v>
      </c>
      <c r="CE192" s="60">
        <f t="shared" si="148"/>
        <v>133.09277301479563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0">
        <f t="shared" si="122"/>
        <v>293.33333333333582</v>
      </c>
      <c r="CY192" s="60">
        <f ca="1">AVERAGE(OFFSET($CX$3,0,0,'Données projet'!$E$13+1,1))-AVERAGE(OFFSET($H$3,0,0,'Données projet'!$E$13+1,1))</f>
        <v>194.42056369374041</v>
      </c>
      <c r="CZ192" s="60">
        <f t="shared" si="150"/>
        <v>185.75045299455371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-9.3464223027694966E-13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274.31056057602081</v>
      </c>
      <c r="DU192" s="60">
        <f t="shared" si="152"/>
        <v>163.41029152029387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3.813056537183002E-14</v>
      </c>
      <c r="EL192" s="14">
        <f t="shared" si="179"/>
        <v>6.4086286045526829E-13</v>
      </c>
      <c r="EM192" s="22">
        <f t="shared" si="180"/>
        <v>1.1825802166488628E-12</v>
      </c>
      <c r="EN192" s="60">
        <f t="shared" si="128"/>
        <v>293.33333333333451</v>
      </c>
      <c r="EO192" s="60">
        <f ca="1">AVERAGE(OFFSET($EN$3,0,0,'Données projet'!$E$15+1,1))-AVERAGE(OFFSET($H$3,0,0,'Données projet'!$E$15+1,1))</f>
        <v>120.18668518376586</v>
      </c>
      <c r="EP192" s="60">
        <f t="shared" si="154"/>
        <v>110.24821114898037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8">
        <f t="shared" si="110"/>
        <v>662.22238362696817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-6.2527760746888816E-13</v>
      </c>
      <c r="O193" s="14">
        <f>N193*VLOOKUP('Données projet'!$B$9,Paramètres!$A$1:$I$89,3,0)*VLOOKUP('Données projet'!$B$9,Paramètres!$A$1:$I$89,5,0)</f>
        <v>-2.9262992029543964E-13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106.50743833854523</v>
      </c>
      <c r="T193" s="60">
        <f t="shared" si="142"/>
        <v>47.606751325129608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247.65126267995316</v>
      </c>
      <c r="AO193" s="60">
        <f t="shared" si="144"/>
        <v>149.27472147904314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-9.7986685432260874E-13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294.2815419338562</v>
      </c>
      <c r="BJ193" s="60">
        <f t="shared" si="146"/>
        <v>173.99850582760712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-6.8212102632969618E-13</v>
      </c>
      <c r="BZ193" s="14">
        <f>BY193*VLOOKUP('Données projet'!$B$12,Paramètres!$A$1:$I$89,3,0)*VLOOKUP('Données projet'!$B$12,Paramètres!$A$1:$I$89,5,0)</f>
        <v>-5.8525984059087939E-13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317.48648551307656</v>
      </c>
      <c r="CE193" s="60">
        <f t="shared" si="148"/>
        <v>133.09277301479563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0">
        <f t="shared" si="122"/>
        <v>293.33333333333582</v>
      </c>
      <c r="CY193" s="60">
        <f ca="1">AVERAGE(OFFSET($CX$3,0,0,'Données projet'!$E$13+1,1))-AVERAGE(OFFSET($H$3,0,0,'Données projet'!$E$13+1,1))</f>
        <v>194.42056369374041</v>
      </c>
      <c r="CZ193" s="60">
        <f t="shared" si="150"/>
        <v>185.75045299455371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-9.3464223027694966E-13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274.31056057602081</v>
      </c>
      <c r="DU193" s="60">
        <f t="shared" si="152"/>
        <v>163.41029152029387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3.813056537183002E-14</v>
      </c>
      <c r="EL193" s="14">
        <f t="shared" si="179"/>
        <v>6.4086286045526829E-13</v>
      </c>
      <c r="EM193" s="22">
        <f t="shared" si="180"/>
        <v>1.1825802166488628E-12</v>
      </c>
      <c r="EN193" s="60">
        <f t="shared" si="128"/>
        <v>293.33333333333451</v>
      </c>
      <c r="EO193" s="60">
        <f ca="1">AVERAGE(OFFSET($EN$3,0,0,'Données projet'!$E$15+1,1))-AVERAGE(OFFSET($H$3,0,0,'Données projet'!$E$15+1,1))</f>
        <v>120.18668518376586</v>
      </c>
      <c r="EP193" s="60">
        <f t="shared" si="154"/>
        <v>110.24821114898037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8">
        <f t="shared" si="110"/>
        <v>664.11807326266057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-6.2527760746888816E-13</v>
      </c>
      <c r="O194" s="14">
        <f>N194*VLOOKUP('Données projet'!$B$9,Paramètres!$A$1:$I$89,3,0)*VLOOKUP('Données projet'!$B$9,Paramètres!$A$1:$I$89,5,0)</f>
        <v>-2.9262992029543964E-13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106.50743833854523</v>
      </c>
      <c r="T194" s="60">
        <f t="shared" si="142"/>
        <v>47.606751325129608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247.65126267995316</v>
      </c>
      <c r="AO194" s="60">
        <f t="shared" si="144"/>
        <v>149.27472147904314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-9.7986685432260874E-13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294.2815419338562</v>
      </c>
      <c r="BJ194" s="60">
        <f t="shared" si="146"/>
        <v>173.99850582760712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-6.8212102632969618E-13</v>
      </c>
      <c r="BZ194" s="14">
        <f>BY194*VLOOKUP('Données projet'!$B$12,Paramètres!$A$1:$I$89,3,0)*VLOOKUP('Données projet'!$B$12,Paramètres!$A$1:$I$89,5,0)</f>
        <v>-5.8525984059087939E-13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317.48648551307656</v>
      </c>
      <c r="CE194" s="60">
        <f t="shared" si="148"/>
        <v>133.09277301479563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0">
        <f t="shared" si="122"/>
        <v>293.33333333333582</v>
      </c>
      <c r="CY194" s="60">
        <f ca="1">AVERAGE(OFFSET($CX$3,0,0,'Données projet'!$E$13+1,1))-AVERAGE(OFFSET($H$3,0,0,'Données projet'!$E$13+1,1))</f>
        <v>194.42056369374041</v>
      </c>
      <c r="CZ194" s="60">
        <f t="shared" si="150"/>
        <v>185.75045299455371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-9.3464223027694966E-13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274.31056057602081</v>
      </c>
      <c r="DU194" s="60">
        <f t="shared" si="152"/>
        <v>163.41029152029387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3.813056537183002E-14</v>
      </c>
      <c r="EL194" s="14">
        <f t="shared" si="179"/>
        <v>6.4086286045526829E-13</v>
      </c>
      <c r="EM194" s="22">
        <f t="shared" si="180"/>
        <v>1.1825802166488628E-12</v>
      </c>
      <c r="EN194" s="60">
        <f t="shared" si="128"/>
        <v>293.33333333333451</v>
      </c>
      <c r="EO194" s="60">
        <f ca="1">AVERAGE(OFFSET($EN$3,0,0,'Données projet'!$E$15+1,1))-AVERAGE(OFFSET($H$3,0,0,'Données projet'!$E$15+1,1))</f>
        <v>120.18668518376586</v>
      </c>
      <c r="EP194" s="60">
        <f t="shared" si="154"/>
        <v>110.24821114898037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8">
        <f t="shared" si="110"/>
        <v>666.01355149182064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-6.2527760746888816E-13</v>
      </c>
      <c r="O195" s="14">
        <f>N195*VLOOKUP('Données projet'!$B$9,Paramètres!$A$1:$I$89,3,0)*VLOOKUP('Données projet'!$B$9,Paramètres!$A$1:$I$89,5,0)</f>
        <v>-2.9262992029543964E-13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106.50743833854523</v>
      </c>
      <c r="T195" s="60">
        <f t="shared" si="142"/>
        <v>47.606751325129608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247.65126267995316</v>
      </c>
      <c r="AO195" s="60">
        <f t="shared" si="144"/>
        <v>149.27472147904314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-9.7986685432260874E-13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294.2815419338562</v>
      </c>
      <c r="BJ195" s="60">
        <f t="shared" si="146"/>
        <v>173.99850582760712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-6.8212102632969618E-13</v>
      </c>
      <c r="BZ195" s="14">
        <f>BY195*VLOOKUP('Données projet'!$B$12,Paramètres!$A$1:$I$89,3,0)*VLOOKUP('Données projet'!$B$12,Paramètres!$A$1:$I$89,5,0)</f>
        <v>-5.8525984059087939E-13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317.48648551307656</v>
      </c>
      <c r="CE195" s="60">
        <f t="shared" si="148"/>
        <v>133.09277301479563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0">
        <f t="shared" si="122"/>
        <v>293.33333333333582</v>
      </c>
      <c r="CY195" s="60">
        <f ca="1">AVERAGE(OFFSET($CX$3,0,0,'Données projet'!$E$13+1,1))-AVERAGE(OFFSET($H$3,0,0,'Données projet'!$E$13+1,1))</f>
        <v>194.42056369374041</v>
      </c>
      <c r="CZ195" s="60">
        <f t="shared" si="150"/>
        <v>185.75045299455371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-9.3464223027694966E-13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274.31056057602081</v>
      </c>
      <c r="DU195" s="60">
        <f t="shared" si="152"/>
        <v>163.41029152029387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3.813056537183002E-14</v>
      </c>
      <c r="EL195" s="14">
        <f t="shared" si="179"/>
        <v>6.4086286045526829E-13</v>
      </c>
      <c r="EM195" s="22">
        <f t="shared" si="180"/>
        <v>1.1825802166488628E-12</v>
      </c>
      <c r="EN195" s="60">
        <f t="shared" si="128"/>
        <v>293.33333333333451</v>
      </c>
      <c r="EO195" s="60">
        <f ca="1">AVERAGE(OFFSET($EN$3,0,0,'Données projet'!$E$15+1,1))-AVERAGE(OFFSET($H$3,0,0,'Données projet'!$E$15+1,1))</f>
        <v>120.18668518376586</v>
      </c>
      <c r="EP195" s="60">
        <f t="shared" si="154"/>
        <v>110.24821114898037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8">
        <f t="shared" ref="H196:H203" si="192">(B196+E196+F196)*44/12+(C196+D196)*0.475*44/12</f>
        <v>667.90881954332758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-6.2527760746888816E-13</v>
      </c>
      <c r="O196" s="14">
        <f>N196*VLOOKUP('Données projet'!$B$9,Paramètres!$A$1:$I$89,3,0)*VLOOKUP('Données projet'!$B$9,Paramètres!$A$1:$I$89,5,0)</f>
        <v>-2.9262992029543964E-13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106.50743833854523</v>
      </c>
      <c r="T196" s="60">
        <f t="shared" si="142"/>
        <v>47.606751325129608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247.65126267995316</v>
      </c>
      <c r="AO196" s="60">
        <f t="shared" si="144"/>
        <v>149.27472147904314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-9.7986685432260874E-13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294.2815419338562</v>
      </c>
      <c r="BJ196" s="60">
        <f t="shared" si="146"/>
        <v>173.99850582760712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-6.8212102632969618E-13</v>
      </c>
      <c r="BZ196" s="14">
        <f>BY196*VLOOKUP('Données projet'!$B$12,Paramètres!$A$1:$I$89,3,0)*VLOOKUP('Données projet'!$B$12,Paramètres!$A$1:$I$89,5,0)</f>
        <v>-5.8525984059087939E-13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317.48648551307656</v>
      </c>
      <c r="CE196" s="60">
        <f t="shared" si="148"/>
        <v>133.09277301479563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0">
        <f t="shared" ref="CX196:CX203" si="196">CW196+(CO196+CP196)*44/12</f>
        <v>293.33333333333582</v>
      </c>
      <c r="CY196" s="60">
        <f ca="1">AVERAGE(OFFSET($CX$3,0,0,'Données projet'!$E$13+1,1))-AVERAGE(OFFSET($H$3,0,0,'Données projet'!$E$13+1,1))</f>
        <v>194.42056369374041</v>
      </c>
      <c r="CZ196" s="60">
        <f t="shared" si="150"/>
        <v>185.75045299455371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-9.3464223027694966E-13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274.31056057602081</v>
      </c>
      <c r="DU196" s="60">
        <f t="shared" si="152"/>
        <v>163.41029152029387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3.813056537183002E-14</v>
      </c>
      <c r="EL196" s="14">
        <f t="shared" si="179"/>
        <v>6.4086286045526829E-13</v>
      </c>
      <c r="EM196" s="22">
        <f t="shared" si="180"/>
        <v>1.1825802166488628E-12</v>
      </c>
      <c r="EN196" s="60">
        <f t="shared" ref="EN196:EN203" si="198">EM196+(EE196+EF196)*44/12</f>
        <v>293.33333333333451</v>
      </c>
      <c r="EO196" s="60">
        <f ca="1">AVERAGE(OFFSET($EN$3,0,0,'Données projet'!$E$15+1,1))-AVERAGE(OFFSET($H$3,0,0,'Données projet'!$E$15+1,1))</f>
        <v>120.18668518376586</v>
      </c>
      <c r="EP196" s="60">
        <f t="shared" si="154"/>
        <v>110.24821114898037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8">
        <f t="shared" si="192"/>
        <v>669.80387863258932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-6.2527760746888816E-13</v>
      </c>
      <c r="O197" s="14">
        <f>N197*VLOOKUP('Données projet'!$B$9,Paramètres!$A$1:$I$89,3,0)*VLOOKUP('Données projet'!$B$9,Paramètres!$A$1:$I$89,5,0)</f>
        <v>-2.9262992029543964E-13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106.50743833854523</v>
      </c>
      <c r="T197" s="60">
        <f t="shared" ref="T197:T203" si="204">$T$3</f>
        <v>47.606751325129608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247.65126267995316</v>
      </c>
      <c r="AO197" s="60">
        <f t="shared" ref="AO197:AO203" si="205">$AO$3</f>
        <v>149.27472147904314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-9.7986685432260874E-13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294.2815419338562</v>
      </c>
      <c r="BJ197" s="60">
        <f t="shared" ref="BJ197:BJ203" si="206">$BJ$3</f>
        <v>173.99850582760712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-6.8212102632969618E-13</v>
      </c>
      <c r="BZ197" s="14">
        <f>BY197*VLOOKUP('Données projet'!$B$12,Paramètres!$A$1:$I$89,3,0)*VLOOKUP('Données projet'!$B$12,Paramètres!$A$1:$I$89,5,0)</f>
        <v>-5.8525984059087939E-13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317.48648551307656</v>
      </c>
      <c r="CE197" s="60">
        <f t="shared" ref="CE197:CE203" si="207">$CE$3</f>
        <v>133.09277301479563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0">
        <f t="shared" si="196"/>
        <v>293.33333333333582</v>
      </c>
      <c r="CY197" s="60">
        <f ca="1">AVERAGE(OFFSET($CX$3,0,0,'Données projet'!$E$13+1,1))-AVERAGE(OFFSET($H$3,0,0,'Données projet'!$E$13+1,1))</f>
        <v>194.42056369374041</v>
      </c>
      <c r="CZ197" s="60">
        <f t="shared" ref="CZ197:CZ203" si="208">$CZ$3</f>
        <v>185.75045299455371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-9.3464223027694966E-13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274.31056057602081</v>
      </c>
      <c r="DU197" s="60">
        <f t="shared" ref="DU197:DU203" si="209">$DU$3</f>
        <v>163.41029152029387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3.813056537183002E-14</v>
      </c>
      <c r="EL197" s="14">
        <f t="shared" si="179"/>
        <v>6.4086286045526829E-13</v>
      </c>
      <c r="EM197" s="22">
        <f t="shared" si="180"/>
        <v>1.1825802166488628E-12</v>
      </c>
      <c r="EN197" s="60">
        <f t="shared" si="198"/>
        <v>293.33333333333451</v>
      </c>
      <c r="EO197" s="60">
        <f ca="1">AVERAGE(OFFSET($EN$3,0,0,'Données projet'!$E$15+1,1))-AVERAGE(OFFSET($H$3,0,0,'Données projet'!$E$15+1,1))</f>
        <v>120.18668518376586</v>
      </c>
      <c r="EP197" s="60">
        <f t="shared" ref="EP197:EP203" si="210">$EP$3</f>
        <v>110.24821114898037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8">
        <f t="shared" si="192"/>
        <v>671.69872996175832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-6.2527760746888816E-13</v>
      </c>
      <c r="O198" s="14">
        <f>N198*VLOOKUP('Données projet'!$B$9,Paramètres!$A$1:$I$89,3,0)*VLOOKUP('Données projet'!$B$9,Paramètres!$A$1:$I$89,5,0)</f>
        <v>-2.9262992029543964E-13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106.50743833854523</v>
      </c>
      <c r="T198" s="60">
        <f t="shared" si="204"/>
        <v>47.606751325129608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247.65126267995316</v>
      </c>
      <c r="AO198" s="60">
        <f t="shared" si="205"/>
        <v>149.27472147904314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-9.7986685432260874E-13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294.2815419338562</v>
      </c>
      <c r="BJ198" s="60">
        <f t="shared" si="206"/>
        <v>173.99850582760712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-6.8212102632969618E-13</v>
      </c>
      <c r="BZ198" s="14">
        <f>BY198*VLOOKUP('Données projet'!$B$12,Paramètres!$A$1:$I$89,3,0)*VLOOKUP('Données projet'!$B$12,Paramètres!$A$1:$I$89,5,0)</f>
        <v>-5.8525984059087939E-13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317.48648551307656</v>
      </c>
      <c r="CE198" s="60">
        <f t="shared" si="207"/>
        <v>133.09277301479563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0">
        <f t="shared" si="196"/>
        <v>293.33333333333582</v>
      </c>
      <c r="CY198" s="60">
        <f ca="1">AVERAGE(OFFSET($CX$3,0,0,'Données projet'!$E$13+1,1))-AVERAGE(OFFSET($H$3,0,0,'Données projet'!$E$13+1,1))</f>
        <v>194.42056369374041</v>
      </c>
      <c r="CZ198" s="60">
        <f t="shared" si="208"/>
        <v>185.75045299455371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-9.3464223027694966E-13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274.31056057602081</v>
      </c>
      <c r="DU198" s="60">
        <f t="shared" si="209"/>
        <v>163.41029152029387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3.813056537183002E-14</v>
      </c>
      <c r="EL198" s="14">
        <f t="shared" si="179"/>
        <v>6.4086286045526829E-13</v>
      </c>
      <c r="EM198" s="22">
        <f t="shared" si="180"/>
        <v>1.1825802166488628E-12</v>
      </c>
      <c r="EN198" s="60">
        <f t="shared" si="198"/>
        <v>293.33333333333451</v>
      </c>
      <c r="EO198" s="60">
        <f ca="1">AVERAGE(OFFSET($EN$3,0,0,'Données projet'!$E$15+1,1))-AVERAGE(OFFSET($H$3,0,0,'Données projet'!$E$15+1,1))</f>
        <v>120.18668518376586</v>
      </c>
      <c r="EP198" s="60">
        <f t="shared" si="210"/>
        <v>110.24821114898037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8">
        <f t="shared" si="192"/>
        <v>673.59337471994309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-6.2527760746888816E-13</v>
      </c>
      <c r="O199" s="14">
        <f>N199*VLOOKUP('Données projet'!$B$9,Paramètres!$A$1:$I$89,3,0)*VLOOKUP('Données projet'!$B$9,Paramètres!$A$1:$I$89,5,0)</f>
        <v>-2.9262992029543964E-13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106.50743833854523</v>
      </c>
      <c r="T199" s="60">
        <f t="shared" si="204"/>
        <v>47.606751325129608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247.65126267995316</v>
      </c>
      <c r="AO199" s="60">
        <f t="shared" si="205"/>
        <v>149.27472147904314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-9.7986685432260874E-13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294.2815419338562</v>
      </c>
      <c r="BJ199" s="60">
        <f t="shared" si="206"/>
        <v>173.99850582760712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-6.8212102632969618E-13</v>
      </c>
      <c r="BZ199" s="14">
        <f>BY199*VLOOKUP('Données projet'!$B$12,Paramètres!$A$1:$I$89,3,0)*VLOOKUP('Données projet'!$B$12,Paramètres!$A$1:$I$89,5,0)</f>
        <v>-5.8525984059087939E-13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317.48648551307656</v>
      </c>
      <c r="CE199" s="60">
        <f t="shared" si="207"/>
        <v>133.09277301479563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0">
        <f t="shared" si="196"/>
        <v>293.33333333333582</v>
      </c>
      <c r="CY199" s="60">
        <f ca="1">AVERAGE(OFFSET($CX$3,0,0,'Données projet'!$E$13+1,1))-AVERAGE(OFFSET($H$3,0,0,'Données projet'!$E$13+1,1))</f>
        <v>194.42056369374041</v>
      </c>
      <c r="CZ199" s="60">
        <f t="shared" si="208"/>
        <v>185.75045299455371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-9.3464223027694966E-13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274.31056057602081</v>
      </c>
      <c r="DU199" s="60">
        <f t="shared" si="209"/>
        <v>163.41029152029387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3.813056537183002E-14</v>
      </c>
      <c r="EL199" s="14">
        <f t="shared" si="179"/>
        <v>6.4086286045526829E-13</v>
      </c>
      <c r="EM199" s="22">
        <f t="shared" si="180"/>
        <v>1.1825802166488628E-12</v>
      </c>
      <c r="EN199" s="60">
        <f t="shared" si="198"/>
        <v>293.33333333333451</v>
      </c>
      <c r="EO199" s="60">
        <f ca="1">AVERAGE(OFFSET($EN$3,0,0,'Données projet'!$E$15+1,1))-AVERAGE(OFFSET($H$3,0,0,'Données projet'!$E$15+1,1))</f>
        <v>120.18668518376586</v>
      </c>
      <c r="EP199" s="60">
        <f t="shared" si="210"/>
        <v>110.24821114898037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8">
        <f t="shared" si="192"/>
        <v>675.48781408341597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-6.2527760746888816E-13</v>
      </c>
      <c r="O200" s="14">
        <f>N200*VLOOKUP('Données projet'!$B$9,Paramètres!$A$1:$I$89,3,0)*VLOOKUP('Données projet'!$B$9,Paramètres!$A$1:$I$89,5,0)</f>
        <v>-2.9262992029543964E-13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106.50743833854523</v>
      </c>
      <c r="T200" s="60">
        <f t="shared" si="204"/>
        <v>47.606751325129608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247.65126267995316</v>
      </c>
      <c r="AO200" s="60">
        <f t="shared" si="205"/>
        <v>149.27472147904314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-9.7986685432260874E-13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294.2815419338562</v>
      </c>
      <c r="BJ200" s="60">
        <f t="shared" si="206"/>
        <v>173.99850582760712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-6.8212102632969618E-13</v>
      </c>
      <c r="BZ200" s="14">
        <f>BY200*VLOOKUP('Données projet'!$B$12,Paramètres!$A$1:$I$89,3,0)*VLOOKUP('Données projet'!$B$12,Paramètres!$A$1:$I$89,5,0)</f>
        <v>-5.8525984059087939E-13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317.48648551307656</v>
      </c>
      <c r="CE200" s="60">
        <f t="shared" si="207"/>
        <v>133.09277301479563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0">
        <f t="shared" si="196"/>
        <v>293.33333333333582</v>
      </c>
      <c r="CY200" s="60">
        <f ca="1">AVERAGE(OFFSET($CX$3,0,0,'Données projet'!$E$13+1,1))-AVERAGE(OFFSET($H$3,0,0,'Données projet'!$E$13+1,1))</f>
        <v>194.42056369374041</v>
      </c>
      <c r="CZ200" s="60">
        <f t="shared" si="208"/>
        <v>185.75045299455371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-9.3464223027694966E-13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274.31056057602081</v>
      </c>
      <c r="DU200" s="60">
        <f t="shared" si="209"/>
        <v>163.41029152029387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3.813056537183002E-14</v>
      </c>
      <c r="EL200" s="14">
        <f t="shared" si="179"/>
        <v>6.4086286045526829E-13</v>
      </c>
      <c r="EM200" s="22">
        <f t="shared" si="180"/>
        <v>1.1825802166488628E-12</v>
      </c>
      <c r="EN200" s="60">
        <f t="shared" si="198"/>
        <v>293.33333333333451</v>
      </c>
      <c r="EO200" s="60">
        <f ca="1">AVERAGE(OFFSET($EN$3,0,0,'Données projet'!$E$15+1,1))-AVERAGE(OFFSET($H$3,0,0,'Données projet'!$E$15+1,1))</f>
        <v>120.18668518376586</v>
      </c>
      <c r="EP200" s="60">
        <f t="shared" si="210"/>
        <v>110.24821114898037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8">
        <f t="shared" si="192"/>
        <v>677.3820492158161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-6.2527760746888816E-13</v>
      </c>
      <c r="O201" s="14">
        <f>N201*VLOOKUP('Données projet'!$B$9,Paramètres!$A$1:$I$89,3,0)*VLOOKUP('Données projet'!$B$9,Paramètres!$A$1:$I$89,5,0)</f>
        <v>-2.9262992029543964E-13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106.50743833854523</v>
      </c>
      <c r="T201" s="60">
        <f t="shared" si="204"/>
        <v>47.606751325129608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247.65126267995316</v>
      </c>
      <c r="AO201" s="60">
        <f t="shared" si="205"/>
        <v>149.27472147904314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-9.7986685432260874E-13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294.2815419338562</v>
      </c>
      <c r="BJ201" s="60">
        <f t="shared" si="206"/>
        <v>173.99850582760712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-6.8212102632969618E-13</v>
      </c>
      <c r="BZ201" s="14">
        <f>BY201*VLOOKUP('Données projet'!$B$12,Paramètres!$A$1:$I$89,3,0)*VLOOKUP('Données projet'!$B$12,Paramètres!$A$1:$I$89,5,0)</f>
        <v>-5.8525984059087939E-13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317.48648551307656</v>
      </c>
      <c r="CE201" s="60">
        <f t="shared" si="207"/>
        <v>133.09277301479563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0">
        <f t="shared" si="196"/>
        <v>293.33333333333582</v>
      </c>
      <c r="CY201" s="60">
        <f ca="1">AVERAGE(OFFSET($CX$3,0,0,'Données projet'!$E$13+1,1))-AVERAGE(OFFSET($H$3,0,0,'Données projet'!$E$13+1,1))</f>
        <v>194.42056369374041</v>
      </c>
      <c r="CZ201" s="60">
        <f t="shared" si="208"/>
        <v>185.75045299455371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-9.3464223027694966E-13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274.31056057602081</v>
      </c>
      <c r="DU201" s="60">
        <f t="shared" si="209"/>
        <v>163.41029152029387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3.813056537183002E-14</v>
      </c>
      <c r="EL201" s="14">
        <f t="shared" si="179"/>
        <v>6.4086286045526829E-13</v>
      </c>
      <c r="EM201" s="22">
        <f t="shared" si="180"/>
        <v>1.1825802166488628E-12</v>
      </c>
      <c r="EN201" s="60">
        <f t="shared" si="198"/>
        <v>293.33333333333451</v>
      </c>
      <c r="EO201" s="60">
        <f ca="1">AVERAGE(OFFSET($EN$3,0,0,'Données projet'!$E$15+1,1))-AVERAGE(OFFSET($H$3,0,0,'Données projet'!$E$15+1,1))</f>
        <v>120.18668518376586</v>
      </c>
      <c r="EP201" s="60">
        <f t="shared" si="210"/>
        <v>110.24821114898037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8">
        <f t="shared" si="192"/>
        <v>679.27608126834809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-6.2527760746888816E-13</v>
      </c>
      <c r="O202" s="14">
        <f>N202*VLOOKUP('Données projet'!$B$9,Paramètres!$A$1:$I$89,3,0)*VLOOKUP('Données projet'!$B$9,Paramètres!$A$1:$I$89,5,0)</f>
        <v>-2.9262992029543964E-13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106.50743833854523</v>
      </c>
      <c r="T202" s="60">
        <f t="shared" si="204"/>
        <v>47.606751325129608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247.65126267995316</v>
      </c>
      <c r="AO202" s="60">
        <f t="shared" si="205"/>
        <v>149.27472147904314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-9.7986685432260874E-13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294.2815419338562</v>
      </c>
      <c r="BJ202" s="60">
        <f t="shared" si="206"/>
        <v>173.99850582760712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-6.8212102632969618E-13</v>
      </c>
      <c r="BZ202" s="14">
        <f>BY202*VLOOKUP('Données projet'!$B$12,Paramètres!$A$1:$I$89,3,0)*VLOOKUP('Données projet'!$B$12,Paramètres!$A$1:$I$89,5,0)</f>
        <v>-5.8525984059087939E-13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317.48648551307656</v>
      </c>
      <c r="CE202" s="60">
        <f t="shared" si="207"/>
        <v>133.09277301479563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0">
        <f t="shared" si="196"/>
        <v>293.33333333333582</v>
      </c>
      <c r="CY202" s="60">
        <f ca="1">AVERAGE(OFFSET($CX$3,0,0,'Données projet'!$E$13+1,1))-AVERAGE(OFFSET($H$3,0,0,'Données projet'!$E$13+1,1))</f>
        <v>194.42056369374041</v>
      </c>
      <c r="CZ202" s="60">
        <f t="shared" si="208"/>
        <v>185.75045299455371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-9.3464223027694966E-13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274.31056057602081</v>
      </c>
      <c r="DU202" s="60">
        <f t="shared" si="209"/>
        <v>163.41029152029387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3.813056537183002E-14</v>
      </c>
      <c r="EL202" s="14">
        <f t="shared" si="179"/>
        <v>6.4086286045526829E-13</v>
      </c>
      <c r="EM202" s="22">
        <f t="shared" si="180"/>
        <v>1.1825802166488628E-12</v>
      </c>
      <c r="EN202" s="60">
        <f t="shared" si="198"/>
        <v>293.33333333333451</v>
      </c>
      <c r="EO202" s="60">
        <f ca="1">AVERAGE(OFFSET($EN$3,0,0,'Données projet'!$E$15+1,1))-AVERAGE(OFFSET($H$3,0,0,'Données projet'!$E$15+1,1))</f>
        <v>120.18668518376586</v>
      </c>
      <c r="EP202" s="60">
        <f t="shared" si="210"/>
        <v>110.24821114898037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8">
        <f t="shared" si="192"/>
        <v>681.16991137997661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-6.2527760746888816E-13</v>
      </c>
      <c r="O203" s="14">
        <f>N203*VLOOKUP('Données projet'!$B$9,Paramètres!$A$1:$I$89,3,0)*VLOOKUP('Données projet'!$B$9,Paramètres!$A$1:$I$89,5,0)</f>
        <v>-2.9262992029543964E-13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106.50743833854523</v>
      </c>
      <c r="T203" s="60">
        <f t="shared" si="204"/>
        <v>47.606751325129608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247.65126267995316</v>
      </c>
      <c r="AO203" s="60">
        <f t="shared" si="205"/>
        <v>149.27472147904314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-9.7986685432260874E-13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294.2815419338562</v>
      </c>
      <c r="BJ203" s="60">
        <f t="shared" si="206"/>
        <v>173.99850582760712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-6.8212102632969618E-13</v>
      </c>
      <c r="BZ203" s="14">
        <f>BY203*VLOOKUP('Données projet'!$B$12,Paramètres!$A$1:$I$89,3,0)*VLOOKUP('Données projet'!$B$12,Paramètres!$A$1:$I$89,5,0)</f>
        <v>-5.8525984059087939E-13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317.48648551307656</v>
      </c>
      <c r="CE203" s="60">
        <f t="shared" si="207"/>
        <v>133.09277301479563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0">
        <f t="shared" si="196"/>
        <v>293.33333333333582</v>
      </c>
      <c r="CY203" s="60">
        <f ca="1">AVERAGE(OFFSET($CX$3,0,0,'Données projet'!$E$13+1,1))-AVERAGE(OFFSET($H$3,0,0,'Données projet'!$E$13+1,1))</f>
        <v>194.42056369374041</v>
      </c>
      <c r="CZ203" s="60">
        <f t="shared" si="208"/>
        <v>185.75045299455371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-9.3464223027694966E-13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274.31056057602081</v>
      </c>
      <c r="DU203" s="60">
        <f t="shared" si="209"/>
        <v>163.41029152029387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3.813056537183002E-14</v>
      </c>
      <c r="EL203" s="14">
        <f t="shared" si="179"/>
        <v>6.4086286045526829E-13</v>
      </c>
      <c r="EM203" s="22">
        <f t="shared" si="180"/>
        <v>1.1825802166488628E-12</v>
      </c>
      <c r="EN203" s="60">
        <f t="shared" si="198"/>
        <v>293.33333333333451</v>
      </c>
      <c r="EO203" s="60">
        <f ca="1">AVERAGE(OFFSET($EN$3,0,0,'Données projet'!$E$15+1,1))-AVERAGE(OFFSET($H$3,0,0,'Données projet'!$E$15+1,1))</f>
        <v>120.18668518376586</v>
      </c>
      <c r="EP203" s="60">
        <f t="shared" si="210"/>
        <v>110.24821114898037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1.167092777711815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1.2054868146447177</v>
      </c>
      <c r="BV205" s="86" t="e">
        <f>EXP(LN('Données projet'!B114)/'Données projet'!A114)</f>
        <v>#NUM!</v>
      </c>
      <c r="CQ205" s="86">
        <f>EXP(LN('Données projet'!B140)/'Données projet'!A140)</f>
        <v>1.2788040393997409</v>
      </c>
      <c r="DL205" s="86">
        <f>EXP(LN('Données projet'!B166)/'Données projet'!A166)</f>
        <v>1.2054868146447177</v>
      </c>
      <c r="EG205" s="86">
        <f>EXP(LN('Données projet'!B192)/'Données projet'!A192)</f>
        <v>1.2583595963961556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70" zoomScaleNormal="70" workbookViewId="0">
      <selection activeCell="N21" sqref="N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Cèdre de l'Atlas</v>
      </c>
      <c r="B6" s="153">
        <f>'Données projet'!D9</f>
        <v>3.0628000000000002</v>
      </c>
      <c r="C6" s="154">
        <f ca="1">IF(OR('Données projet'!B9="",'Données projet'!C9="",'Données projet'!C9=0%),0,Calculateur!S3)</f>
        <v>106.50743833854523</v>
      </c>
      <c r="D6" s="154">
        <f>IF(OR('Données projet'!B9="",'Données projet'!C9="",'Données projet'!C9=0%),0,Calculateur!T3)</f>
        <v>47.606751325129608</v>
      </c>
      <c r="E6" s="154">
        <f ca="1">MIN(C6,D6)</f>
        <v>47.606751325129608</v>
      </c>
      <c r="F6" s="154">
        <f ca="1">E6*B6</f>
        <v>145.80995795860696</v>
      </c>
      <c r="G6" s="154">
        <f ca="1">F6*(100%-'Données projet'!$C$24)*(100%-'Données projet'!$C$25)*(100%-'Données projet'!$C$26)*(100%-'Données projet'!$C$27)</f>
        <v>131.22896216274626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131.22896216274626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sessile</v>
      </c>
      <c r="B7" s="161">
        <f>'Données projet'!D10</f>
        <v>0.32240000000000002</v>
      </c>
      <c r="C7" s="154">
        <f ca="1">IF(OR('Données projet'!B10="",'Données projet'!C10="",'Données projet'!C10=0%),0,Calculateur!AN3)</f>
        <v>247.65126267995316</v>
      </c>
      <c r="D7" s="154">
        <f>IF(OR('Données projet'!B10="",'Données projet'!C10="",'Données projet'!C10=0%),0,Calculateur!AO3)</f>
        <v>149.27472147904314</v>
      </c>
      <c r="E7" s="154">
        <f t="shared" ref="E7:E15" ca="1" si="0">MIN(C7,D7)</f>
        <v>149.27472147904314</v>
      </c>
      <c r="F7" s="154">
        <f t="shared" ref="F7:F15" ca="1" si="1">E7*B7</f>
        <v>48.126170204843511</v>
      </c>
      <c r="G7" s="154">
        <f ca="1">F7*(100%-'Données projet'!$C$24)*(100%-'Données projet'!$C$25)*(100%-'Données projet'!$C$26)*(100%-'Données projet'!$C$27)</f>
        <v>43.313553184359158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2.3374000000000001</v>
      </c>
      <c r="K7" s="158">
        <f>J7*(100%-'Données projet'!$C$24)*(100%-'Données projet'!$C$25)*(100%-'Données projet'!$C$26)*(100%-'Données projet'!$C$27)</f>
        <v>2.1036600000000001</v>
      </c>
      <c r="L7" s="159">
        <f t="shared" ref="L7:L15" ca="1" si="2">G7+I7+K7</f>
        <v>45.417213184359156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Chêne pubescent</v>
      </c>
      <c r="B8" s="161">
        <f>'Données projet'!D11</f>
        <v>0.32240000000000002</v>
      </c>
      <c r="C8" s="154">
        <f ca="1">IF(OR('Données projet'!B11="",'Données projet'!C11="",'Données projet'!C11=0%),0,Calculateur!BI3)</f>
        <v>294.2815419338562</v>
      </c>
      <c r="D8" s="154">
        <f>IF(OR('Données projet'!B11="",'Données projet'!C11="",'Données projet'!C11=0%),0,Calculateur!BJ3)</f>
        <v>173.99850582760712</v>
      </c>
      <c r="E8" s="154">
        <f t="shared" ca="1" si="0"/>
        <v>173.99850582760712</v>
      </c>
      <c r="F8" s="154">
        <f t="shared" ca="1" si="1"/>
        <v>56.097118278820538</v>
      </c>
      <c r="G8" s="154">
        <f ca="1">F8*(100%-'Données projet'!$C$24)*(100%-'Données projet'!$C$25)*(100%-'Données projet'!$C$26)*(100%-'Données projet'!$C$27)</f>
        <v>50.487406450938487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2.3374000000000001</v>
      </c>
      <c r="K8" s="158">
        <f>J8*(100%-'Données projet'!$C$24)*(100%-'Données projet'!$C$25)*(100%-'Données projet'!$C$26)*(100%-'Données projet'!$C$27)</f>
        <v>2.1036600000000001</v>
      </c>
      <c r="L8" s="159">
        <f t="shared" ca="1" si="2"/>
        <v>52.591066450938484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Hêtre</v>
      </c>
      <c r="B9" s="161">
        <f>'Données projet'!D12</f>
        <v>4.0300000000000002E-2</v>
      </c>
      <c r="C9" s="154">
        <f ca="1">IF(OR('Données projet'!B12="",'Données projet'!C12="",'Données projet'!C12=0%),0,Calculateur!CD3)</f>
        <v>317.48648551307656</v>
      </c>
      <c r="D9" s="154">
        <f>IF(OR('Données projet'!B12="",'Données projet'!C12="",'Données projet'!C12=0%),0,Calculateur!CE3)</f>
        <v>133.09277301479563</v>
      </c>
      <c r="E9" s="154">
        <f t="shared" ca="1" si="0"/>
        <v>133.09277301479563</v>
      </c>
      <c r="F9" s="154">
        <f t="shared" ca="1" si="1"/>
        <v>5.3636387524962643</v>
      </c>
      <c r="G9" s="154">
        <f ca="1">F9*(100%-'Données projet'!$C$24)*(100%-'Données projet'!$C$25)*(100%-'Données projet'!$C$26)*(100%-'Données projet'!$C$27)</f>
        <v>4.8272748772466381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0.25187500000000002</v>
      </c>
      <c r="K9" s="158">
        <f>J9*(100%-'Données projet'!$C$24)*(100%-'Données projet'!$C$25)*(100%-'Données projet'!$C$26)*(100%-'Données projet'!$C$27)</f>
        <v>0.22668750000000001</v>
      </c>
      <c r="L9" s="159">
        <f t="shared" ca="1" si="2"/>
        <v>5.0539623772466378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Merisier</v>
      </c>
      <c r="B10" s="161">
        <f>'Données projet'!D13</f>
        <v>8.0600000000000005E-2</v>
      </c>
      <c r="C10" s="154">
        <f ca="1">IF(OR('Données projet'!B13="",'Données projet'!C13="",'Données projet'!C13=0%),0,Calculateur!CY3)</f>
        <v>194.42056369374041</v>
      </c>
      <c r="D10" s="154">
        <f>IF(OR('Données projet'!B13="",'Données projet'!C13="",'Données projet'!C13=0%),0,Calculateur!CZ3)</f>
        <v>185.75045299455371</v>
      </c>
      <c r="E10" s="154">
        <f t="shared" ca="1" si="0"/>
        <v>185.75045299455371</v>
      </c>
      <c r="F10" s="154">
        <f t="shared" ca="1" si="1"/>
        <v>14.97148651136103</v>
      </c>
      <c r="G10" s="154">
        <f ca="1">F10*(100%-'Données projet'!$C$24)*(100%-'Données projet'!$C$25)*(100%-'Données projet'!$C$26)*(100%-'Données projet'!$C$27)</f>
        <v>13.474337860224928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1.10825</v>
      </c>
      <c r="K10" s="158">
        <f>J10*(100%-'Données projet'!$C$24)*(100%-'Données projet'!$C$25)*(100%-'Données projet'!$C$26)*(100%-'Données projet'!$C$27)</f>
        <v>0.99742500000000001</v>
      </c>
      <c r="L10" s="159">
        <f t="shared" ca="1" si="2"/>
        <v>14.471762860224928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Alisier torminal</v>
      </c>
      <c r="B11" s="161">
        <f>'Données projet'!D14</f>
        <v>4.0300000000000002E-2</v>
      </c>
      <c r="C11" s="154">
        <f ca="1">IF(OR('Données projet'!B14="",'Données projet'!C14="",'Données projet'!C14=0%),0,Calculateur!DT3)</f>
        <v>274.31056057602081</v>
      </c>
      <c r="D11" s="154">
        <f>IF(OR('Données projet'!B14="",'Données projet'!C14="",'Données projet'!C14=0%),0,Calculateur!DU3)</f>
        <v>163.41029152029387</v>
      </c>
      <c r="E11" s="154">
        <f t="shared" ca="1" si="0"/>
        <v>163.41029152029387</v>
      </c>
      <c r="F11" s="154">
        <f t="shared" ca="1" si="1"/>
        <v>6.5854347482678435</v>
      </c>
      <c r="G11" s="154">
        <f ca="1">F11*(100%-'Données projet'!$C$24)*(100%-'Données projet'!$C$25)*(100%-'Données projet'!$C$26)*(100%-'Données projet'!$C$27)</f>
        <v>5.9268912734410595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0.29217500000000002</v>
      </c>
      <c r="K11" s="158">
        <f>J11*(100%-'Données projet'!$C$24)*(100%-'Données projet'!$C$25)*(100%-'Données projet'!$C$26)*(100%-'Données projet'!$C$27)</f>
        <v>0.26295750000000001</v>
      </c>
      <c r="L11" s="159">
        <f t="shared" ca="1" si="2"/>
        <v>6.1898487734410592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Tilleul</v>
      </c>
      <c r="B12" s="161">
        <f>'Données projet'!D15</f>
        <v>8.0600000000000005E-2</v>
      </c>
      <c r="C12" s="154">
        <f ca="1">IF(OR('Données projet'!B15="",'Données projet'!C15="",'Données projet'!C15=0%),0,Calculateur!EO3)</f>
        <v>120.18668518376586</v>
      </c>
      <c r="D12" s="154">
        <f>IF(OR('Données projet'!B15="",'Données projet'!C15="",'Données projet'!C15=0%),0,Calculateur!EP3)</f>
        <v>110.24821114898037</v>
      </c>
      <c r="E12" s="154">
        <f t="shared" ca="1" si="0"/>
        <v>110.24821114898037</v>
      </c>
      <c r="F12" s="154">
        <f t="shared" ca="1" si="1"/>
        <v>8.8860058186078188</v>
      </c>
      <c r="G12" s="154">
        <f ca="1">F12*(100%-'Données projet'!$C$24)*(100%-'Données projet'!$C$25)*(100%-'Données projet'!$C$26)*(100%-'Données projet'!$C$27)</f>
        <v>7.9974052367470367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0.87833333333333341</v>
      </c>
      <c r="K12" s="158">
        <f>J12*(100%-'Données projet'!$C$24)*(100%-'Données projet'!$C$25)*(100%-'Données projet'!$C$26)*(100%-'Données projet'!$C$27)</f>
        <v>0.79050000000000009</v>
      </c>
      <c r="L12" s="159">
        <f t="shared" ca="1" si="2"/>
        <v>8.7879052367470365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285.83981227300399</v>
      </c>
      <c r="G16" s="173">
        <f t="shared" ca="1" si="3"/>
        <v>257.25583104570359</v>
      </c>
      <c r="H16" s="174">
        <f t="shared" si="3"/>
        <v>0</v>
      </c>
      <c r="I16" s="174">
        <f t="shared" si="3"/>
        <v>0</v>
      </c>
      <c r="J16" s="175">
        <f t="shared" si="3"/>
        <v>7.2054333333333336</v>
      </c>
      <c r="K16" s="175">
        <f t="shared" si="3"/>
        <v>6.4848899999999992</v>
      </c>
      <c r="L16" s="176">
        <f t="shared" ca="1" si="3"/>
        <v>263.74072104570359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Cèdre de l'Atlas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sessile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Chêne pubescent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Hêtre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Merisier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Alisier torminal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Tilleul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96"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7" t="s">
        <v>315</v>
      </c>
      <c r="I4" s="337"/>
      <c r="K4" s="334" t="s">
        <v>253</v>
      </c>
      <c r="L4" s="335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6" t="s">
        <v>310</v>
      </c>
      <c r="S7" s="327"/>
      <c r="T7" s="327"/>
      <c r="U7" s="327"/>
      <c r="V7" s="328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Cèdre de l'Atlas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800.53718012488901</v>
      </c>
      <c r="U10" s="188">
        <f>'Données projet'!D9</f>
        <v>3.0628000000000002</v>
      </c>
      <c r="V10" s="187">
        <f>U10*T10</f>
        <v>2451.88527528651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sessile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709.40710147359903</v>
      </c>
      <c r="U11" s="188">
        <f>'Données projet'!D10</f>
        <v>0.32240000000000002</v>
      </c>
      <c r="V11" s="187">
        <f t="shared" ref="V11" si="0">U11*T11</f>
        <v>228.71284951508835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pubescent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709.40710147359903</v>
      </c>
      <c r="U12" s="188">
        <f>'Données projet'!D11</f>
        <v>0.32240000000000002</v>
      </c>
      <c r="V12" s="187">
        <f t="shared" ref="V12:V19" si="1">U12*T12</f>
        <v>228.71284951508835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Hêtre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4583.729498298575</v>
      </c>
      <c r="U13" s="188">
        <f>'Données projet'!D12</f>
        <v>4.0300000000000002E-2</v>
      </c>
      <c r="V13" s="187">
        <f t="shared" si="1"/>
        <v>184.72429878143259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Cèdre de l'Atlas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Merisier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3089.9985773232406</v>
      </c>
      <c r="U14" s="188">
        <f>'Données projet'!D13</f>
        <v>8.0600000000000005E-2</v>
      </c>
      <c r="V14" s="187">
        <f t="shared" si="1"/>
        <v>249.0538853322532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8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Alisier torminal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709.40710147359903</v>
      </c>
      <c r="U15" s="188">
        <f>'Données projet'!D14</f>
        <v>4.0300000000000002E-2</v>
      </c>
      <c r="V15" s="187">
        <f t="shared" si="1"/>
        <v>28.589106189386044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8"/>
      <c r="H16" s="201"/>
      <c r="I16" s="202"/>
      <c r="J16" s="214"/>
      <c r="K16" s="223"/>
      <c r="L16" s="334" t="s">
        <v>254</v>
      </c>
      <c r="M16" s="335"/>
      <c r="N16" s="2"/>
      <c r="O16" s="25"/>
      <c r="P16" s="25"/>
      <c r="Q16" s="263"/>
      <c r="R16" s="25"/>
      <c r="S16" s="183" t="str">
        <f>B200</f>
        <v>Tilleul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598.5388734637404</v>
      </c>
      <c r="U16" s="188">
        <f>'Données projet'!D15</f>
        <v>8.0600000000000005E-2</v>
      </c>
      <c r="V16" s="187">
        <f t="shared" si="1"/>
        <v>48.242233201177477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8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8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8"/>
      <c r="H19" s="230" t="s">
        <v>178</v>
      </c>
      <c r="I19" s="230" t="s">
        <v>287</v>
      </c>
      <c r="J19" s="258"/>
      <c r="K19" s="181"/>
      <c r="L19" s="334" t="s">
        <v>288</v>
      </c>
      <c r="M19" s="335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8"/>
      <c r="H20" s="201">
        <v>0</v>
      </c>
      <c r="I20" s="202">
        <v>6000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30</v>
      </c>
      <c r="B23" s="191">
        <f>'Données projet'!D36</f>
        <v>0</v>
      </c>
      <c r="C23" s="202"/>
      <c r="D23" s="192">
        <f>B23*C23</f>
        <v>0</v>
      </c>
      <c r="E23" s="204"/>
      <c r="F23" s="259"/>
      <c r="H23" s="201"/>
      <c r="I23" s="202"/>
      <c r="K23" s="223"/>
      <c r="L23" s="336" t="s">
        <v>260</v>
      </c>
      <c r="M23" s="336"/>
      <c r="N23" s="336"/>
      <c r="O23" s="25"/>
      <c r="P23" s="25"/>
      <c r="Q23" s="263"/>
      <c r="R23" s="25"/>
      <c r="S23" s="183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-20760.079502179065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51</v>
      </c>
      <c r="B24" s="191">
        <f>'Données projet'!D37</f>
        <v>100</v>
      </c>
      <c r="C24" s="202">
        <v>15</v>
      </c>
      <c r="D24" s="192">
        <f>B24*C24</f>
        <v>1500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63</v>
      </c>
      <c r="B25" s="191">
        <f>'Données projet'!D38</f>
        <v>108.46153846153845</v>
      </c>
      <c r="C25" s="202">
        <v>20</v>
      </c>
      <c r="D25" s="192">
        <f t="shared" ref="D25:D42" si="2">B25*C25</f>
        <v>2169.2307692307691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3">
        <f ca="1">T23-T24</f>
        <v>-20760.079502179065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75</v>
      </c>
      <c r="B26" s="191">
        <f>'Données projet'!D39</f>
        <v>85.384615384615415</v>
      </c>
      <c r="C26" s="202">
        <v>30</v>
      </c>
      <c r="D26" s="192">
        <f t="shared" si="2"/>
        <v>2561.5384615384623</v>
      </c>
      <c r="E26" s="204"/>
      <c r="F26" s="262"/>
      <c r="G26" s="257"/>
      <c r="H26" s="201"/>
      <c r="I26" s="202"/>
      <c r="K26" s="223"/>
      <c r="L26" s="320" t="s">
        <v>258</v>
      </c>
      <c r="M26" s="321"/>
      <c r="N26" s="321"/>
      <c r="O26" s="321"/>
      <c r="P26" s="322"/>
      <c r="Q26" s="263"/>
      <c r="R26" s="25"/>
      <c r="S26" s="196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87</v>
      </c>
      <c r="B27" s="191">
        <f>'Données projet'!D40</f>
        <v>83.076923076923038</v>
      </c>
      <c r="C27" s="202">
        <v>50</v>
      </c>
      <c r="D27" s="192">
        <f t="shared" si="2"/>
        <v>4153.8461538461515</v>
      </c>
      <c r="E27" s="204"/>
      <c r="F27" s="262"/>
      <c r="G27" s="257"/>
      <c r="H27" s="201"/>
      <c r="I27" s="202"/>
      <c r="K27" s="223"/>
      <c r="L27" s="323"/>
      <c r="M27" s="324"/>
      <c r="N27" s="324"/>
      <c r="O27" s="324"/>
      <c r="P27" s="325"/>
      <c r="Q27" s="263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99</v>
      </c>
      <c r="B28" s="191">
        <f>'Données projet'!D41</f>
        <v>198.46153846153845</v>
      </c>
      <c r="C28" s="202">
        <v>60</v>
      </c>
      <c r="D28" s="192">
        <f>B28*C28</f>
        <v>11907.692307692307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109</v>
      </c>
      <c r="B29" s="191">
        <f>'Données projet'!D42</f>
        <v>256.15384615384613</v>
      </c>
      <c r="C29" s="202">
        <v>80</v>
      </c>
      <c r="D29" s="192">
        <f t="shared" si="2"/>
        <v>20492.307692307691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0</v>
      </c>
      <c r="B30" s="191">
        <f>'Données projet'!D43</f>
        <v>0</v>
      </c>
      <c r="C30" s="202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0</v>
      </c>
      <c r="B31" s="191">
        <f>'Données projet'!D44</f>
        <v>0</v>
      </c>
      <c r="C31" s="202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0</v>
      </c>
      <c r="B32" s="191">
        <f>'Données projet'!D45</f>
        <v>0</v>
      </c>
      <c r="C32" s="202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2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2"/>
      <c r="D34" s="192">
        <f t="shared" si="2"/>
        <v>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2"/>
      <c r="D35" s="192">
        <f t="shared" si="2"/>
        <v>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2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2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2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2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2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2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2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sessile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2">
        <v>10</v>
      </c>
      <c r="D56" s="189">
        <f t="shared" si="4"/>
        <v>290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2">
        <v>10</v>
      </c>
      <c r="D58" s="189">
        <f t="shared" si="4"/>
        <v>420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2">
        <v>15</v>
      </c>
      <c r="D60" s="189">
        <f t="shared" si="4"/>
        <v>630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2">
        <v>20</v>
      </c>
      <c r="D62" s="189">
        <f t="shared" si="4"/>
        <v>840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2">
        <v>40</v>
      </c>
      <c r="D64" s="189">
        <f t="shared" si="4"/>
        <v>1680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2">
        <v>60</v>
      </c>
      <c r="D66" s="189">
        <f t="shared" si="4"/>
        <v>2520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2">
        <v>80</v>
      </c>
      <c r="D67" s="189">
        <f t="shared" si="4"/>
        <v>3360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2">
        <v>100</v>
      </c>
      <c r="D68" s="189">
        <f t="shared" si="4"/>
        <v>4200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2">
        <v>110</v>
      </c>
      <c r="D69" s="189">
        <f t="shared" si="4"/>
        <v>4290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2">
        <v>130</v>
      </c>
      <c r="D70" s="189">
        <f t="shared" si="4"/>
        <v>4550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2">
        <v>150</v>
      </c>
      <c r="D71" s="189">
        <f t="shared" si="4"/>
        <v>4650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2">
        <v>200</v>
      </c>
      <c r="D72" s="189">
        <f t="shared" si="4"/>
        <v>5400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2">
        <v>200</v>
      </c>
      <c r="D73" s="189">
        <f t="shared" si="4"/>
        <v>58600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Chêne pubescent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20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25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30</v>
      </c>
      <c r="B87" s="191">
        <f>'Données projet'!D90</f>
        <v>29</v>
      </c>
      <c r="C87" s="202">
        <v>10</v>
      </c>
      <c r="D87" s="189">
        <f t="shared" si="6"/>
        <v>290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35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40</v>
      </c>
      <c r="B89" s="191">
        <f>'Données projet'!D92</f>
        <v>42</v>
      </c>
      <c r="C89" s="202">
        <v>10</v>
      </c>
      <c r="D89" s="189">
        <f t="shared" si="6"/>
        <v>420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45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50</v>
      </c>
      <c r="B91" s="191">
        <f>'Données projet'!D94</f>
        <v>42</v>
      </c>
      <c r="C91" s="202">
        <v>15</v>
      </c>
      <c r="D91" s="189">
        <f t="shared" si="6"/>
        <v>630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55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60</v>
      </c>
      <c r="B93" s="191">
        <f>'Données projet'!D96</f>
        <v>42</v>
      </c>
      <c r="C93" s="202">
        <v>20</v>
      </c>
      <c r="D93" s="189">
        <f t="shared" si="6"/>
        <v>840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65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70</v>
      </c>
      <c r="B95" s="191">
        <f>'Données projet'!D98</f>
        <v>42</v>
      </c>
      <c r="C95" s="202">
        <v>40</v>
      </c>
      <c r="D95" s="189">
        <f t="shared" si="6"/>
        <v>1680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75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80</v>
      </c>
      <c r="B97" s="191">
        <f>'Données projet'!D100</f>
        <v>42</v>
      </c>
      <c r="C97" s="202">
        <v>60</v>
      </c>
      <c r="D97" s="189">
        <f t="shared" si="6"/>
        <v>2520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90</v>
      </c>
      <c r="B98" s="191">
        <f>'Données projet'!D101</f>
        <v>42</v>
      </c>
      <c r="C98" s="202">
        <v>80</v>
      </c>
      <c r="D98" s="189">
        <f t="shared" si="6"/>
        <v>3360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100</v>
      </c>
      <c r="B99" s="191">
        <f>'Données projet'!D102</f>
        <v>42</v>
      </c>
      <c r="C99" s="202">
        <v>100</v>
      </c>
      <c r="D99" s="189">
        <f t="shared" si="6"/>
        <v>4200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110</v>
      </c>
      <c r="B100" s="191">
        <f>'Données projet'!D103</f>
        <v>39</v>
      </c>
      <c r="C100" s="202">
        <v>110</v>
      </c>
      <c r="D100" s="189">
        <f t="shared" si="6"/>
        <v>4290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120</v>
      </c>
      <c r="B101" s="191">
        <f>'Données projet'!D104</f>
        <v>35</v>
      </c>
      <c r="C101" s="202">
        <v>130</v>
      </c>
      <c r="D101" s="189">
        <f t="shared" si="6"/>
        <v>4550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130</v>
      </c>
      <c r="B102" s="191">
        <f>'Données projet'!D105</f>
        <v>31</v>
      </c>
      <c r="C102" s="202">
        <v>150</v>
      </c>
      <c r="D102" s="189">
        <f t="shared" si="6"/>
        <v>4650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140</v>
      </c>
      <c r="B103" s="191">
        <f>'Données projet'!D106</f>
        <v>27</v>
      </c>
      <c r="C103" s="202">
        <v>200</v>
      </c>
      <c r="D103" s="189">
        <f t="shared" si="6"/>
        <v>5400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str">
        <f>IF(O102+1&lt;=MIN('Données projet'!$E$9:$E$18),O102+1,"STOP")</f>
        <v>STOP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150</v>
      </c>
      <c r="B104" s="191">
        <f>'Données projet'!D107</f>
        <v>293</v>
      </c>
      <c r="C104" s="202">
        <v>200</v>
      </c>
      <c r="D104" s="189">
        <f t="shared" si="6"/>
        <v>58600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Hêtre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21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27</v>
      </c>
      <c r="B118" s="191">
        <f>'Données projet'!D116</f>
        <v>12</v>
      </c>
      <c r="C118" s="202">
        <v>10</v>
      </c>
      <c r="D118" s="189">
        <f t="shared" si="8"/>
        <v>120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30</v>
      </c>
      <c r="B119" s="191">
        <f>'Données projet'!D117</f>
        <v>13</v>
      </c>
      <c r="C119" s="202">
        <v>20</v>
      </c>
      <c r="D119" s="189">
        <f t="shared" si="8"/>
        <v>260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36</v>
      </c>
      <c r="B120" s="191">
        <f>'Données projet'!D118</f>
        <v>60</v>
      </c>
      <c r="C120" s="202">
        <v>30</v>
      </c>
      <c r="D120" s="189">
        <f t="shared" si="8"/>
        <v>1800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42</v>
      </c>
      <c r="B121" s="191">
        <f>'Données projet'!D119</f>
        <v>59</v>
      </c>
      <c r="C121" s="202">
        <v>80</v>
      </c>
      <c r="D121" s="189">
        <f t="shared" si="8"/>
        <v>4720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48</v>
      </c>
      <c r="B122" s="191">
        <f>'Données projet'!D120</f>
        <v>63</v>
      </c>
      <c r="C122" s="202">
        <v>80</v>
      </c>
      <c r="D122" s="189">
        <f t="shared" si="8"/>
        <v>5040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54</v>
      </c>
      <c r="B123" s="191">
        <f>'Données projet'!D121</f>
        <v>64</v>
      </c>
      <c r="C123" s="202">
        <v>100</v>
      </c>
      <c r="D123" s="189">
        <f t="shared" si="8"/>
        <v>6400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60</v>
      </c>
      <c r="B124" s="191">
        <f>'Données projet'!D122</f>
        <v>61</v>
      </c>
      <c r="C124" s="202">
        <v>100</v>
      </c>
      <c r="D124" s="189">
        <f t="shared" si="8"/>
        <v>6100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69</v>
      </c>
      <c r="B125" s="191">
        <f>'Données projet'!D123</f>
        <v>84</v>
      </c>
      <c r="C125" s="202">
        <v>100</v>
      </c>
      <c r="D125" s="189">
        <f t="shared" si="8"/>
        <v>8400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78</v>
      </c>
      <c r="B126" s="191">
        <f>'Données projet'!D124</f>
        <v>39</v>
      </c>
      <c r="C126" s="202">
        <v>150</v>
      </c>
      <c r="D126" s="189">
        <f t="shared" si="8"/>
        <v>5850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99</v>
      </c>
      <c r="B127" s="191">
        <f>'Données projet'!D125</f>
        <v>591</v>
      </c>
      <c r="C127" s="202">
        <v>150</v>
      </c>
      <c r="D127" s="189">
        <f t="shared" si="8"/>
        <v>88650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Merisier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55</v>
      </c>
      <c r="C149" s="202">
        <v>10</v>
      </c>
      <c r="D149" s="192">
        <f t="shared" si="10"/>
        <v>550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31</v>
      </c>
      <c r="B150" s="185">
        <f>'Données projet'!D143</f>
        <v>36</v>
      </c>
      <c r="C150" s="202">
        <v>15</v>
      </c>
      <c r="D150" s="192">
        <f t="shared" si="10"/>
        <v>540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37</v>
      </c>
      <c r="B151" s="185">
        <f>'Données projet'!D144</f>
        <v>36</v>
      </c>
      <c r="C151" s="202">
        <v>30</v>
      </c>
      <c r="D151" s="192">
        <f t="shared" si="10"/>
        <v>1080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44</v>
      </c>
      <c r="B152" s="185">
        <f>'Données projet'!D145</f>
        <v>43</v>
      </c>
      <c r="C152" s="202">
        <v>40</v>
      </c>
      <c r="D152" s="192">
        <f t="shared" si="10"/>
        <v>1720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52</v>
      </c>
      <c r="B153" s="185">
        <f>'Données projet'!D146</f>
        <v>48</v>
      </c>
      <c r="C153" s="202">
        <v>50</v>
      </c>
      <c r="D153" s="192">
        <f t="shared" si="10"/>
        <v>2400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5">
        <f>'Données projet'!D147</f>
        <v>47</v>
      </c>
      <c r="C154" s="202">
        <v>100</v>
      </c>
      <c r="D154" s="192">
        <f t="shared" si="10"/>
        <v>4700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69</v>
      </c>
      <c r="B155" s="185">
        <f>'Données projet'!D148</f>
        <v>328</v>
      </c>
      <c r="C155" s="202">
        <v>110</v>
      </c>
      <c r="D155" s="192">
        <f t="shared" si="10"/>
        <v>36080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Alisier torminal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2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0</v>
      </c>
      <c r="C179" s="202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29</v>
      </c>
      <c r="C180" s="202">
        <v>10</v>
      </c>
      <c r="D180" s="189">
        <f t="shared" si="11"/>
        <v>290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0</v>
      </c>
      <c r="C181" s="202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42</v>
      </c>
      <c r="C182" s="202">
        <v>10</v>
      </c>
      <c r="D182" s="189">
        <f t="shared" si="11"/>
        <v>420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0</v>
      </c>
      <c r="C183" s="202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42</v>
      </c>
      <c r="C184" s="202">
        <v>15</v>
      </c>
      <c r="D184" s="189">
        <f t="shared" si="11"/>
        <v>630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60</v>
      </c>
      <c r="B186" s="191">
        <f>'Données projet'!D174</f>
        <v>42</v>
      </c>
      <c r="C186" s="202">
        <v>20</v>
      </c>
      <c r="D186" s="189">
        <f t="shared" si="11"/>
        <v>840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65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70</v>
      </c>
      <c r="B188" s="191">
        <f>'Données projet'!D176</f>
        <v>42</v>
      </c>
      <c r="C188" s="202">
        <v>40</v>
      </c>
      <c r="D188" s="189">
        <f t="shared" si="11"/>
        <v>1680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75</v>
      </c>
      <c r="B189" s="191">
        <f>'Données projet'!D177</f>
        <v>0</v>
      </c>
      <c r="C189" s="202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80</v>
      </c>
      <c r="B190" s="191">
        <f>'Données projet'!D178</f>
        <v>42</v>
      </c>
      <c r="C190" s="202">
        <v>60</v>
      </c>
      <c r="D190" s="189">
        <f t="shared" si="11"/>
        <v>2520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90</v>
      </c>
      <c r="B191" s="191">
        <f>'Données projet'!D179</f>
        <v>42</v>
      </c>
      <c r="C191" s="202">
        <v>80</v>
      </c>
      <c r="D191" s="189">
        <f t="shared" si="11"/>
        <v>3360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100</v>
      </c>
      <c r="B192" s="191">
        <f>'Données projet'!D180</f>
        <v>42</v>
      </c>
      <c r="C192" s="202">
        <v>100</v>
      </c>
      <c r="D192" s="189">
        <f t="shared" si="11"/>
        <v>4200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110</v>
      </c>
      <c r="B193" s="191">
        <f>'Données projet'!D181</f>
        <v>39</v>
      </c>
      <c r="C193" s="202">
        <v>110</v>
      </c>
      <c r="D193" s="189">
        <f t="shared" si="11"/>
        <v>4290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120</v>
      </c>
      <c r="B194" s="191">
        <f>'Données projet'!D182</f>
        <v>35</v>
      </c>
      <c r="C194" s="202">
        <v>130</v>
      </c>
      <c r="D194" s="189">
        <f t="shared" si="11"/>
        <v>4550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130</v>
      </c>
      <c r="B195" s="191">
        <f>'Données projet'!D183</f>
        <v>31</v>
      </c>
      <c r="C195" s="202">
        <v>150</v>
      </c>
      <c r="D195" s="189">
        <f t="shared" si="11"/>
        <v>4650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140</v>
      </c>
      <c r="B196" s="191">
        <f>'Données projet'!D184</f>
        <v>27</v>
      </c>
      <c r="C196" s="202">
        <v>200</v>
      </c>
      <c r="D196" s="189">
        <f t="shared" si="11"/>
        <v>5400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150</v>
      </c>
      <c r="B197" s="191">
        <f>'Données projet'!D185</f>
        <v>293</v>
      </c>
      <c r="C197" s="202">
        <v>200</v>
      </c>
      <c r="D197" s="189">
        <f t="shared" si="11"/>
        <v>58600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Tilleul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15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20</v>
      </c>
      <c r="B210" s="191">
        <f>'Données projet'!D193</f>
        <v>17.307692307692307</v>
      </c>
      <c r="C210" s="204">
        <v>10</v>
      </c>
      <c r="D210" s="189">
        <f t="shared" ref="D210:D228" si="12">B210*C210</f>
        <v>173.07692307692307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25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30</v>
      </c>
      <c r="B212" s="191">
        <f>'Données projet'!D195</f>
        <v>26.282051282051281</v>
      </c>
      <c r="C212" s="204">
        <v>10</v>
      </c>
      <c r="D212" s="189">
        <f t="shared" si="12"/>
        <v>262.82051282051282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35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40</v>
      </c>
      <c r="B214" s="191">
        <f>'Données projet'!D197</f>
        <v>28.205128205128204</v>
      </c>
      <c r="C214" s="204">
        <v>15</v>
      </c>
      <c r="D214" s="189">
        <f t="shared" si="12"/>
        <v>423.07692307692309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45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50</v>
      </c>
      <c r="B216" s="191">
        <f>'Données projet'!D199</f>
        <v>28.205128205128204</v>
      </c>
      <c r="C216" s="204">
        <v>20</v>
      </c>
      <c r="D216" s="189">
        <f t="shared" si="12"/>
        <v>564.10256410256409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55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60</v>
      </c>
      <c r="B218" s="191">
        <f>'Données projet'!D201</f>
        <v>26.282051282051281</v>
      </c>
      <c r="C218" s="204">
        <v>30</v>
      </c>
      <c r="D218" s="189">
        <f t="shared" si="12"/>
        <v>788.46153846153845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65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70</v>
      </c>
      <c r="B220" s="191">
        <f>'Données projet'!D203</f>
        <v>25</v>
      </c>
      <c r="C220" s="204">
        <v>40</v>
      </c>
      <c r="D220" s="189">
        <f t="shared" si="12"/>
        <v>1000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75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80</v>
      </c>
      <c r="B222" s="191">
        <f>'Données projet'!D205</f>
        <v>22.435897435897434</v>
      </c>
      <c r="C222" s="204">
        <v>50</v>
      </c>
      <c r="D222" s="189">
        <f t="shared" si="12"/>
        <v>1121.7948717948718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85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90</v>
      </c>
      <c r="B224" s="191">
        <f>'Données projet'!D207</f>
        <v>21.153846153846153</v>
      </c>
      <c r="C224" s="204">
        <v>60</v>
      </c>
      <c r="D224" s="189">
        <f t="shared" si="12"/>
        <v>1269.2307692307693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95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100</v>
      </c>
      <c r="B226" s="191">
        <f>'Données projet'!D209</f>
        <v>17.948717948717949</v>
      </c>
      <c r="C226" s="204">
        <v>65</v>
      </c>
      <c r="D226" s="189">
        <f t="shared" si="12"/>
        <v>1166.6666666666667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105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110</v>
      </c>
      <c r="B228" s="191">
        <f>'Données projet'!D211</f>
        <v>267.30769230769232</v>
      </c>
      <c r="C228" s="204">
        <v>70</v>
      </c>
      <c r="D228" s="189">
        <f t="shared" si="12"/>
        <v>18711.538461538461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2023-10-24T07:55:36Z</dcterms:modified>
</cp:coreProperties>
</file>